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AUGUST 2025" sheetId="1" r:id="rId1"/>
    <sheet name="MEMO" sheetId="68" r:id="rId2"/>
    <sheet name="Changes in Aug." sheetId="218" r:id="rId3"/>
    <sheet name="Shift duty" sheetId="214" r:id="rId4"/>
    <sheet name="Changes in July" sheetId="215" r:id="rId5"/>
    <sheet name="JULY 2025 (2)" sheetId="217" r:id="rId6"/>
    <sheet name="Sheet13" sheetId="216" r:id="rId7"/>
    <sheet name="Basic &amp; Pensions" sheetId="207" r:id="rId8"/>
    <sheet name="Changes in PAYE" sheetId="209" r:id="rId9"/>
    <sheet name="New NHF Enrolment" sheetId="211" r:id="rId10"/>
    <sheet name="PAYE of NHF Enrol" sheetId="212" r:id="rId11"/>
    <sheet name="Arrears Jan-May" sheetId="213" r:id="rId12"/>
    <sheet name="Sheet12" sheetId="210" r:id="rId13"/>
    <sheet name="Wage Award" sheetId="206" r:id="rId14"/>
    <sheet name="N0 on GL" sheetId="203" r:id="rId15"/>
    <sheet name="Total" sheetId="205" r:id="rId16"/>
    <sheet name="2025 GL STEPS" sheetId="195" r:id="rId17"/>
    <sheet name="Welfare June 25" sheetId="200" r:id="rId18"/>
    <sheet name="Sum of Welfare (2)" sheetId="201" r:id="rId19"/>
    <sheet name="Sheet11" sheetId="199" r:id="rId20"/>
    <sheet name="PAYE" sheetId="196" r:id="rId21"/>
    <sheet name="MAY New PAYE  (3)" sheetId="198" r:id="rId22"/>
    <sheet name="Sheet7" sheetId="194" r:id="rId23"/>
    <sheet name="Changes" sheetId="192" r:id="rId24"/>
    <sheet name="2024 Promotion Arrears" sheetId="176" r:id="rId25"/>
    <sheet name="APRIL New PAYE  (2)" sheetId="193" r:id="rId26"/>
    <sheet name="Sheet6" sheetId="191" r:id="rId27"/>
    <sheet name=" PAYE regul" sheetId="182" r:id="rId28"/>
    <sheet name="Promotion in Sept" sheetId="172" r:id="rId29"/>
    <sheet name="Tax on Arrears" sheetId="183" r:id="rId30"/>
    <sheet name="Stoppage of Salary" sheetId="184" r:id="rId31"/>
    <sheet name="New PAYE" sheetId="180" r:id="rId32"/>
    <sheet name="New Pensions Promotion" sheetId="181" r:id="rId33"/>
    <sheet name="Conversion in Nov" sheetId="179" r:id="rId34"/>
    <sheet name="Christmas Welfare 2024" sheetId="186" r:id="rId35"/>
    <sheet name="Sum of Welfare" sheetId="185" r:id="rId36"/>
    <sheet name="Staff Bonus" sheetId="188" r:id="rId37"/>
    <sheet name="Sum of Bonus" sheetId="187" r:id="rId38"/>
    <sheet name="Bonus PAYE" sheetId="190" r:id="rId39"/>
    <sheet name="Sheet5" sheetId="189" r:id="rId40"/>
    <sheet name="New Enrolmt" sheetId="170" r:id="rId41"/>
    <sheet name="1ST 28 DAYS" sheetId="163" r:id="rId42"/>
    <sheet name="Conversion in Sept" sheetId="174" r:id="rId43"/>
    <sheet name="Conversion &amp; Enrol Effect" sheetId="164" r:id="rId44"/>
    <sheet name="Converted Staff PAYE" sheetId="169" r:id="rId45"/>
    <sheet name="Movt to Contract" sheetId="167" r:id="rId46"/>
    <sheet name="Sheet10" sheetId="168" r:id="rId47"/>
    <sheet name="Sheet8" sheetId="166" r:id="rId48"/>
    <sheet name="Welfare June" sheetId="161" r:id="rId49"/>
    <sheet name="Welfare Summary" sheetId="162" r:id="rId50"/>
    <sheet name="Arrears of Res. Allow" sheetId="159" r:id="rId51"/>
    <sheet name="Additional Leg Duty Allowance" sheetId="153" r:id="rId52"/>
    <sheet name="March New PAYE " sheetId="154" r:id="rId53"/>
    <sheet name="Upgrade in March" sheetId="155" r:id="rId54"/>
    <sheet name="New NHF Deduction" sheetId="156" r:id="rId55"/>
    <sheet name="Regularisation" sheetId="152" r:id="rId56"/>
    <sheet name="Sallah Welfare, April 2024" sheetId="158" r:id="rId57"/>
    <sheet name="Sheet4" sheetId="157" r:id="rId58"/>
    <sheet name="January Arrears" sheetId="149" r:id="rId59"/>
    <sheet name="Tax Reg Sch. " sheetId="146" r:id="rId60"/>
    <sheet name=" Excess Ded Paid" sheetId="142" r:id="rId61"/>
    <sheet name="Changes in Gross &amp; PAYE " sheetId="143" r:id="rId62"/>
    <sheet name="May New PAYE " sheetId="147" r:id="rId63"/>
    <sheet name="Employee Pensions" sheetId="144" r:id="rId64"/>
    <sheet name="Upgrade in Feb." sheetId="150" r:id="rId65"/>
    <sheet name="Coop. Ded for Feb." sheetId="151" r:id="rId66"/>
    <sheet name="ENHANCED WELFARE 2024" sheetId="140" r:id="rId67"/>
    <sheet name="PROMOTIONS " sheetId="131" r:id="rId68"/>
    <sheet name="CHRISTMAS WELFARE" sheetId="135" r:id="rId69"/>
    <sheet name="CHRISTMAS WELFARE 1" sheetId="134" r:id="rId70"/>
    <sheet name="HALF 2023 (2)" sheetId="137" r:id="rId71"/>
    <sheet name="Sheet3" sheetId="136" r:id="rId72"/>
    <sheet name="NEW ENROLMENT IN NOVEMBER (2)" sheetId="132" r:id="rId73"/>
    <sheet name="Regularisation IN NOVEMBER (3)" sheetId="133" r:id="rId74"/>
    <sheet name="Sheet2" sheetId="130" r:id="rId75"/>
    <sheet name="PROMOTIONS" sheetId="129" r:id="rId76"/>
    <sheet name="SALARY STRUCTURE" sheetId="128" r:id="rId77"/>
    <sheet name="Wage Grant" sheetId="124" r:id="rId78"/>
    <sheet name="Wage Grant (2)" sheetId="126" r:id="rId79"/>
    <sheet name="1st 28 days in Nov" sheetId="123" r:id="rId80"/>
    <sheet name="Sallah Welfare April 2023" sheetId="119" r:id="rId81"/>
    <sheet name="Sallah Welfare June 2023" sheetId="120" r:id="rId82"/>
    <sheet name="Sallah Welfare June 2023 Latest" sheetId="121" r:id="rId83"/>
    <sheet name="Sheet1" sheetId="117" r:id="rId84"/>
    <sheet name="January 2023 PAYE" sheetId="115" r:id="rId85"/>
    <sheet name="January 2023 NHF)" sheetId="116" r:id="rId86"/>
    <sheet name="PAYE Computation" sheetId="114" r:id="rId87"/>
    <sheet name="Tax adj August, 2022" sheetId="87" r:id="rId88"/>
    <sheet name="Annual Increement" sheetId="78" r:id="rId89"/>
    <sheet name="Enhanced Welfare 2023 (2)" sheetId="110" r:id="rId90"/>
    <sheet name="Enhanced Welfare 2023 (3)" sheetId="113" r:id="rId91"/>
    <sheet name="17.9" sheetId="4" r:id="rId92"/>
    <sheet name="16.7" sheetId="5" r:id="rId93"/>
    <sheet name="15.7.1" sheetId="6" r:id="rId94"/>
    <sheet name="13.7" sheetId="7" r:id="rId95"/>
    <sheet name="12.7" sheetId="8" r:id="rId96"/>
    <sheet name="10.7" sheetId="9" r:id="rId97"/>
    <sheet name="9.7" sheetId="10" r:id="rId98"/>
    <sheet name="8.7" sheetId="11" r:id="rId99"/>
    <sheet name="SUMMARY" sheetId="12" r:id="rId100"/>
    <sheet name="14.7" sheetId="13" r:id="rId101"/>
    <sheet name="15.7" sheetId="23" r:id="rId102"/>
    <sheet name="Basic Salary" sheetId="61" r:id="rId103"/>
    <sheet name="JUNE 2023 (2)" sheetId="122" r:id="rId104"/>
    <sheet name="Sheet9" sheetId="197" r:id="rId105"/>
  </sheets>
  <externalReferences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_xlnm.Print_Area" localSheetId="51">'Additional Leg Duty Allowance'!$A$1:$U$19</definedName>
    <definedName name="_xlnm.Print_Area" localSheetId="88">'Annual Increement'!$A$1:$AB$191</definedName>
    <definedName name="_xlnm.Print_Area" localSheetId="68">'CHRISTMAS WELFARE'!$A$1:$E$196</definedName>
    <definedName name="_xlnm.Print_Area" localSheetId="34">'Christmas Welfare 2024'!$A$1:$E$207</definedName>
    <definedName name="_xlnm.Print_Area" localSheetId="89">'Enhanced Welfare 2023 (2)'!$A$1:$G$193</definedName>
    <definedName name="_xlnm.Print_Area" localSheetId="90">'Enhanced Welfare 2023 (3)'!$A$1:$G$193</definedName>
    <definedName name="_xlnm.Print_Area" localSheetId="66">'ENHANCED WELFARE 2024'!$A$1:$G$196</definedName>
    <definedName name="_xlnm.Print_Area" localSheetId="0">'AUGUST 2025'!$A$1:$T$228</definedName>
    <definedName name="_xlnm.Print_Area" localSheetId="70">'HALF 2023 (2)'!$A$1:$F$195</definedName>
    <definedName name="_xlnm.Print_Area" localSheetId="85">'January 2023 NHF)'!$A$1:$H$191</definedName>
    <definedName name="_xlnm.Print_Area" localSheetId="84">'January 2023 PAYE'!$A$1:$H$191</definedName>
    <definedName name="_xlnm.Print_Area" localSheetId="103">'JUNE 2023 (2)'!$A$1:$D$190</definedName>
    <definedName name="_xlnm.Print_Area" localSheetId="1">MEMO!$A$1:$H$67</definedName>
    <definedName name="_xlnm.Print_Area" localSheetId="72">'NEW ENROLMENT IN NOVEMBER (2)'!$A$1:$X$14</definedName>
    <definedName name="_xlnm.Print_Area" localSheetId="28">'Promotion in Sept'!$A$1:$V$9</definedName>
    <definedName name="_xlnm.Print_Area" localSheetId="75">PROMOTIONS!$A$1:$AB$47</definedName>
    <definedName name="_xlnm.Print_Area" localSheetId="67">'PROMOTIONS '!$A$1:$AB$27</definedName>
    <definedName name="_xlnm.Print_Area" localSheetId="73">'Regularisation IN NOVEMBER (3)'!$A$1:$X$16</definedName>
    <definedName name="_xlnm.Print_Area" localSheetId="80">'Sallah Welfare April 2023'!$A$1:$E$190</definedName>
    <definedName name="_xlnm.Print_Area" localSheetId="81">'Sallah Welfare June 2023'!$A$1:$E$192</definedName>
    <definedName name="_xlnm.Print_Area" localSheetId="82">'Sallah Welfare June 2023 Latest'!$A$1:$E$189</definedName>
    <definedName name="_xlnm.Print_Area" localSheetId="56">'Sallah Welfare, April 2024'!$A$1:$E$194</definedName>
    <definedName name="_xlnm.Print_Area" localSheetId="36">'Staff Bonus'!$A$1:$F$207</definedName>
    <definedName name="_xlnm.Print_Area" localSheetId="87">'Tax adj August, 2022'!$A$1:$G$202</definedName>
    <definedName name="_xlnm.Print_Area" localSheetId="53">'Upgrade in March'!$A$1:$S$11</definedName>
    <definedName name="_xlnm.Print_Area" localSheetId="77">'Wage Grant'!$A$1:$I$192</definedName>
    <definedName name="_xlnm.Print_Area" localSheetId="78">'Wage Grant (2)'!$A$1:$H$62</definedName>
    <definedName name="_xlnm.Print_Area" localSheetId="48">'Welfare June'!$A$1:$E$194</definedName>
    <definedName name="_xlnm.Print_Titles" localSheetId="51">'Additional Leg Duty Allowance'!$4:$5</definedName>
    <definedName name="_xlnm.Print_Titles" localSheetId="68">'CHRISTMAS WELFARE'!$4:$5</definedName>
    <definedName name="_xlnm.Print_Titles" localSheetId="34">'Christmas Welfare 2024'!$4:$5</definedName>
    <definedName name="_xlnm.Print_Titles" localSheetId="89">'Enhanced Welfare 2023 (2)'!$4:$5</definedName>
    <definedName name="_xlnm.Print_Titles" localSheetId="90">'Enhanced Welfare 2023 (3)'!$4:$5</definedName>
    <definedName name="_xlnm.Print_Titles" localSheetId="66">'ENHANCED WELFARE 2024'!$4:$5</definedName>
    <definedName name="_xlnm.Print_Titles" localSheetId="0">'AUGUST 2025'!$4:$5</definedName>
    <definedName name="_xlnm.Print_Titles" localSheetId="70">'HALF 2023 (2)'!$4:$5</definedName>
    <definedName name="_xlnm.Print_Titles" localSheetId="85">'January 2023 NHF)'!$4:$5</definedName>
    <definedName name="_xlnm.Print_Titles" localSheetId="84">'January 2023 PAYE'!$4:$5</definedName>
    <definedName name="_xlnm.Print_Titles" localSheetId="103">'JUNE 2023 (2)'!$4:$5</definedName>
    <definedName name="_xlnm.Print_Titles" localSheetId="72">'NEW ENROLMENT IN NOVEMBER (2)'!$4:$5</definedName>
    <definedName name="_xlnm.Print_Titles" localSheetId="28">'Promotion in Sept'!$4:$5</definedName>
    <definedName name="_xlnm.Print_Titles" localSheetId="75">PROMOTIONS!$4:$5</definedName>
    <definedName name="_xlnm.Print_Titles" localSheetId="67">'PROMOTIONS '!$4:$5</definedName>
    <definedName name="_xlnm.Print_Titles" localSheetId="73">'Regularisation IN NOVEMBER (3)'!$4:$5</definedName>
    <definedName name="_xlnm.Print_Titles" localSheetId="80">'Sallah Welfare April 2023'!$4:$5</definedName>
    <definedName name="_xlnm.Print_Titles" localSheetId="81">'Sallah Welfare June 2023'!$4:$5</definedName>
    <definedName name="_xlnm.Print_Titles" localSheetId="82">'Sallah Welfare June 2023 Latest'!$4:$5</definedName>
    <definedName name="_xlnm.Print_Titles" localSheetId="56">'Sallah Welfare, April 2024'!$4:$5</definedName>
    <definedName name="_xlnm.Print_Titles" localSheetId="36">'Staff Bonus'!$4:$5</definedName>
    <definedName name="_xlnm.Print_Titles" localSheetId="53">'Upgrade in March'!$4:$5</definedName>
    <definedName name="_xlnm.Print_Titles" localSheetId="77">'Wage Grant'!$5:$5</definedName>
    <definedName name="_xlnm.Print_Titles" localSheetId="78">'Wage Grant (2)'!$5:$5</definedName>
    <definedName name="_xlnm.Print_Titles" localSheetId="48">'Welfare June'!$4:$5</definedName>
    <definedName name="_xlnm.Print_Area" localSheetId="16">'2025 GL STEPS'!$A$1:$I$201</definedName>
    <definedName name="_xlnm.Print_Titles" localSheetId="16">'2025 GL STEPS'!$4:$5</definedName>
    <definedName name="_xlnm.Print_Area" localSheetId="17">'Welfare June 25'!$A$1:$E$199</definedName>
    <definedName name="_xlnm.Print_Titles" localSheetId="17">'Welfare June 25'!$4:$5</definedName>
    <definedName name="_xlnm.Print_Area" localSheetId="7">'Basic &amp; Pensions'!$A$1:$Q$202</definedName>
    <definedName name="_xlnm.Print_Titles" localSheetId="7">'Basic &amp; Pensions'!$4:$5</definedName>
    <definedName name="_xlnm.Print_Area" localSheetId="9">'New NHF Enrolment'!$A$1:$J$202</definedName>
    <definedName name="_xlnm.Print_Titles" localSheetId="9">'New NHF Enrolment'!$4:$5</definedName>
    <definedName name="_xlnm.Print_Area" localSheetId="11">'Arrears Jan-May'!$A$1:$Q$202</definedName>
    <definedName name="_xlnm.Print_Titles" localSheetId="11">'Arrears Jan-May'!$4:$5</definedName>
    <definedName name="_xlnm.Print_Area" localSheetId="5">'JULY 2025 (2)'!$A$1:$E$227</definedName>
    <definedName name="_xlnm.Print_Titles" localSheetId="5">'JULY 2025 (2)'!$4:$5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<sst xmlns="http://schemas.openxmlformats.org/spreadsheetml/2006/main" count="19819" uniqueCount="1511">
  <si>
    <t>NATIONAL INSTITUTE FOR LEGISLATIVE AND DEMOCRATIC STUDIES</t>
  </si>
  <si>
    <t>STAFF PAYROLL FOR THE MONTH OF AUGUST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</si>
  <si>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</si>
  <si>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</si>
  <si>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</si>
  <si>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</si>
  <si>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</si>
  <si>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</si>
  <si>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</si>
  <si>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</si>
  <si>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</si>
  <si>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</si>
  <si>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</si>
  <si>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</si>
  <si>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</si>
  <si>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</si>
  <si>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</si>
  <si>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</si>
  <si>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JULY, 2025</t>
  </si>
  <si>
    <t>AUGUST,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</si>
  <si>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</si>
  <si>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</si>
  <si>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</si>
  <si>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</si>
  <si>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</si>
  <si>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</si>
  <si>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</si>
  <si>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</si>
  <si>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</si>
  <si>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</si>
  <si>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</si>
  <si>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</si>
  <si>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</si>
  <si>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</si>
  <si>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</si>
  <si>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</si>
  <si>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</si>
  <si>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</si>
  <si>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</si>
  <si>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</si>
  <si>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</si>
  <si>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</si>
  <si>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</si>
  <si>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</si>
  <si>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</si>
  <si>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</si>
  <si>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</si>
  <si>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</si>
  <si>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</si>
  <si>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</si>
  <si>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</si>
  <si>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</si>
  <si>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</si>
  <si>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</si>
  <si>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</si>
  <si>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</si>
  <si>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</si>
  <si>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</si>
  <si>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</si>
  <si>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</si>
  <si>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</si>
  <si>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</si>
  <si>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</si>
  <si>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</si>
  <si>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</si>
  <si>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</si>
  <si>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</si>
  <si>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</si>
  <si>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</si>
  <si>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</si>
  <si>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</si>
  <si>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</si>
  <si>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</si>
  <si>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</si>
  <si>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</si>
  <si>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</si>
  <si>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</si>
  <si>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</si>
  <si>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</si>
  <si>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</si>
  <si>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</si>
  <si>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</si>
  <si>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</si>
  <si>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</si>
  <si>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</si>
  <si>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</si>
  <si>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</si>
  <si>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</si>
  <si>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</si>
  <si>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</si>
  <si>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</si>
  <si>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</si>
  <si>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</si>
  <si>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</si>
  <si>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</si>
  <si>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</si>
  <si>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</si>
  <si>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</si>
  <si>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</si>
  <si>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</si>
  <si>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</si>
  <si>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</si>
  <si>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</si>
  <si>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</si>
  <si>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</si>
  <si>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</si>
  <si>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</si>
  <si>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</si>
  <si>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</si>
  <si>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</si>
  <si>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</si>
  <si>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</si>
  <si>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</si>
  <si>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</si>
  <si>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</si>
  <si>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</si>
  <si>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</si>
  <si>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</si>
  <si>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</si>
  <si>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</si>
  <si>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</si>
  <si>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</si>
  <si>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</si>
  <si>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</si>
  <si>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</si>
  <si>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</si>
  <si>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</si>
  <si>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</si>
  <si>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</si>
  <si>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</si>
  <si>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</si>
  <si>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</si>
  <si>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</si>
  <si>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</si>
  <si>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</si>
  <si>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</si>
  <si>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</si>
  <si>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</si>
  <si>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</si>
  <si>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</si>
  <si>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</si>
  <si>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</si>
  <si>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</si>
  <si>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</si>
  <si>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</si>
  <si>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</si>
  <si>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</si>
  <si>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</si>
  <si>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</si>
  <si>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</si>
  <si>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</si>
  <si>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</si>
  <si>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</si>
  <si>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</si>
  <si>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</si>
  <si>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</si>
  <si>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</si>
  <si>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</si>
  <si>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</si>
  <si>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</si>
  <si>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</si>
  <si>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</si>
  <si>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</si>
  <si>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</si>
  <si>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</si>
  <si>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</si>
  <si>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</si>
  <si>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</si>
  <si>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</si>
  <si>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</si>
  <si>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</si>
  <si>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</si>
  <si>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</si>
  <si>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</si>
  <si>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</si>
  <si>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</si>
  <si>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</si>
  <si>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</si>
  <si>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</si>
  <si>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</si>
  <si>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</si>
  <si>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</si>
  <si>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</si>
  <si>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</si>
  <si>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</si>
  <si>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</si>
  <si>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</si>
  <si>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</si>
  <si>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</si>
  <si>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</si>
  <si>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</si>
  <si>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</si>
  <si>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</si>
  <si>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</si>
  <si>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</si>
  <si>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</si>
  <si>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</si>
  <si>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</si>
  <si>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</si>
  <si>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</si>
  <si>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</si>
  <si>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</si>
  <si>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</si>
  <si>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</si>
  <si>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</si>
  <si>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</si>
  <si>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</si>
  <si>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</si>
  <si>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</si>
  <si>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</si>
  <si>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</si>
  <si>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</si>
  <si>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</si>
  <si>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</si>
  <si>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</si>
  <si>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</si>
  <si>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</si>
  <si>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</si>
  <si>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</si>
  <si>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</si>
  <si>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</si>
  <si>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</si>
  <si>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</si>
  <si>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</si>
  <si>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</si>
  <si>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</si>
  <si>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</si>
  <si>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</si>
  <si>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</si>
  <si>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CHIEF LIBRARIAN</t>
  </si>
  <si>
    <t>14(7)</t>
  </si>
  <si>
    <t>CHINAKO N. ASOGWA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</si>
  <si>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</si>
  <si>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</si>
  <si>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</si>
  <si>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</si>
  <si>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</si>
  <si>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</si>
  <si>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</si>
  <si>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</si>
  <si>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</si>
  <si>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</si>
  <si>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</si>
  <si>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</si>
  <si>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</si>
  <si>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</si>
  <si>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</si>
  <si>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</si>
  <si>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</si>
  <si>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</si>
  <si>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</si>
  <si>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</si>
  <si>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</si>
  <si>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</si>
  <si>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</si>
  <si>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</si>
  <si>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</si>
  <si>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</si>
  <si>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</si>
  <si>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</si>
  <si>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</si>
  <si>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</si>
  <si>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</si>
  <si>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</si>
  <si>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</si>
  <si>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</si>
  <si>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</si>
  <si>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</si>
  <si>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</si>
  <si>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</si>
  <si>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</si>
  <si>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</si>
  <si>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</si>
  <si>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</si>
  <si>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</si>
  <si>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</si>
  <si>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</si>
  <si>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</si>
  <si>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</si>
  <si>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</si>
  <si>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</si>
  <si>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</si>
  <si>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</si>
  <si>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</si>
  <si>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</si>
  <si>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</si>
  <si>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</si>
  <si>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</si>
  <si>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</si>
  <si>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</si>
  <si>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</si>
  <si>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</si>
  <si>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</si>
  <si>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</si>
  <si>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</si>
  <si>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</si>
  <si>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</si>
  <si>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</si>
  <si>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</si>
  <si>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</si>
  <si>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</si>
  <si>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</si>
  <si>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</si>
  <si>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</si>
  <si>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</si>
  <si>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</si>
  <si>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</si>
  <si>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</si>
  <si>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</si>
  <si>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</si>
  <si>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</si>
  <si>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</si>
  <si>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</si>
  <si>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</si>
  <si>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</si>
  <si>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</si>
  <si>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</si>
  <si>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</si>
  <si>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</si>
  <si>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</si>
  <si>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</si>
  <si>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</si>
  <si>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</si>
  <si>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</si>
  <si>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</si>
  <si>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</si>
  <si>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</si>
  <si>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</si>
  <si>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</si>
  <si>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</si>
  <si>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</si>
  <si>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</si>
  <si>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</si>
  <si>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</si>
  <si>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</si>
  <si>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</si>
  <si>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</si>
  <si>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</si>
  <si>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</si>
  <si>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</si>
  <si>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</si>
  <si>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</si>
  <si>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</si>
  <si>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</si>
  <si>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</si>
  <si>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</si>
  <si>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</si>
  <si>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</si>
  <si>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</si>
  <si>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</si>
  <si>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</si>
  <si>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</si>
  <si>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</si>
  <si>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</si>
  <si>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</si>
  <si>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</si>
  <si>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</si>
  <si>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</si>
  <si>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</si>
  <si>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</si>
  <si>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</si>
  <si>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</si>
  <si>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</si>
  <si>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</si>
  <si>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</si>
  <si>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</si>
  <si>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</si>
  <si>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</si>
  <si>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</si>
  <si>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</si>
  <si>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</si>
  <si>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</si>
  <si>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</si>
  <si>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</si>
  <si>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</si>
  <si>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</si>
  <si>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</si>
  <si>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</si>
  <si>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</si>
  <si>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</si>
  <si>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</si>
  <si>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</si>
  <si>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25TH JULY,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</si>
  <si>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</si>
  <si>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</si>
  <si>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</si>
  <si>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</si>
  <si>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</si>
  <si>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</si>
  <si>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</si>
  <si>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</si>
  <si>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</si>
  <si>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</si>
  <si>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</si>
  <si>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</si>
  <si>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</si>
  <si>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</si>
  <si>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AUGUST 2025</t>
  </si>
  <si>
    <t>SUBJECT: PAYROLL FOR THE MONTH OF AUGUST 2025</t>
  </si>
  <si>
    <t>Find below the details of NILDS Staff Payroll for the Month of  August 2025:</t>
  </si>
  <si>
    <t>NGN</t>
  </si>
  <si>
    <t>GROSS SALARY FOR  AUGUST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</si>
  <si>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</si>
  <si>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</si>
  <si>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</si>
  <si>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</si>
  <si>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</si>
  <si>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</si>
  <si>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</si>
  <si>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AUGUST 2025</t>
  </si>
  <si>
    <t>NET PAY AS PER  AUGUST 2025 PAYROLL</t>
  </si>
  <si>
    <t>NET PAY AS PER JULY, 2025 PAYROLL</t>
  </si>
  <si>
    <t>NET INCREASE/ (DECREASE)  IN PAY FOR AUGUST, 2025</t>
  </si>
  <si>
    <t>ANALYSED AS FOLLOWS:</t>
  </si>
  <si>
    <t>Effect of Cooperative 1 Adjustments for August, 2025</t>
  </si>
  <si>
    <t>Effect of Cooperative 2 Adjustments for August, 2025</t>
  </si>
  <si>
    <t>Effect of removal of Arrears of Bethel Ihugba as Ag. Director</t>
  </si>
  <si>
    <t>Effect of removal of Arrears for Mohammed Umar Ali &amp; 2 others</t>
  </si>
  <si>
    <t>Effect of removal of Arrears of  Step Regularisation of Andrawus Musa &amp; 1 other</t>
  </si>
  <si>
    <t>Effect of removal of Arrears on Regularisation of PAYE Tax &amp; REs. Allow of Titilayo Marvelous &amp; 1 other</t>
  </si>
  <si>
    <t>Effect of Promotion &amp; Arrears ifo Abubakar Sanni Aliyu</t>
  </si>
  <si>
    <t>Effect of NHF Deduction from Ibeh Cyriacus</t>
  </si>
  <si>
    <t>Effect of enrolment of Ayobolu Olufunsho as Permanent Staff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</si>
  <si>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</si>
  <si>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</si>
  <si>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</si>
  <si>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</si>
  <si>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</si>
  <si>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</si>
  <si>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</si>
  <si>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</si>
  <si>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</si>
  <si>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</si>
  <si>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</si>
  <si>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</si>
  <si>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</si>
  <si>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</si>
  <si>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65,813,084.67 </t>
    </r>
    <r>
      <rPr>
        <sz val="14"/>
        <rFont val="Times New Roman"/>
        <charset val="134"/>
      </rPr>
      <t xml:space="preserve">to Guaranty Trust Bank,  being the  August 2025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16,119,285.72 and N2,294,000.00 </t>
    </r>
    <r>
      <rPr>
        <sz val="14"/>
        <rFont val="Times New Roman"/>
        <charset val="134"/>
      </rPr>
      <t>being NILDS Coop Society 1 and Coop Society 2 deductions for August 2025.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15,457,718.52 </t>
    </r>
    <r>
      <rPr>
        <sz val="14"/>
        <rFont val="Times New Roman"/>
        <charset val="134"/>
      </rPr>
      <t xml:space="preserve">PAYE Tax Deductions from Staff Salary for the month  of August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534,448.50 </t>
    </r>
    <r>
      <rPr>
        <sz val="14"/>
        <rFont val="Times New Roman"/>
        <charset val="134"/>
      </rPr>
      <t xml:space="preserve"> being NHF deductions from staff for August 2025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</si>
  <si>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</si>
  <si>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</si>
  <si>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NET SALARY</t>
  </si>
  <si>
    <t>ARREARS OF JUNE &amp; JULY</t>
  </si>
  <si>
    <t>RESEARCH FELLOW 11 DATA &amp; DOCU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</si>
  <si>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</si>
  <si>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</si>
  <si>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</si>
  <si>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</si>
  <si>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</si>
  <si>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</si>
  <si>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</si>
  <si>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</si>
  <si>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</si>
  <si>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</si>
  <si>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</si>
  <si>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</si>
  <si>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</si>
  <si>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</si>
  <si>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</si>
  <si>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</si>
  <si>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</si>
  <si>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13(10)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</si>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</sst>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21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4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46" fillId="29" borderId="19" applyNumberFormat="0" applyFon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0" fontId="108" fillId="0" borderId="2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30" borderId="22" applyNumberFormat="0" applyAlignment="0" applyProtection="0">
      <alignment vertical="center"/>
    </xf>
    <xf numFmtId="0" fontId="110" fillId="31" borderId="23" applyNumberFormat="0" applyAlignment="0" applyProtection="0">
      <alignment vertical="center"/>
    </xf>
    <xf numFmtId="0" fontId="111" fillId="31" borderId="22" applyNumberFormat="0" applyAlignment="0" applyProtection="0">
      <alignment vertical="center"/>
    </xf>
    <xf numFmtId="0" fontId="112" fillId="32" borderId="24" applyNumberFormat="0" applyAlignment="0" applyProtection="0">
      <alignment vertical="center"/>
    </xf>
    <xf numFmtId="0" fontId="113" fillId="0" borderId="25" applyNumberFormat="0" applyFill="0" applyAlignment="0" applyProtection="0">
      <alignment vertical="center"/>
    </xf>
    <xf numFmtId="0" fontId="114" fillId="0" borderId="26" applyNumberFormat="0" applyFill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18" borderId="0" applyNumberFormat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19" fillId="48" borderId="0" applyNumberFormat="0" applyBorder="0" applyAlignment="0" applyProtection="0">
      <alignment vertical="center"/>
    </xf>
    <xf numFmtId="0" fontId="118" fillId="49" borderId="0" applyNumberFormat="0" applyBorder="0" applyAlignment="0" applyProtection="0">
      <alignment vertical="center"/>
    </xf>
    <xf numFmtId="0" fontId="118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54" borderId="0" applyNumberFormat="0" applyBorder="0" applyAlignment="0" applyProtection="0">
      <alignment vertical="center"/>
    </xf>
    <xf numFmtId="0" fontId="118" fillId="55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20" fillId="0" borderId="0" applyFont="0" applyFill="0" applyBorder="0" applyAlignment="0" applyProtection="0"/>
  </cellStyleXfs>
  <cellXfs count="98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6" fillId="0" borderId="0" xfId="0" applyFont="1" applyAlignment="1">
      <alignment horizontal="left"/>
    </xf>
    <xf numFmtId="0" fontId="97" fillId="0" borderId="0" xfId="0" applyFont="1"/>
    <xf numFmtId="0" fontId="98" fillId="0" borderId="0" xfId="0" applyFont="1"/>
    <xf numFmtId="0" fontId="99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100" fillId="2" borderId="1" xfId="1" applyFont="1" applyFill="1" applyBorder="1" applyAlignment="1">
      <alignment horizontal="right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7" Type="http://schemas.openxmlformats.org/officeDocument/2006/relationships/styles" Target="styles.xml"/><Relationship Id="rId126" Type="http://schemas.openxmlformats.org/officeDocument/2006/relationships/sharedStrings" Target="sharedStrings.xml"/><Relationship Id="rId125" Type="http://schemas.openxmlformats.org/officeDocument/2006/relationships/theme" Target="theme/theme1.xml"/><Relationship Id="rId124" Type="http://schemas.openxmlformats.org/officeDocument/2006/relationships/externalLink" Target="externalLinks/externalLink19.xml"/><Relationship Id="rId123" Type="http://schemas.openxmlformats.org/officeDocument/2006/relationships/externalLink" Target="externalLinks/externalLink18.xml"/><Relationship Id="rId122" Type="http://schemas.openxmlformats.org/officeDocument/2006/relationships/externalLink" Target="externalLinks/externalLink17.xml"/><Relationship Id="rId121" Type="http://schemas.openxmlformats.org/officeDocument/2006/relationships/externalLink" Target="externalLinks/externalLink16.xml"/><Relationship Id="rId120" Type="http://schemas.openxmlformats.org/officeDocument/2006/relationships/externalLink" Target="externalLinks/externalLink15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14.xml"/><Relationship Id="rId118" Type="http://schemas.openxmlformats.org/officeDocument/2006/relationships/externalLink" Target="externalLinks/externalLink13.xml"/><Relationship Id="rId117" Type="http://schemas.openxmlformats.org/officeDocument/2006/relationships/externalLink" Target="externalLinks/externalLink12.xml"/><Relationship Id="rId116" Type="http://schemas.openxmlformats.org/officeDocument/2006/relationships/externalLink" Target="externalLinks/externalLink11.xml"/><Relationship Id="rId115" Type="http://schemas.openxmlformats.org/officeDocument/2006/relationships/externalLink" Target="externalLinks/externalLink10.xml"/><Relationship Id="rId114" Type="http://schemas.openxmlformats.org/officeDocument/2006/relationships/externalLink" Target="externalLinks/externalLink9.xml"/><Relationship Id="rId113" Type="http://schemas.openxmlformats.org/officeDocument/2006/relationships/externalLink" Target="externalLinks/externalLink8.xml"/><Relationship Id="rId112" Type="http://schemas.openxmlformats.org/officeDocument/2006/relationships/externalLink" Target="externalLinks/externalLink7.xml"/><Relationship Id="rId111" Type="http://schemas.openxmlformats.org/officeDocument/2006/relationships/externalLink" Target="externalLinks/externalLink6.xml"/><Relationship Id="rId110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4.xml"/><Relationship Id="rId108" Type="http://schemas.openxmlformats.org/officeDocument/2006/relationships/externalLink" Target="externalLinks/externalLink3.xml"/><Relationship Id="rId107" Type="http://schemas.openxmlformats.org/officeDocument/2006/relationships/externalLink" Target="externalLinks/externalLink2.xml"/><Relationship Id="rId106" Type="http://schemas.openxmlformats.org/officeDocument/2006/relationships/externalLink" Target="externalLinks/externalLink1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1"/>
  <sheetViews>
    <sheetView zoomScale="90" zoomScaleNormal="90" zoomScaleSheetLayoutView="50" workbookViewId="0">
      <pane xSplit="3" ySplit="7" topLeftCell="L221" activePane="bottomRight" state="frozen"/>
      <selection/>
      <selection pane="topRight"/>
      <selection pane="bottomLeft"/>
      <selection pane="bottomRight" activeCell="N125" sqref="N125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8.4272727272727" style="1" customWidth="1"/>
    <col min="13" max="14" width="17.7090909090909" style="1" customWidth="1"/>
    <col min="15" max="15" width="13.2727272727273" style="1" customWidth="1"/>
    <col min="16" max="16" width="17.6363636363636" style="1" customWidth="1"/>
    <col min="17" max="17" width="18.1363636363636" style="1" customWidth="1"/>
    <col min="18" max="18" width="19.2818181818182" style="1" customWidth="1"/>
    <col min="19" max="19" width="21.8181818181818" style="1" customWidth="1"/>
    <col min="20" max="20" width="18.8545454545455" style="1" customWidth="1"/>
    <col min="21" max="21" width="13.6363636363636" style="1"/>
    <col min="22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4" t="s">
        <v>15</v>
      </c>
      <c r="Q4" s="218" t="s">
        <v>16</v>
      </c>
      <c r="R4" s="506" t="s">
        <v>17</v>
      </c>
      <c r="S4" s="80" t="s">
        <v>18</v>
      </c>
      <c r="T4" s="635" t="s">
        <v>19</v>
      </c>
    </row>
    <row r="5" ht="17.25" customHeight="1" spans="3:20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/>
      <c r="O5" s="82" t="s">
        <v>20</v>
      </c>
      <c r="P5" s="82" t="s">
        <v>20</v>
      </c>
      <c r="Q5" s="82" t="s">
        <v>20</v>
      </c>
      <c r="R5" s="508" t="s">
        <v>20</v>
      </c>
      <c r="S5" s="82" t="s">
        <v>20</v>
      </c>
      <c r="T5" s="507" t="s">
        <v>20</v>
      </c>
    </row>
    <row r="6" customHeight="1" spans="1:20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508"/>
      <c r="S6" s="82"/>
      <c r="T6" s="507"/>
    </row>
    <row r="7" customHeight="1" spans="1:20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20" si="0">E7+F7+G7+H7+I7</f>
        <v>2246372.08333333</v>
      </c>
      <c r="K7" s="85"/>
      <c r="L7" s="85"/>
      <c r="M7" s="85"/>
      <c r="N7" s="85"/>
      <c r="O7" s="85"/>
      <c r="P7" s="85">
        <v>409970.106666666</v>
      </c>
      <c r="Q7" s="85">
        <v>0</v>
      </c>
      <c r="R7" s="510">
        <f>P7+O7+M7+N7+L7+K7+Q7</f>
        <v>409970.106666666</v>
      </c>
      <c r="S7" s="85">
        <v>1836401.97666666</v>
      </c>
      <c r="T7" s="509">
        <f t="shared" ref="T7:T21" si="1">J7-R7</f>
        <v>1836401.97666666</v>
      </c>
    </row>
    <row r="8" customHeight="1" spans="1:20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>
        <v>102000</v>
      </c>
      <c r="O8" s="85"/>
      <c r="P8" s="85">
        <v>175060.050986667</v>
      </c>
      <c r="Q8" s="85">
        <v>72424.54</v>
      </c>
      <c r="R8" s="510">
        <f t="shared" ref="R8:R43" si="2">P8+O8+M8+N8+L8+K8+Q8</f>
        <v>599484.590986667</v>
      </c>
      <c r="S8" s="85">
        <v>597822.159013333</v>
      </c>
      <c r="T8" s="509">
        <f t="shared" si="1"/>
        <v>495822.159013333</v>
      </c>
    </row>
    <row r="9" customHeight="1" spans="1:20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/>
      <c r="P9" s="85">
        <v>227365.562666667</v>
      </c>
      <c r="Q9" s="85"/>
      <c r="R9" s="510">
        <f t="shared" si="2"/>
        <v>227365.562666667</v>
      </c>
      <c r="S9" s="85">
        <v>1067941.18733333</v>
      </c>
      <c r="T9" s="509">
        <f t="shared" si="1"/>
        <v>1067941.18733333</v>
      </c>
    </row>
    <row r="10" customHeight="1" spans="1:20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>
        <v>206000</v>
      </c>
      <c r="N10" s="85"/>
      <c r="O10" s="85">
        <v>13866.7375</v>
      </c>
      <c r="P10" s="85">
        <v>170477.637386667</v>
      </c>
      <c r="Q10" s="85">
        <v>72424.54</v>
      </c>
      <c r="R10" s="510">
        <f t="shared" si="2"/>
        <v>512768.914886667</v>
      </c>
      <c r="S10" s="85">
        <v>572537.835113333</v>
      </c>
      <c r="T10" s="509">
        <f t="shared" si="1"/>
        <v>572537.835113333</v>
      </c>
    </row>
    <row r="11" customHeight="1" spans="1:20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  <c r="F11" s="85"/>
      <c r="G11" s="220"/>
      <c r="H11" s="220">
        <f>90000</f>
        <v>90000</v>
      </c>
      <c r="I11" s="85">
        <v>50000</v>
      </c>
      <c r="J11" s="509">
        <f t="shared" si="0"/>
        <v>1019008.91666667</v>
      </c>
      <c r="K11" s="85"/>
      <c r="L11" s="85">
        <f>50000-40000</f>
        <v>10000</v>
      </c>
      <c r="M11" s="85">
        <f>90000+110000</f>
        <v>200000</v>
      </c>
      <c r="N11" s="85"/>
      <c r="O11" s="85">
        <v>13084.6625</v>
      </c>
      <c r="P11" s="85">
        <v>158706.481226667</v>
      </c>
      <c r="Q11" s="85">
        <v>68216.8866666667</v>
      </c>
      <c r="R11" s="510">
        <f t="shared" si="2"/>
        <v>450008.030393334</v>
      </c>
      <c r="S11" s="85">
        <v>611498.184940005</v>
      </c>
      <c r="T11" s="509">
        <f t="shared" si="1"/>
        <v>569000.886273336</v>
      </c>
    </row>
    <row r="12" customHeight="1" spans="1:20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1082595.5</v>
      </c>
      <c r="K12" s="85"/>
      <c r="L12" s="85"/>
      <c r="M12" s="85"/>
      <c r="N12" s="85"/>
      <c r="O12" s="85">
        <v>11149.8958333333</v>
      </c>
      <c r="P12" s="85">
        <v>173285.155786667</v>
      </c>
      <c r="Q12" s="85">
        <v>57807.64</v>
      </c>
      <c r="R12" s="510">
        <f t="shared" si="2"/>
        <v>242242.69162</v>
      </c>
      <c r="S12" s="85">
        <v>840352.80838</v>
      </c>
      <c r="T12" s="509">
        <f t="shared" si="1"/>
        <v>840352.80838</v>
      </c>
    </row>
    <row r="13" customHeight="1" spans="1:20">
      <c r="A13" s="10">
        <v>7</v>
      </c>
      <c r="B13" s="11" t="s">
        <v>39</v>
      </c>
      <c r="C13" s="4" t="s">
        <v>40</v>
      </c>
      <c r="D13" s="15" t="s">
        <v>41</v>
      </c>
      <c r="E13" s="85">
        <v>589657</v>
      </c>
      <c r="F13" s="85"/>
      <c r="G13" s="220"/>
      <c r="H13" s="220">
        <f t="shared" ref="H13" si="3">70000</f>
        <v>70000</v>
      </c>
      <c r="I13" s="85">
        <f>0</f>
        <v>0</v>
      </c>
      <c r="J13" s="509">
        <f t="shared" si="0"/>
        <v>659657</v>
      </c>
      <c r="K13" s="85"/>
      <c r="L13" s="85"/>
      <c r="M13" s="85"/>
      <c r="N13" s="85"/>
      <c r="O13" s="85"/>
      <c r="P13" s="85">
        <v>96263.6791466667</v>
      </c>
      <c r="Q13" s="85">
        <v>47172.56</v>
      </c>
      <c r="R13" s="510">
        <f t="shared" si="2"/>
        <v>143436.239146667</v>
      </c>
      <c r="S13" s="85">
        <v>516220.760853333</v>
      </c>
      <c r="T13" s="509">
        <f t="shared" si="1"/>
        <v>516220.760853333</v>
      </c>
    </row>
    <row r="14" customHeight="1" spans="1:20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  <c r="F14" s="85"/>
      <c r="G14" s="220">
        <v>160000</v>
      </c>
      <c r="H14" s="220"/>
      <c r="I14" s="85">
        <f>50000</f>
        <v>50000</v>
      </c>
      <c r="J14" s="509">
        <f t="shared" si="0"/>
        <v>932595.5</v>
      </c>
      <c r="K14" s="85"/>
      <c r="L14" s="85">
        <f>50000</f>
        <v>50000</v>
      </c>
      <c r="M14" s="85"/>
      <c r="N14" s="85"/>
      <c r="O14" s="85"/>
      <c r="P14" s="85">
        <v>146625.935786667</v>
      </c>
      <c r="Q14" s="85">
        <v>57807.64</v>
      </c>
      <c r="R14" s="510">
        <f t="shared" si="2"/>
        <v>254433.575786667</v>
      </c>
      <c r="S14" s="85">
        <v>678161.924213333</v>
      </c>
      <c r="T14" s="509">
        <f t="shared" si="1"/>
        <v>678161.924213333</v>
      </c>
    </row>
    <row r="15" customHeight="1" spans="1:20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948165.25</v>
      </c>
      <c r="K15" s="85"/>
      <c r="L15" s="85">
        <v>70000</v>
      </c>
      <c r="M15" s="85">
        <v>175000</v>
      </c>
      <c r="N15" s="85"/>
      <c r="O15" s="85"/>
      <c r="P15" s="85">
        <v>152140.976426667</v>
      </c>
      <c r="Q15" s="85">
        <v>44653.22</v>
      </c>
      <c r="R15" s="510">
        <f t="shared" si="2"/>
        <v>441794.196426667</v>
      </c>
      <c r="S15" s="85">
        <v>506371.053573333</v>
      </c>
      <c r="T15" s="509">
        <f t="shared" si="1"/>
        <v>506371.053573333</v>
      </c>
    </row>
    <row r="16" customHeight="1" spans="1:20">
      <c r="A16" s="10">
        <v>10</v>
      </c>
      <c r="B16" s="11" t="s">
        <v>47</v>
      </c>
      <c r="C16" s="4" t="s">
        <v>48</v>
      </c>
      <c r="D16" s="10" t="s">
        <v>49</v>
      </c>
      <c r="E16" s="85">
        <v>700713.916666666</v>
      </c>
      <c r="F16" s="85"/>
      <c r="G16" s="220"/>
      <c r="H16" s="220">
        <v>80000</v>
      </c>
      <c r="I16" s="85">
        <v>50000</v>
      </c>
      <c r="J16" s="509">
        <f t="shared" si="0"/>
        <v>830713.916666666</v>
      </c>
      <c r="K16" s="4"/>
      <c r="L16" s="4"/>
      <c r="M16" s="85"/>
      <c r="N16" s="85">
        <v>10000</v>
      </c>
      <c r="O16" s="85"/>
      <c r="P16" s="85">
        <v>127400.772906667</v>
      </c>
      <c r="Q16" s="85">
        <v>56057.1133333333</v>
      </c>
      <c r="R16" s="510">
        <f t="shared" si="2"/>
        <v>193457.88624</v>
      </c>
      <c r="S16" s="85">
        <v>635256.030426666</v>
      </c>
      <c r="T16" s="509">
        <f t="shared" si="1"/>
        <v>637256.030426666</v>
      </c>
    </row>
    <row r="17" customHeight="1" spans="1:20">
      <c r="A17" s="10">
        <v>11</v>
      </c>
      <c r="B17" s="11" t="s">
        <v>50</v>
      </c>
      <c r="C17" s="12" t="s">
        <v>51</v>
      </c>
      <c r="D17" s="15" t="s">
        <v>52</v>
      </c>
      <c r="E17" s="85">
        <v>541351.333333333</v>
      </c>
      <c r="F17" s="85"/>
      <c r="G17" s="220">
        <f>120000</f>
        <v>120000</v>
      </c>
      <c r="H17" s="220"/>
      <c r="I17" s="85">
        <v>0</v>
      </c>
      <c r="J17" s="509">
        <f t="shared" si="0"/>
        <v>661351.333333333</v>
      </c>
      <c r="K17" s="85"/>
      <c r="L17" s="85"/>
      <c r="M17" s="85"/>
      <c r="N17" s="85"/>
      <c r="O17" s="85"/>
      <c r="P17" s="85">
        <v>97330.9661866666</v>
      </c>
      <c r="Q17" s="85">
        <v>43308.1066666666</v>
      </c>
      <c r="R17" s="510">
        <f t="shared" si="2"/>
        <v>140639.072853333</v>
      </c>
      <c r="S17" s="85">
        <v>520712.26048</v>
      </c>
      <c r="T17" s="509">
        <f t="shared" si="1"/>
        <v>520712.26048</v>
      </c>
    </row>
    <row r="18" customHeight="1" spans="1:20">
      <c r="A18" s="10">
        <v>12</v>
      </c>
      <c r="B18" s="18" t="s">
        <v>53</v>
      </c>
      <c r="C18" s="4" t="s">
        <v>54</v>
      </c>
      <c r="D18" s="15" t="s">
        <v>55</v>
      </c>
      <c r="E18" s="85">
        <v>526725.083333334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846725.083333334</v>
      </c>
      <c r="K18" s="85"/>
      <c r="L18" s="85">
        <f>30000-20000</f>
        <v>10000</v>
      </c>
      <c r="M18" s="85">
        <f>127777.78</f>
        <v>127777.78</v>
      </c>
      <c r="N18" s="85"/>
      <c r="O18" s="85">
        <v>8226.12291666667</v>
      </c>
      <c r="P18" s="85">
        <v>131567.969786667</v>
      </c>
      <c r="Q18" s="85">
        <v>42138.0066666667</v>
      </c>
      <c r="R18" s="510">
        <f t="shared" si="2"/>
        <v>319709.87937</v>
      </c>
      <c r="S18" s="85">
        <v>527015.203963334</v>
      </c>
      <c r="T18" s="509">
        <f t="shared" si="1"/>
        <v>527015.203963334</v>
      </c>
    </row>
    <row r="19" customHeight="1" spans="1:20">
      <c r="A19" s="10">
        <v>13</v>
      </c>
      <c r="B19" s="18" t="s">
        <v>56</v>
      </c>
      <c r="C19" s="4" t="s">
        <v>57</v>
      </c>
      <c r="D19" s="15" t="s">
        <v>58</v>
      </c>
      <c r="E19" s="676">
        <v>497472.75</v>
      </c>
      <c r="F19" s="85"/>
      <c r="G19" s="4"/>
      <c r="H19" s="220">
        <v>70000</v>
      </c>
      <c r="I19" s="85"/>
      <c r="J19" s="509">
        <f t="shared" si="0"/>
        <v>567472.75</v>
      </c>
      <c r="K19" s="85"/>
      <c r="L19" s="686">
        <v>50000</v>
      </c>
      <c r="M19" s="686"/>
      <c r="N19" s="686"/>
      <c r="O19" s="833">
        <v>7791.83125</v>
      </c>
      <c r="P19" s="686">
        <v>78484.2216266667</v>
      </c>
      <c r="Q19" s="85">
        <v>39797.82</v>
      </c>
      <c r="R19" s="510">
        <f t="shared" si="2"/>
        <v>176073.872876667</v>
      </c>
      <c r="S19" s="85">
        <v>391398.877123333</v>
      </c>
      <c r="T19" s="509">
        <f t="shared" si="1"/>
        <v>391398.877123333</v>
      </c>
    </row>
    <row r="20" customHeight="1" spans="1:20">
      <c r="A20" s="10">
        <v>14</v>
      </c>
      <c r="B20" s="18" t="s">
        <v>59</v>
      </c>
      <c r="C20" s="4" t="s">
        <v>51</v>
      </c>
      <c r="D20" s="15" t="s">
        <v>58</v>
      </c>
      <c r="E20" s="676">
        <v>497472.75</v>
      </c>
      <c r="F20" s="85"/>
      <c r="G20" s="833">
        <v>120000</v>
      </c>
      <c r="H20" s="220"/>
      <c r="I20" s="85"/>
      <c r="J20" s="509">
        <f t="shared" si="0"/>
        <v>617472.75</v>
      </c>
      <c r="K20" s="85"/>
      <c r="L20" s="686"/>
      <c r="M20" s="686"/>
      <c r="N20" s="686"/>
      <c r="O20" s="4"/>
      <c r="P20" s="686">
        <v>89580.2532266667</v>
      </c>
      <c r="Q20" s="85">
        <v>39797.82</v>
      </c>
      <c r="R20" s="510">
        <f t="shared" si="2"/>
        <v>129378.073226667</v>
      </c>
      <c r="S20" s="85">
        <v>488094.676773333</v>
      </c>
      <c r="T20" s="509">
        <f t="shared" si="1"/>
        <v>488094.676773333</v>
      </c>
    </row>
    <row r="21" customHeight="1" spans="1:20">
      <c r="A21" s="10">
        <v>15</v>
      </c>
      <c r="B21" s="11" t="s">
        <v>60</v>
      </c>
      <c r="C21" s="12" t="s">
        <v>61</v>
      </c>
      <c r="D21" s="15" t="s">
        <v>62</v>
      </c>
      <c r="E21" s="85">
        <v>496497.166666667</v>
      </c>
      <c r="F21" s="85"/>
      <c r="G21" s="220"/>
      <c r="H21" s="220">
        <f>60000</f>
        <v>60000</v>
      </c>
      <c r="I21" s="85">
        <f>250000</f>
        <v>250000</v>
      </c>
      <c r="J21" s="509">
        <f>SUM(E21:I21)</f>
        <v>806497.166666667</v>
      </c>
      <c r="K21" s="85"/>
      <c r="L21" s="85">
        <v>20000</v>
      </c>
      <c r="M21" s="85">
        <f>68750</f>
        <v>68750</v>
      </c>
      <c r="N21" s="85"/>
      <c r="O21" s="85">
        <v>7777.36041666667</v>
      </c>
      <c r="P21" s="85">
        <v>124394.672986667</v>
      </c>
      <c r="Q21" s="85">
        <v>39719.7733333333</v>
      </c>
      <c r="R21" s="510">
        <f t="shared" si="2"/>
        <v>260641.806736667</v>
      </c>
      <c r="S21" s="85">
        <v>545855.35993</v>
      </c>
      <c r="T21" s="509">
        <f t="shared" si="1"/>
        <v>545855.35993</v>
      </c>
    </row>
    <row r="22" ht="18.75" customHeight="1" spans="1:20">
      <c r="A22" s="10">
        <v>16</v>
      </c>
      <c r="B22" s="11" t="s">
        <v>63</v>
      </c>
      <c r="C22" s="12" t="s">
        <v>64</v>
      </c>
      <c r="D22" s="15" t="s">
        <v>65</v>
      </c>
      <c r="E22" s="85">
        <v>482662.666666667</v>
      </c>
      <c r="F22" s="85"/>
      <c r="G22" s="220"/>
      <c r="H22" s="220">
        <f>60000</f>
        <v>60000</v>
      </c>
      <c r="I22" s="85">
        <f>100000+50000</f>
        <v>150000</v>
      </c>
      <c r="J22" s="509">
        <f t="shared" ref="J22:J41" si="4">E22+F22+G22+H22+I22</f>
        <v>692662.666666667</v>
      </c>
      <c r="K22" s="85"/>
      <c r="L22" s="85">
        <f>10000</f>
        <v>10000</v>
      </c>
      <c r="M22" s="85">
        <v>292813.77</v>
      </c>
      <c r="N22" s="85"/>
      <c r="O22" s="85">
        <v>7571.96666666667</v>
      </c>
      <c r="P22" s="85">
        <v>104244.200106667</v>
      </c>
      <c r="Q22" s="85">
        <v>38613.0133333334</v>
      </c>
      <c r="R22" s="510">
        <f t="shared" si="2"/>
        <v>453242.950106667</v>
      </c>
      <c r="S22" s="85">
        <v>239419.71656</v>
      </c>
      <c r="T22" s="509">
        <f t="shared" ref="T22:T39" si="5">J22-R22</f>
        <v>239419.71656</v>
      </c>
    </row>
    <row r="23" customHeight="1" spans="1:20">
      <c r="A23" s="10">
        <v>17</v>
      </c>
      <c r="B23" s="14" t="s">
        <v>66</v>
      </c>
      <c r="C23" s="17" t="s">
        <v>67</v>
      </c>
      <c r="D23" s="10" t="s">
        <v>68</v>
      </c>
      <c r="E23" s="85">
        <v>454993.583333333</v>
      </c>
      <c r="F23" s="85"/>
      <c r="G23" s="220">
        <f t="shared" ref="G23" si="6">100000</f>
        <v>100000</v>
      </c>
      <c r="H23" s="220"/>
      <c r="I23" s="85">
        <f>100000+100000</f>
        <v>200000</v>
      </c>
      <c r="J23" s="509">
        <f t="shared" si="4"/>
        <v>754993.583333333</v>
      </c>
      <c r="K23" s="85"/>
      <c r="L23" s="85">
        <f>50000+100000</f>
        <v>150000</v>
      </c>
      <c r="M23" s="85"/>
      <c r="N23" s="85"/>
      <c r="O23" s="85"/>
      <c r="P23" s="85">
        <v>116636.733226667</v>
      </c>
      <c r="Q23" s="85">
        <v>36399.4866666666</v>
      </c>
      <c r="R23" s="510">
        <f t="shared" si="2"/>
        <v>303036.219893334</v>
      </c>
      <c r="S23" s="85">
        <v>451957.363439999</v>
      </c>
      <c r="T23" s="509">
        <f t="shared" si="5"/>
        <v>451957.363439999</v>
      </c>
    </row>
    <row r="24" ht="21.6" customHeight="1" spans="1:20">
      <c r="A24" s="10">
        <v>18</v>
      </c>
      <c r="B24" s="11" t="s">
        <v>69</v>
      </c>
      <c r="C24" s="17" t="s">
        <v>70</v>
      </c>
      <c r="D24" s="15" t="s">
        <v>68</v>
      </c>
      <c r="E24" s="85">
        <v>454993.583333333</v>
      </c>
      <c r="F24" s="85"/>
      <c r="G24" s="220">
        <v>110000</v>
      </c>
      <c r="H24" s="220"/>
      <c r="I24" s="85">
        <v>0</v>
      </c>
      <c r="J24" s="509">
        <f t="shared" si="4"/>
        <v>564993.583333333</v>
      </c>
      <c r="K24" s="85"/>
      <c r="L24" s="85">
        <v>0</v>
      </c>
      <c r="M24" s="85"/>
      <c r="N24" s="85">
        <v>30000</v>
      </c>
      <c r="O24" s="85"/>
      <c r="P24" s="85">
        <v>80156.7332266666</v>
      </c>
      <c r="Q24" s="85">
        <v>36399.4866666666</v>
      </c>
      <c r="R24" s="510">
        <f t="shared" si="2"/>
        <v>146556.219893333</v>
      </c>
      <c r="S24" s="85">
        <v>416437.36344</v>
      </c>
      <c r="T24" s="509">
        <f t="shared" si="5"/>
        <v>418437.36344</v>
      </c>
    </row>
    <row r="25" customHeight="1" spans="1:20">
      <c r="A25" s="10">
        <v>19</v>
      </c>
      <c r="B25" s="14" t="s">
        <v>71</v>
      </c>
      <c r="C25" s="17" t="s">
        <v>72</v>
      </c>
      <c r="D25" s="10" t="s">
        <v>73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4"/>
        <v>641140.666666666</v>
      </c>
      <c r="K25" s="85"/>
      <c r="L25" s="85">
        <v>150000</v>
      </c>
      <c r="M25" s="85"/>
      <c r="N25" s="85"/>
      <c r="O25" s="85"/>
      <c r="P25" s="85">
        <v>95911.3540266666</v>
      </c>
      <c r="Q25" s="85">
        <v>30491.2533333333</v>
      </c>
      <c r="R25" s="510">
        <f t="shared" si="2"/>
        <v>276402.60736</v>
      </c>
      <c r="S25" s="85">
        <v>364738.059306666</v>
      </c>
      <c r="T25" s="509">
        <f t="shared" si="5"/>
        <v>364738.059306666</v>
      </c>
    </row>
    <row r="26" customHeight="1" spans="1:20">
      <c r="A26" s="10">
        <v>20</v>
      </c>
      <c r="B26" s="14" t="s">
        <v>74</v>
      </c>
      <c r="C26" s="17" t="s">
        <v>75</v>
      </c>
      <c r="D26" s="10" t="s">
        <v>76</v>
      </c>
      <c r="E26" s="85">
        <v>381140.666666666</v>
      </c>
      <c r="F26" s="85"/>
      <c r="G26" s="220"/>
      <c r="H26" s="220">
        <v>60000</v>
      </c>
      <c r="I26" s="85"/>
      <c r="J26" s="509">
        <f t="shared" si="4"/>
        <v>441140.666666666</v>
      </c>
      <c r="K26" s="85"/>
      <c r="L26" s="85">
        <v>50000</v>
      </c>
      <c r="M26" s="85"/>
      <c r="N26" s="975">
        <v>10000</v>
      </c>
      <c r="O26" s="916">
        <v>6021.86458333332</v>
      </c>
      <c r="P26" s="85">
        <v>57511.3540266665</v>
      </c>
      <c r="Q26" s="85">
        <v>30491.2533333333</v>
      </c>
      <c r="R26" s="510">
        <f t="shared" si="2"/>
        <v>154024.471943333</v>
      </c>
      <c r="S26" s="85">
        <v>285116.194723333</v>
      </c>
      <c r="T26" s="509">
        <f t="shared" si="5"/>
        <v>287116.194723333</v>
      </c>
    </row>
    <row r="27" ht="18.75" customHeight="1" spans="1:20">
      <c r="A27" s="10">
        <v>21</v>
      </c>
      <c r="B27" s="4" t="s">
        <v>77</v>
      </c>
      <c r="C27" s="4" t="s">
        <v>78</v>
      </c>
      <c r="D27" s="10" t="s">
        <v>79</v>
      </c>
      <c r="E27" s="85">
        <v>355320.666666667</v>
      </c>
      <c r="F27" s="85"/>
      <c r="G27" s="220"/>
      <c r="H27" s="220">
        <f>50000+10000</f>
        <v>60000</v>
      </c>
      <c r="I27" s="85"/>
      <c r="J27" s="509">
        <f t="shared" si="4"/>
        <v>415320.666666667</v>
      </c>
      <c r="K27" s="85"/>
      <c r="L27" s="85">
        <v>10000</v>
      </c>
      <c r="M27" s="85">
        <v>43750</v>
      </c>
      <c r="N27" s="85"/>
      <c r="O27" s="85">
        <v>5690.39375</v>
      </c>
      <c r="P27" s="85">
        <v>52950.5092266667</v>
      </c>
      <c r="Q27" s="85">
        <v>28425.6533333334</v>
      </c>
      <c r="R27" s="510">
        <f t="shared" si="2"/>
        <v>140816.55631</v>
      </c>
      <c r="S27" s="85">
        <v>274504.110356667</v>
      </c>
      <c r="T27" s="509">
        <f t="shared" si="5"/>
        <v>274504.110356667</v>
      </c>
    </row>
    <row r="28" ht="18.75" customHeight="1" spans="1:20">
      <c r="A28" s="10">
        <v>22</v>
      </c>
      <c r="B28" s="18" t="s">
        <v>80</v>
      </c>
      <c r="C28" s="12" t="s">
        <v>78</v>
      </c>
      <c r="D28" s="15" t="s">
        <v>79</v>
      </c>
      <c r="E28" s="85">
        <v>355320.666666667</v>
      </c>
      <c r="F28" s="85"/>
      <c r="G28" s="220"/>
      <c r="H28" s="220">
        <f>50000+10000</f>
        <v>60000</v>
      </c>
      <c r="I28" s="85"/>
      <c r="J28" s="509">
        <f t="shared" si="4"/>
        <v>415320.666666667</v>
      </c>
      <c r="K28" s="85"/>
      <c r="L28" s="85"/>
      <c r="M28" s="85"/>
      <c r="N28" s="85"/>
      <c r="O28" s="85">
        <v>5690.39375</v>
      </c>
      <c r="P28" s="85">
        <v>52950.5092266667</v>
      </c>
      <c r="Q28" s="85">
        <v>28425.6533333334</v>
      </c>
      <c r="R28" s="510">
        <f t="shared" si="2"/>
        <v>87066.5563100001</v>
      </c>
      <c r="S28" s="85">
        <v>328254.110356667</v>
      </c>
      <c r="T28" s="509">
        <f t="shared" si="5"/>
        <v>328254.110356667</v>
      </c>
    </row>
    <row r="29" customHeight="1" spans="1:20">
      <c r="A29" s="10">
        <v>23</v>
      </c>
      <c r="B29" s="11" t="s">
        <v>81</v>
      </c>
      <c r="C29" s="17" t="s">
        <v>67</v>
      </c>
      <c r="D29" s="10" t="s">
        <v>79</v>
      </c>
      <c r="E29" s="85">
        <v>355320.666666667</v>
      </c>
      <c r="F29" s="85"/>
      <c r="G29" s="220">
        <f t="shared" ref="G29" si="7">100000</f>
        <v>100000</v>
      </c>
      <c r="H29" s="220"/>
      <c r="I29" s="85"/>
      <c r="J29" s="509">
        <f t="shared" si="4"/>
        <v>455320.666666667</v>
      </c>
      <c r="K29" s="85"/>
      <c r="L29" s="85">
        <f>10000</f>
        <v>10000</v>
      </c>
      <c r="M29" s="85">
        <v>127777.78</v>
      </c>
      <c r="N29" s="85"/>
      <c r="O29" s="85"/>
      <c r="P29" s="85">
        <v>60630.5092266667</v>
      </c>
      <c r="Q29" s="85">
        <v>28425.6533333334</v>
      </c>
      <c r="R29" s="510">
        <f t="shared" si="2"/>
        <v>226833.94256</v>
      </c>
      <c r="S29" s="85">
        <v>228486.724106667</v>
      </c>
      <c r="T29" s="509">
        <f t="shared" si="5"/>
        <v>228486.724106667</v>
      </c>
    </row>
    <row r="30" ht="18.75" customHeight="1" spans="1:20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  <c r="F30" s="85"/>
      <c r="G30" s="220"/>
      <c r="H30" s="220">
        <f t="shared" ref="H30:H39" si="8">60000</f>
        <v>60000</v>
      </c>
      <c r="I30" s="4"/>
      <c r="J30" s="509">
        <f t="shared" si="4"/>
        <v>407016.166666666</v>
      </c>
      <c r="K30" s="85"/>
      <c r="L30" s="85">
        <f>20000</f>
        <v>20000</v>
      </c>
      <c r="M30" s="85">
        <f>17500</f>
        <v>17500</v>
      </c>
      <c r="N30" s="85"/>
      <c r="O30" s="85"/>
      <c r="P30" s="85">
        <v>51483.6023466665</v>
      </c>
      <c r="Q30" s="85">
        <v>27761.2933333333</v>
      </c>
      <c r="R30" s="510">
        <f t="shared" si="2"/>
        <v>116744.89568</v>
      </c>
      <c r="S30" s="85">
        <v>290271.270986666</v>
      </c>
      <c r="T30" s="509">
        <f t="shared" si="5"/>
        <v>290271.270986666</v>
      </c>
    </row>
    <row r="31" ht="18.75" customHeight="1" spans="1:20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  <c r="F31" s="85"/>
      <c r="G31" s="220"/>
      <c r="H31" s="220">
        <f t="shared" si="8"/>
        <v>60000</v>
      </c>
      <c r="I31" s="85"/>
      <c r="J31" s="509">
        <f t="shared" si="4"/>
        <v>398711.666666667</v>
      </c>
      <c r="K31" s="85"/>
      <c r="L31" s="85">
        <f>30000+20000</f>
        <v>50000</v>
      </c>
      <c r="M31" s="85">
        <v>0</v>
      </c>
      <c r="N31" s="85"/>
      <c r="O31" s="85"/>
      <c r="P31" s="85">
        <v>50016.6954666667</v>
      </c>
      <c r="Q31" s="85">
        <v>27096.9333333334</v>
      </c>
      <c r="R31" s="510">
        <f t="shared" si="2"/>
        <v>127113.6288</v>
      </c>
      <c r="S31" s="85">
        <v>271598.037866667</v>
      </c>
      <c r="T31" s="509">
        <f t="shared" si="5"/>
        <v>271598.037866667</v>
      </c>
    </row>
    <row r="32" ht="18.75" customHeight="1" spans="1:20">
      <c r="A32" s="10">
        <v>26</v>
      </c>
      <c r="B32" s="18" t="s">
        <v>88</v>
      </c>
      <c r="C32" s="4" t="s">
        <v>86</v>
      </c>
      <c r="D32" s="10" t="s">
        <v>87</v>
      </c>
      <c r="E32" s="85">
        <v>338711.666666667</v>
      </c>
      <c r="F32" s="85"/>
      <c r="G32" s="220"/>
      <c r="H32" s="220">
        <f t="shared" si="8"/>
        <v>60000</v>
      </c>
      <c r="I32" s="85"/>
      <c r="J32" s="509">
        <f t="shared" si="4"/>
        <v>398711.666666667</v>
      </c>
      <c r="K32" s="85"/>
      <c r="L32" s="85"/>
      <c r="M32" s="85">
        <v>0</v>
      </c>
      <c r="N32" s="85"/>
      <c r="O32" s="85"/>
      <c r="P32" s="85">
        <v>50016.6954666667</v>
      </c>
      <c r="Q32" s="85">
        <v>27096.9333333334</v>
      </c>
      <c r="R32" s="510">
        <f t="shared" si="2"/>
        <v>77113.6288000001</v>
      </c>
      <c r="S32" s="85">
        <v>321598.037866667</v>
      </c>
      <c r="T32" s="509">
        <f t="shared" si="5"/>
        <v>321598.037866667</v>
      </c>
    </row>
    <row r="33" ht="18.75" customHeight="1" spans="1:20">
      <c r="A33" s="10">
        <v>27</v>
      </c>
      <c r="B33" s="18" t="s">
        <v>89</v>
      </c>
      <c r="C33" s="17" t="s">
        <v>90</v>
      </c>
      <c r="D33" s="15" t="s">
        <v>79</v>
      </c>
      <c r="E33" s="85">
        <v>355320.666666667</v>
      </c>
      <c r="F33" s="85"/>
      <c r="G33" s="220"/>
      <c r="H33" s="220">
        <f t="shared" si="8"/>
        <v>60000</v>
      </c>
      <c r="I33" s="85"/>
      <c r="J33" s="509">
        <f t="shared" si="4"/>
        <v>415320.666666667</v>
      </c>
      <c r="K33" s="85"/>
      <c r="L33" s="85">
        <f>20000</f>
        <v>20000</v>
      </c>
      <c r="M33" s="85">
        <f>161429.76+39000</f>
        <v>200429.76</v>
      </c>
      <c r="N33" s="85"/>
      <c r="O33" s="85">
        <v>5690.39375</v>
      </c>
      <c r="P33" s="220">
        <v>52950.5092266667</v>
      </c>
      <c r="Q33" s="220">
        <v>28425.6533333334</v>
      </c>
      <c r="R33" s="510">
        <f t="shared" si="2"/>
        <v>307496.31631</v>
      </c>
      <c r="S33" s="85">
        <v>156824.350356667</v>
      </c>
      <c r="T33" s="509">
        <f t="shared" si="5"/>
        <v>107824.350356667</v>
      </c>
    </row>
    <row r="34" ht="18.75" customHeight="1" spans="1:20">
      <c r="A34" s="10">
        <v>28</v>
      </c>
      <c r="B34" s="18" t="s">
        <v>91</v>
      </c>
      <c r="C34" s="4" t="s">
        <v>78</v>
      </c>
      <c r="D34" s="10" t="s">
        <v>87</v>
      </c>
      <c r="E34" s="85">
        <v>338711.666666667</v>
      </c>
      <c r="F34" s="85"/>
      <c r="G34" s="220"/>
      <c r="H34" s="220">
        <f t="shared" si="8"/>
        <v>60000</v>
      </c>
      <c r="I34" s="85"/>
      <c r="J34" s="509">
        <f t="shared" ref="J34" si="9">E34+F34+G34+H34+I34</f>
        <v>398711.666666667</v>
      </c>
      <c r="K34" s="85"/>
      <c r="L34" s="85"/>
      <c r="M34" s="85">
        <v>0</v>
      </c>
      <c r="N34" s="85"/>
      <c r="O34" s="85"/>
      <c r="P34" s="85">
        <v>49761.5812266667</v>
      </c>
      <c r="Q34" s="85">
        <v>27096.9333333334</v>
      </c>
      <c r="R34" s="510">
        <f t="shared" si="2"/>
        <v>76858.5145600001</v>
      </c>
      <c r="S34" s="85">
        <v>321853.152106667</v>
      </c>
      <c r="T34" s="509">
        <f t="shared" ref="T34" si="10">J34-R34</f>
        <v>321853.152106667</v>
      </c>
    </row>
    <row r="35" ht="18.75" customHeight="1" spans="1:20">
      <c r="A35" s="10">
        <v>29</v>
      </c>
      <c r="B35" s="18" t="s">
        <v>92</v>
      </c>
      <c r="C35" s="4" t="s">
        <v>93</v>
      </c>
      <c r="D35" s="10" t="s">
        <v>87</v>
      </c>
      <c r="E35" s="85">
        <v>338711.666666667</v>
      </c>
      <c r="F35" s="85"/>
      <c r="G35" s="220"/>
      <c r="H35" s="220">
        <f t="shared" si="8"/>
        <v>60000</v>
      </c>
      <c r="I35" s="85"/>
      <c r="J35" s="509">
        <f t="shared" si="4"/>
        <v>398711.666666667</v>
      </c>
      <c r="K35" s="85"/>
      <c r="L35" s="85">
        <f>0</f>
        <v>0</v>
      </c>
      <c r="M35" s="85"/>
      <c r="N35" s="85"/>
      <c r="O35" s="85"/>
      <c r="P35" s="85">
        <v>49761.5812266667</v>
      </c>
      <c r="Q35" s="85">
        <v>27096.9333333334</v>
      </c>
      <c r="R35" s="510">
        <f t="shared" si="2"/>
        <v>76858.5145600001</v>
      </c>
      <c r="S35" s="85">
        <v>321853.152106667</v>
      </c>
      <c r="T35" s="509">
        <f t="shared" si="5"/>
        <v>321853.152106667</v>
      </c>
    </row>
    <row r="36" s="1" customFormat="1" ht="18.75" customHeight="1" spans="1:20">
      <c r="A36" s="10">
        <v>30</v>
      </c>
      <c r="B36" s="18" t="s">
        <v>94</v>
      </c>
      <c r="C36" s="4" t="s">
        <v>95</v>
      </c>
      <c r="D36" s="10" t="s">
        <v>96</v>
      </c>
      <c r="E36" s="85">
        <v>330407.083333333</v>
      </c>
      <c r="F36" s="85"/>
      <c r="G36" s="220"/>
      <c r="H36" s="220">
        <f t="shared" si="8"/>
        <v>60000</v>
      </c>
      <c r="I36" s="85"/>
      <c r="J36" s="510">
        <f t="shared" si="4"/>
        <v>390407.083333333</v>
      </c>
      <c r="K36" s="85"/>
      <c r="L36" s="85">
        <v>50000</v>
      </c>
      <c r="M36" s="85"/>
      <c r="N36" s="85"/>
      <c r="O36" s="85"/>
      <c r="P36" s="85">
        <v>48549.7738666667</v>
      </c>
      <c r="Q36" s="85">
        <v>26432.5666666667</v>
      </c>
      <c r="R36" s="510">
        <f t="shared" si="2"/>
        <v>124982.340533333</v>
      </c>
      <c r="S36" s="85">
        <v>265424.7428</v>
      </c>
      <c r="T36" s="510">
        <f t="shared" si="5"/>
        <v>265424.7428</v>
      </c>
    </row>
    <row r="37" s="1" customFormat="1" ht="18.75" customHeight="1" spans="1:20">
      <c r="A37" s="10">
        <v>31</v>
      </c>
      <c r="B37" s="18" t="s">
        <v>97</v>
      </c>
      <c r="C37" s="4" t="s">
        <v>95</v>
      </c>
      <c r="D37" s="10" t="s">
        <v>96</v>
      </c>
      <c r="E37" s="85">
        <v>330408.083333333</v>
      </c>
      <c r="F37" s="85"/>
      <c r="G37" s="220"/>
      <c r="H37" s="220">
        <f t="shared" si="8"/>
        <v>60000</v>
      </c>
      <c r="I37" s="85"/>
      <c r="J37" s="510">
        <f t="shared" si="4"/>
        <v>390408.083333333</v>
      </c>
      <c r="K37" s="85"/>
      <c r="L37" s="85">
        <v>50000</v>
      </c>
      <c r="M37" s="85">
        <v>15000</v>
      </c>
      <c r="N37" s="85"/>
      <c r="O37" s="85"/>
      <c r="P37" s="85">
        <v>48549.9505066667</v>
      </c>
      <c r="Q37" s="85">
        <v>26432.6466666667</v>
      </c>
      <c r="R37" s="510">
        <f t="shared" si="2"/>
        <v>139982.597173333</v>
      </c>
      <c r="S37" s="85">
        <v>250425.48616</v>
      </c>
      <c r="T37" s="510">
        <f t="shared" si="5"/>
        <v>250425.48616</v>
      </c>
    </row>
    <row r="38" s="1" customFormat="1" ht="18.75" customHeight="1" spans="1:20">
      <c r="A38" s="10">
        <v>32</v>
      </c>
      <c r="B38" s="18" t="s">
        <v>98</v>
      </c>
      <c r="C38" s="4" t="s">
        <v>83</v>
      </c>
      <c r="D38" s="10" t="s">
        <v>96</v>
      </c>
      <c r="E38" s="85">
        <v>330409.083333333</v>
      </c>
      <c r="F38" s="85"/>
      <c r="G38" s="220"/>
      <c r="H38" s="220">
        <f t="shared" si="8"/>
        <v>60000</v>
      </c>
      <c r="I38" s="85"/>
      <c r="J38" s="510">
        <f t="shared" si="4"/>
        <v>390409.083333333</v>
      </c>
      <c r="K38" s="85"/>
      <c r="L38" s="85"/>
      <c r="M38" s="85"/>
      <c r="N38" s="85"/>
      <c r="O38" s="85"/>
      <c r="P38" s="85">
        <v>48550.1271466667</v>
      </c>
      <c r="Q38" s="85">
        <v>26432.7266666667</v>
      </c>
      <c r="R38" s="510">
        <f t="shared" si="2"/>
        <v>74982.8538133334</v>
      </c>
      <c r="S38" s="85">
        <v>315426.22952</v>
      </c>
      <c r="T38" s="510">
        <f t="shared" si="5"/>
        <v>315426.22952</v>
      </c>
    </row>
    <row r="39" s="1" customFormat="1" ht="18.75" customHeight="1" spans="1:20">
      <c r="A39" s="10">
        <v>33</v>
      </c>
      <c r="B39" s="18" t="s">
        <v>99</v>
      </c>
      <c r="C39" s="4" t="s">
        <v>78</v>
      </c>
      <c r="D39" s="10" t="s">
        <v>96</v>
      </c>
      <c r="E39" s="85">
        <v>330409.083333333</v>
      </c>
      <c r="F39" s="85"/>
      <c r="G39" s="220"/>
      <c r="H39" s="220">
        <f t="shared" si="8"/>
        <v>60000</v>
      </c>
      <c r="I39" s="85"/>
      <c r="J39" s="510">
        <f t="shared" si="4"/>
        <v>390409.083333333</v>
      </c>
      <c r="K39" s="85"/>
      <c r="L39" s="85"/>
      <c r="M39" s="85"/>
      <c r="N39" s="85"/>
      <c r="O39" s="85"/>
      <c r="P39" s="85">
        <v>48550.1271466667</v>
      </c>
      <c r="Q39" s="85">
        <v>26432.7266666667</v>
      </c>
      <c r="R39" s="510">
        <f t="shared" si="2"/>
        <v>74982.8538133334</v>
      </c>
      <c r="S39" s="85">
        <v>315426.22952</v>
      </c>
      <c r="T39" s="510">
        <f t="shared" si="5"/>
        <v>315426.22952</v>
      </c>
    </row>
    <row r="40" ht="18.75" customHeight="1" spans="1:20">
      <c r="A40" s="10">
        <v>34</v>
      </c>
      <c r="B40" s="18" t="s">
        <v>100</v>
      </c>
      <c r="C40" s="12" t="s">
        <v>101</v>
      </c>
      <c r="D40" s="15" t="s">
        <v>102</v>
      </c>
      <c r="E40" s="85">
        <v>301910.75</v>
      </c>
      <c r="F40" s="85"/>
      <c r="G40" s="220"/>
      <c r="H40" s="220">
        <v>50000</v>
      </c>
      <c r="I40" s="85"/>
      <c r="J40" s="509">
        <f t="shared" si="4"/>
        <v>351910.75</v>
      </c>
      <c r="K40" s="85"/>
      <c r="L40" s="85">
        <v>20000</v>
      </c>
      <c r="M40" s="85">
        <v>0</v>
      </c>
      <c r="N40" s="975"/>
      <c r="O40" s="916">
        <v>4909.11041666668</v>
      </c>
      <c r="P40" s="85">
        <v>42229.9921866667</v>
      </c>
      <c r="Q40" s="85">
        <v>24152.86</v>
      </c>
      <c r="R40" s="510">
        <f t="shared" si="2"/>
        <v>91291.9626033334</v>
      </c>
      <c r="S40" s="85">
        <v>260618.787396667</v>
      </c>
      <c r="T40" s="509">
        <f t="shared" ref="T40:T43" si="11">J40-R40</f>
        <v>260618.787396667</v>
      </c>
    </row>
    <row r="41" ht="18.75" customHeight="1" spans="1:20">
      <c r="A41" s="10">
        <v>35</v>
      </c>
      <c r="B41" s="18" t="s">
        <v>103</v>
      </c>
      <c r="C41" s="12" t="s">
        <v>104</v>
      </c>
      <c r="D41" s="15" t="s">
        <v>105</v>
      </c>
      <c r="E41" s="676">
        <v>294900.833333334</v>
      </c>
      <c r="F41" s="85"/>
      <c r="G41" s="220"/>
      <c r="H41" s="220">
        <v>50000</v>
      </c>
      <c r="I41" s="85"/>
      <c r="J41" s="509">
        <f t="shared" si="4"/>
        <v>344900.833333334</v>
      </c>
      <c r="K41" s="85"/>
      <c r="L41" s="686">
        <v>50000</v>
      </c>
      <c r="M41" s="686">
        <v>45833.33</v>
      </c>
      <c r="N41" s="976">
        <v>50000</v>
      </c>
      <c r="O41" s="916">
        <v>4804.48541666668</v>
      </c>
      <c r="P41" s="686">
        <v>41146.5394666668</v>
      </c>
      <c r="Q41" s="687">
        <v>23592.0666666667</v>
      </c>
      <c r="R41" s="510">
        <f t="shared" si="2"/>
        <v>215376.42155</v>
      </c>
      <c r="S41" s="85">
        <v>127524.411783334</v>
      </c>
      <c r="T41" s="509">
        <f t="shared" si="11"/>
        <v>129524.411783334</v>
      </c>
    </row>
    <row r="42" s="1" customFormat="1" customHeight="1" spans="1:20">
      <c r="A42" s="10">
        <v>36</v>
      </c>
      <c r="B42" s="18" t="s">
        <v>106</v>
      </c>
      <c r="C42" s="12" t="s">
        <v>107</v>
      </c>
      <c r="D42" s="15" t="s">
        <v>108</v>
      </c>
      <c r="E42" s="85">
        <v>287890.916666667</v>
      </c>
      <c r="F42" s="85"/>
      <c r="G42" s="220"/>
      <c r="H42" s="220">
        <f>50000</f>
        <v>50000</v>
      </c>
      <c r="I42" s="85"/>
      <c r="J42" s="510">
        <f>SUM(E42:I42)</f>
        <v>337890.916666667</v>
      </c>
      <c r="K42" s="85"/>
      <c r="L42" s="686">
        <v>10000</v>
      </c>
      <c r="M42" s="686"/>
      <c r="N42" s="686"/>
      <c r="O42" s="833">
        <f>4699.86</f>
        <v>4699.86</v>
      </c>
      <c r="P42" s="686">
        <v>39273.5102666667</v>
      </c>
      <c r="Q42" s="686">
        <v>23031.2733333333</v>
      </c>
      <c r="R42" s="510">
        <f t="shared" si="2"/>
        <v>77004.6436</v>
      </c>
      <c r="S42" s="85">
        <v>260886.273066667</v>
      </c>
      <c r="T42" s="510">
        <f t="shared" si="11"/>
        <v>260886.273066667</v>
      </c>
    </row>
    <row r="43" s="1" customFormat="1" customHeight="1" spans="1:20">
      <c r="A43" s="10">
        <v>37</v>
      </c>
      <c r="B43" s="18" t="s">
        <v>109</v>
      </c>
      <c r="C43" s="12" t="s">
        <v>110</v>
      </c>
      <c r="D43" s="15" t="s">
        <v>108</v>
      </c>
      <c r="E43" s="85">
        <v>287891.916666667</v>
      </c>
      <c r="F43" s="85"/>
      <c r="G43" s="220"/>
      <c r="H43" s="220">
        <f>50000</f>
        <v>50000</v>
      </c>
      <c r="I43" s="85"/>
      <c r="J43" s="510">
        <f>SUM(E43:I43)</f>
        <v>337891.916666667</v>
      </c>
      <c r="K43" s="85"/>
      <c r="L43" s="686"/>
      <c r="M43" s="686"/>
      <c r="N43" s="686"/>
      <c r="O43" s="4"/>
      <c r="P43" s="686">
        <v>40063.2413066667</v>
      </c>
      <c r="Q43" s="686">
        <v>23031.3533333333</v>
      </c>
      <c r="R43" s="510">
        <f t="shared" si="2"/>
        <v>63094.59464</v>
      </c>
      <c r="S43" s="85">
        <v>274797.322026667</v>
      </c>
      <c r="T43" s="510">
        <f t="shared" si="11"/>
        <v>274797.322026667</v>
      </c>
    </row>
    <row r="44" ht="26.25" customHeight="1" spans="1:20">
      <c r="A44" s="10"/>
      <c r="B44" s="20" t="s">
        <v>111</v>
      </c>
      <c r="C44" s="21">
        <v>37</v>
      </c>
      <c r="D44" s="15"/>
      <c r="E44" s="221">
        <f>SUM(E7:E43)</f>
        <v>19191616.9166667</v>
      </c>
      <c r="F44" s="221">
        <f t="shared" ref="F44:U44" si="12">SUM(F7:F43)</f>
        <v>0</v>
      </c>
      <c r="G44" s="221">
        <f t="shared" si="12"/>
        <v>1560000</v>
      </c>
      <c r="H44" s="221">
        <f t="shared" si="12"/>
        <v>1650000</v>
      </c>
      <c r="I44" s="221">
        <f t="shared" si="12"/>
        <v>2025235</v>
      </c>
      <c r="J44" s="221">
        <f t="shared" si="12"/>
        <v>24426851.9166667</v>
      </c>
      <c r="K44" s="221">
        <f t="shared" si="12"/>
        <v>0</v>
      </c>
      <c r="L44" s="221">
        <f t="shared" si="12"/>
        <v>1160000</v>
      </c>
      <c r="M44" s="221">
        <f t="shared" si="12"/>
        <v>1520632.42</v>
      </c>
      <c r="N44" s="221">
        <f t="shared" si="12"/>
        <v>202000</v>
      </c>
      <c r="O44" s="221">
        <f t="shared" si="12"/>
        <v>106975.07875</v>
      </c>
      <c r="P44" s="221">
        <f t="shared" si="12"/>
        <v>3640550.27194667</v>
      </c>
      <c r="Q44" s="221">
        <f t="shared" si="12"/>
        <v>1303110.02</v>
      </c>
      <c r="R44" s="221">
        <f t="shared" si="12"/>
        <v>7933267.79069667</v>
      </c>
      <c r="S44" s="221">
        <v>16679081.4246367</v>
      </c>
      <c r="T44" s="221">
        <f>SUM(T7:T43)</f>
        <v>16493584.12597</v>
      </c>
    </row>
    <row r="45" ht="18.75" customHeight="1" spans="1:20">
      <c r="A45" s="10"/>
      <c r="B45" s="22"/>
      <c r="C45" s="4"/>
      <c r="D45" s="15"/>
      <c r="E45" s="221"/>
      <c r="F45" s="221"/>
      <c r="G45" s="220"/>
      <c r="H45" s="220"/>
      <c r="I45" s="221"/>
      <c r="J45" s="514"/>
      <c r="K45" s="221"/>
      <c r="L45" s="221"/>
      <c r="M45" s="221"/>
      <c r="N45" s="221"/>
      <c r="O45" s="221"/>
      <c r="P45" s="221"/>
      <c r="Q45" s="221"/>
      <c r="R45" s="515"/>
      <c r="S45" s="221"/>
      <c r="T45" s="514"/>
    </row>
    <row r="46" ht="18.75" customHeight="1" spans="1:20">
      <c r="A46" s="10"/>
      <c r="B46" s="20" t="s">
        <v>112</v>
      </c>
      <c r="C46" s="4"/>
      <c r="D46" s="15"/>
      <c r="E46" s="85"/>
      <c r="F46" s="85"/>
      <c r="G46" s="220"/>
      <c r="H46" s="220"/>
      <c r="I46" s="85"/>
      <c r="J46" s="509"/>
      <c r="K46" s="85"/>
      <c r="L46" s="85"/>
      <c r="M46" s="85"/>
      <c r="N46" s="85"/>
      <c r="O46" s="85"/>
      <c r="P46" s="85"/>
      <c r="Q46" s="85"/>
      <c r="R46" s="510"/>
      <c r="S46" s="85"/>
      <c r="T46" s="509"/>
    </row>
    <row r="47" ht="18.75" customHeight="1" spans="1:20">
      <c r="A47" s="10">
        <v>1</v>
      </c>
      <c r="B47" s="18" t="s">
        <v>113</v>
      </c>
      <c r="C47" s="4" t="s">
        <v>114</v>
      </c>
      <c r="D47" s="10" t="s">
        <v>115</v>
      </c>
      <c r="E47" s="85">
        <v>1747106.41666666</v>
      </c>
      <c r="F47" s="85"/>
      <c r="G47" s="220"/>
      <c r="H47" s="220">
        <f>100000</f>
        <v>100000</v>
      </c>
      <c r="I47" s="85"/>
      <c r="J47" s="509">
        <f t="shared" ref="J47:J52" si="13">SUM(E47:I47)</f>
        <v>1847106.41666666</v>
      </c>
      <c r="K47" s="85">
        <f>'AUGUST 2025'!F228</f>
        <v>0</v>
      </c>
      <c r="L47" s="85">
        <f>300000</f>
        <v>300000</v>
      </c>
      <c r="M47" s="85">
        <f>458333.33</f>
        <v>458333.33</v>
      </c>
      <c r="N47" s="85"/>
      <c r="O47" s="85"/>
      <c r="P47" s="85">
        <v>306475.544106665</v>
      </c>
      <c r="Q47" s="85">
        <v>139768.513333333</v>
      </c>
      <c r="R47" s="510">
        <f t="shared" ref="R47:R52" si="14">P47+O47+M47+N47+L47+K47+Q47</f>
        <v>1204577.38744</v>
      </c>
      <c r="S47" s="85">
        <v>642529.029226662</v>
      </c>
      <c r="T47" s="509">
        <f t="shared" ref="T47:T52" si="15">J47-R47</f>
        <v>642529.029226662</v>
      </c>
    </row>
    <row r="48" ht="18.75" customHeight="1" spans="1:20">
      <c r="A48" s="10">
        <v>2</v>
      </c>
      <c r="B48" s="18" t="s">
        <v>116</v>
      </c>
      <c r="C48" s="4" t="s">
        <v>117</v>
      </c>
      <c r="D48" s="10" t="s">
        <v>76</v>
      </c>
      <c r="E48" s="85">
        <v>381140.666666666</v>
      </c>
      <c r="F48" s="85"/>
      <c r="G48" s="220"/>
      <c r="H48" s="220">
        <f>60000</f>
        <v>60000</v>
      </c>
      <c r="I48" s="85"/>
      <c r="J48" s="509">
        <f t="shared" si="13"/>
        <v>441140.666666666</v>
      </c>
      <c r="K48" s="85"/>
      <c r="L48" s="85">
        <f>20000</f>
        <v>20000</v>
      </c>
      <c r="M48" s="85">
        <v>73333.33</v>
      </c>
      <c r="N48" s="85">
        <v>20000</v>
      </c>
      <c r="O48" s="85">
        <v>6021.86458333332</v>
      </c>
      <c r="P48" s="85">
        <v>57511.3540266665</v>
      </c>
      <c r="Q48" s="85">
        <v>30491.2533333333</v>
      </c>
      <c r="R48" s="510">
        <f t="shared" si="14"/>
        <v>207357.801943333</v>
      </c>
      <c r="S48" s="85">
        <v>231782.864723333</v>
      </c>
      <c r="T48" s="509">
        <f t="shared" si="15"/>
        <v>233782.864723333</v>
      </c>
    </row>
    <row r="49" ht="18.75" customHeight="1" spans="1:20">
      <c r="A49" s="10">
        <v>3</v>
      </c>
      <c r="B49" s="11" t="s">
        <v>118</v>
      </c>
      <c r="C49" s="4" t="s">
        <v>117</v>
      </c>
      <c r="D49" s="15" t="s">
        <v>119</v>
      </c>
      <c r="E49" s="85">
        <v>390135.833333334</v>
      </c>
      <c r="F49" s="85"/>
      <c r="G49" s="220"/>
      <c r="H49" s="220">
        <f>50000+10000</f>
        <v>60000</v>
      </c>
      <c r="I49" s="85"/>
      <c r="J49" s="509">
        <f t="shared" si="13"/>
        <v>450135.833333334</v>
      </c>
      <c r="K49" s="85"/>
      <c r="L49" s="85">
        <f>10000</f>
        <v>10000</v>
      </c>
      <c r="M49" s="85"/>
      <c r="N49" s="85"/>
      <c r="O49" s="85"/>
      <c r="P49" s="85">
        <v>59100.2602666668</v>
      </c>
      <c r="Q49" s="85">
        <v>31210.8666666667</v>
      </c>
      <c r="R49" s="510">
        <f t="shared" si="14"/>
        <v>100311.126933333</v>
      </c>
      <c r="S49" s="85">
        <v>349824.7064</v>
      </c>
      <c r="T49" s="509">
        <f t="shared" si="15"/>
        <v>349824.7064</v>
      </c>
    </row>
    <row r="50" s="1" customFormat="1" customHeight="1" spans="1:20">
      <c r="A50" s="10">
        <v>4</v>
      </c>
      <c r="B50" s="18" t="s">
        <v>120</v>
      </c>
      <c r="C50" s="4" t="s">
        <v>117</v>
      </c>
      <c r="D50" s="15" t="s">
        <v>73</v>
      </c>
      <c r="E50" s="85">
        <v>372145.333333333</v>
      </c>
      <c r="F50" s="85"/>
      <c r="G50" s="220"/>
      <c r="H50" s="220">
        <v>60000</v>
      </c>
      <c r="I50" s="85"/>
      <c r="J50" s="510">
        <f t="shared" si="13"/>
        <v>432145.333333333</v>
      </c>
      <c r="K50" s="85"/>
      <c r="L50" s="686">
        <f>100000</f>
        <v>100000</v>
      </c>
      <c r="M50" s="686"/>
      <c r="N50" s="686"/>
      <c r="O50" s="4"/>
      <c r="P50" s="686">
        <v>55922.4183466667</v>
      </c>
      <c r="Q50" s="687">
        <v>29771.6266666667</v>
      </c>
      <c r="R50" s="510">
        <f t="shared" si="14"/>
        <v>185694.045013333</v>
      </c>
      <c r="S50" s="85">
        <v>246451.28832</v>
      </c>
      <c r="T50" s="510">
        <f t="shared" si="15"/>
        <v>246451.28832</v>
      </c>
    </row>
    <row r="51" ht="18.75" customHeight="1" spans="1:20">
      <c r="A51" s="10">
        <v>5</v>
      </c>
      <c r="B51" s="11" t="s">
        <v>121</v>
      </c>
      <c r="C51" s="4" t="s">
        <v>122</v>
      </c>
      <c r="D51" s="15" t="s">
        <v>87</v>
      </c>
      <c r="E51" s="676">
        <v>338711.666666667</v>
      </c>
      <c r="F51" s="85"/>
      <c r="G51" s="220"/>
      <c r="H51" s="220">
        <v>60000</v>
      </c>
      <c r="I51" s="85"/>
      <c r="J51" s="509">
        <f t="shared" si="13"/>
        <v>398711.666666667</v>
      </c>
      <c r="K51" s="85"/>
      <c r="L51" s="686">
        <v>20000</v>
      </c>
      <c r="M51" s="686">
        <v>98878.69</v>
      </c>
      <c r="N51" s="686"/>
      <c r="O51" s="833">
        <v>5443.33541666668</v>
      </c>
      <c r="P51" s="686">
        <v>50016.6954666667</v>
      </c>
      <c r="Q51" s="687">
        <v>27096.9333333334</v>
      </c>
      <c r="R51" s="510">
        <f t="shared" si="14"/>
        <v>201435.654216667</v>
      </c>
      <c r="S51" s="85">
        <v>167276.01245</v>
      </c>
      <c r="T51" s="509">
        <f t="shared" si="15"/>
        <v>197276.01245</v>
      </c>
    </row>
    <row r="52" s="1" customFormat="1" customHeight="1" spans="1:20">
      <c r="A52" s="10">
        <v>6</v>
      </c>
      <c r="B52" s="18" t="s">
        <v>123</v>
      </c>
      <c r="C52" s="12" t="s">
        <v>124</v>
      </c>
      <c r="D52" s="15" t="s">
        <v>108</v>
      </c>
      <c r="E52" s="85">
        <v>287890.916666667</v>
      </c>
      <c r="F52" s="85"/>
      <c r="G52" s="220"/>
      <c r="H52" s="220">
        <v>50000</v>
      </c>
      <c r="I52" s="85"/>
      <c r="J52" s="510">
        <f t="shared" si="13"/>
        <v>337890.916666667</v>
      </c>
      <c r="K52" s="85"/>
      <c r="L52" s="686"/>
      <c r="M52" s="686"/>
      <c r="N52" s="686"/>
      <c r="O52" s="4"/>
      <c r="P52" s="686">
        <v>40063.0867466667</v>
      </c>
      <c r="Q52" s="687">
        <v>23031.2733333333</v>
      </c>
      <c r="R52" s="510">
        <f t="shared" si="14"/>
        <v>63094.36008</v>
      </c>
      <c r="S52" s="85">
        <v>274796.556586667</v>
      </c>
      <c r="T52" s="510">
        <f t="shared" si="15"/>
        <v>274796.556586667</v>
      </c>
    </row>
    <row r="53" ht="19.5" customHeight="1" spans="1:20">
      <c r="A53" s="10"/>
      <c r="B53" s="14"/>
      <c r="C53" s="21">
        <v>6</v>
      </c>
      <c r="D53" s="10"/>
      <c r="E53" s="221">
        <f>SUM(E47:E52)</f>
        <v>3517130.83333333</v>
      </c>
      <c r="F53" s="221">
        <f t="shared" ref="F53:T53" si="16">SUM(F47:F52)</f>
        <v>0</v>
      </c>
      <c r="G53" s="221">
        <f t="shared" si="16"/>
        <v>0</v>
      </c>
      <c r="H53" s="221">
        <f t="shared" si="16"/>
        <v>390000</v>
      </c>
      <c r="I53" s="221">
        <f t="shared" si="16"/>
        <v>0</v>
      </c>
      <c r="J53" s="221">
        <f t="shared" si="16"/>
        <v>3907130.83333333</v>
      </c>
      <c r="K53" s="221">
        <f t="shared" si="16"/>
        <v>0</v>
      </c>
      <c r="L53" s="221">
        <f t="shared" si="16"/>
        <v>450000</v>
      </c>
      <c r="M53" s="221">
        <f t="shared" si="16"/>
        <v>630545.35</v>
      </c>
      <c r="N53" s="221">
        <f t="shared" si="16"/>
        <v>20000</v>
      </c>
      <c r="O53" s="221">
        <f t="shared" si="16"/>
        <v>11465.2</v>
      </c>
      <c r="P53" s="221">
        <f t="shared" si="16"/>
        <v>569089.358959998</v>
      </c>
      <c r="Q53" s="221">
        <f t="shared" si="16"/>
        <v>281370.466666666</v>
      </c>
      <c r="R53" s="221">
        <f t="shared" si="16"/>
        <v>1962470.37562666</v>
      </c>
      <c r="S53" s="221">
        <v>1912660.45770666</v>
      </c>
      <c r="T53" s="221">
        <f>SUM(T47:T52)</f>
        <v>1944660.45770666</v>
      </c>
    </row>
    <row r="54" customHeight="1" spans="1:20">
      <c r="A54" s="10"/>
      <c r="B54" s="14"/>
      <c r="C54" s="4"/>
      <c r="D54" s="10"/>
      <c r="E54" s="221"/>
      <c r="F54" s="221"/>
      <c r="G54" s="220"/>
      <c r="H54" s="220"/>
      <c r="I54" s="221"/>
      <c r="J54" s="514"/>
      <c r="K54" s="221"/>
      <c r="L54" s="221"/>
      <c r="M54" s="221"/>
      <c r="N54" s="221"/>
      <c r="O54" s="221"/>
      <c r="P54" s="221"/>
      <c r="Q54" s="221"/>
      <c r="R54" s="510"/>
      <c r="S54" s="85"/>
      <c r="T54" s="509"/>
    </row>
    <row r="55" customHeight="1" spans="1:20">
      <c r="A55" s="10"/>
      <c r="B55" s="23" t="s">
        <v>125</v>
      </c>
      <c r="C55" s="5"/>
      <c r="D55" s="24"/>
      <c r="E55" s="221"/>
      <c r="F55" s="221"/>
      <c r="G55" s="220"/>
      <c r="H55" s="220"/>
      <c r="I55" s="85"/>
      <c r="J55" s="509"/>
      <c r="K55" s="85"/>
      <c r="L55" s="85"/>
      <c r="M55" s="85"/>
      <c r="N55" s="85"/>
      <c r="O55" s="85"/>
      <c r="P55" s="85"/>
      <c r="Q55" s="85"/>
      <c r="R55" s="510"/>
      <c r="S55" s="85"/>
      <c r="T55" s="509"/>
    </row>
    <row r="56" customHeight="1" spans="1:20">
      <c r="A56" s="10">
        <v>1</v>
      </c>
      <c r="B56" s="11" t="s">
        <v>126</v>
      </c>
      <c r="C56" s="4" t="s">
        <v>127</v>
      </c>
      <c r="D56" s="10" t="s">
        <v>128</v>
      </c>
      <c r="E56" s="85">
        <v>1647612</v>
      </c>
      <c r="F56" s="85"/>
      <c r="G56" s="220">
        <f>200000</f>
        <v>200000</v>
      </c>
      <c r="H56" s="220"/>
      <c r="I56" s="85"/>
      <c r="J56" s="509">
        <f>SUM(E56:I56)</f>
        <v>1847612</v>
      </c>
      <c r="K56" s="85"/>
      <c r="L56" s="85">
        <f>80000+23000</f>
        <v>103000</v>
      </c>
      <c r="M56" s="85">
        <f>246905.96</f>
        <v>246905.96</v>
      </c>
      <c r="N56" s="85"/>
      <c r="O56" s="85"/>
      <c r="P56" s="85">
        <v>319502.658986667</v>
      </c>
      <c r="Q56" s="85">
        <v>131808.96</v>
      </c>
      <c r="R56" s="510">
        <f>P56+O56+M56+N56+L56+K56+Q56</f>
        <v>801217.578986667</v>
      </c>
      <c r="S56" s="85">
        <v>3075579.02015333</v>
      </c>
      <c r="T56" s="509">
        <f t="shared" ref="T56:T61" si="17">J56-R56</f>
        <v>1046394.42101333</v>
      </c>
    </row>
    <row r="57" customHeight="1" spans="1:20">
      <c r="A57" s="10">
        <v>2</v>
      </c>
      <c r="B57" s="11" t="s">
        <v>129</v>
      </c>
      <c r="C57" s="4" t="s">
        <v>130</v>
      </c>
      <c r="D57" s="10" t="s">
        <v>131</v>
      </c>
      <c r="E57" s="85">
        <v>744477</v>
      </c>
      <c r="F57" s="85"/>
      <c r="G57" s="220">
        <f>160000</f>
        <v>160000</v>
      </c>
      <c r="H57" s="220"/>
      <c r="I57" s="85"/>
      <c r="J57" s="509">
        <f t="shared" ref="J56:J65" si="18">SUM(E57:I57)</f>
        <v>904477</v>
      </c>
      <c r="K57" s="85"/>
      <c r="L57" s="85">
        <f>30000</f>
        <v>30000</v>
      </c>
      <c r="M57" s="85">
        <v>223059.88</v>
      </c>
      <c r="N57" s="85"/>
      <c r="O57" s="85"/>
      <c r="P57" s="85">
        <v>140891.083946667</v>
      </c>
      <c r="Q57" s="85">
        <v>59558.16</v>
      </c>
      <c r="R57" s="510">
        <f t="shared" ref="R57:R66" si="19">P57+O57+M57+N57+L57+K57+Q57</f>
        <v>453509.123946667</v>
      </c>
      <c r="S57" s="85">
        <v>450967.876053333</v>
      </c>
      <c r="T57" s="509">
        <f t="shared" si="17"/>
        <v>450967.876053333</v>
      </c>
    </row>
    <row r="58" customHeight="1" spans="1:20">
      <c r="A58" s="10">
        <v>3</v>
      </c>
      <c r="B58" s="11" t="s">
        <v>132</v>
      </c>
      <c r="C58" s="4" t="s">
        <v>130</v>
      </c>
      <c r="D58" s="10" t="s">
        <v>131</v>
      </c>
      <c r="E58" s="85">
        <v>744477</v>
      </c>
      <c r="F58" s="85"/>
      <c r="G58" s="220">
        <f>140000+20000</f>
        <v>160000</v>
      </c>
      <c r="H58" s="220"/>
      <c r="I58" s="85">
        <v>0</v>
      </c>
      <c r="J58" s="509">
        <f t="shared" si="18"/>
        <v>904477</v>
      </c>
      <c r="K58" s="85"/>
      <c r="L58" s="85"/>
      <c r="M58" s="85"/>
      <c r="N58" s="85">
        <v>50000</v>
      </c>
      <c r="O58" s="85">
        <v>11475.2625</v>
      </c>
      <c r="P58" s="85">
        <v>138687.833546667</v>
      </c>
      <c r="Q58" s="85">
        <v>59558.16</v>
      </c>
      <c r="R58" s="510">
        <f t="shared" si="19"/>
        <v>259721.256046667</v>
      </c>
      <c r="S58" s="85">
        <v>642755.743953333</v>
      </c>
      <c r="T58" s="509">
        <f t="shared" si="17"/>
        <v>644755.743953333</v>
      </c>
    </row>
    <row r="59" customHeight="1" spans="1:20">
      <c r="A59" s="10">
        <v>4</v>
      </c>
      <c r="B59" s="11" t="s">
        <v>133</v>
      </c>
      <c r="C59" s="4" t="s">
        <v>130</v>
      </c>
      <c r="D59" s="10" t="s">
        <v>38</v>
      </c>
      <c r="E59" s="85">
        <v>722595.5</v>
      </c>
      <c r="F59" s="85"/>
      <c r="G59" s="220">
        <f>140000+20000</f>
        <v>160000</v>
      </c>
      <c r="H59" s="220"/>
      <c r="I59" s="85"/>
      <c r="J59" s="509">
        <f t="shared" si="18"/>
        <v>882595.5</v>
      </c>
      <c r="K59" s="85"/>
      <c r="L59" s="85">
        <f>15000</f>
        <v>15000</v>
      </c>
      <c r="M59" s="85">
        <v>99000</v>
      </c>
      <c r="N59" s="85"/>
      <c r="O59" s="85"/>
      <c r="P59" s="85">
        <v>137025.935786667</v>
      </c>
      <c r="Q59" s="85">
        <v>57807.64</v>
      </c>
      <c r="R59" s="510">
        <f t="shared" si="19"/>
        <v>308833.575786667</v>
      </c>
      <c r="S59" s="85">
        <v>573761.924213333</v>
      </c>
      <c r="T59" s="509">
        <f t="shared" si="17"/>
        <v>573761.924213333</v>
      </c>
    </row>
    <row r="60" customHeight="1" spans="1:20">
      <c r="A60" s="10">
        <v>5</v>
      </c>
      <c r="B60" s="14" t="s">
        <v>134</v>
      </c>
      <c r="C60" s="4" t="s">
        <v>130</v>
      </c>
      <c r="D60" s="10" t="s">
        <v>49</v>
      </c>
      <c r="E60" s="85">
        <v>700713.916666666</v>
      </c>
      <c r="F60" s="85"/>
      <c r="G60" s="220">
        <f>160000</f>
        <v>160000</v>
      </c>
      <c r="H60" s="220"/>
      <c r="I60" s="85"/>
      <c r="J60" s="509">
        <f t="shared" si="18"/>
        <v>860713.916666666</v>
      </c>
      <c r="K60" s="85"/>
      <c r="L60" s="85"/>
      <c r="M60" s="85"/>
      <c r="N60" s="85">
        <v>20000</v>
      </c>
      <c r="O60" s="85">
        <v>0</v>
      </c>
      <c r="P60" s="85">
        <v>133160.772906667</v>
      </c>
      <c r="Q60" s="85">
        <v>56057.1133333333</v>
      </c>
      <c r="R60" s="510">
        <f t="shared" si="19"/>
        <v>209217.88624</v>
      </c>
      <c r="S60" s="85">
        <v>649496.030426666</v>
      </c>
      <c r="T60" s="509">
        <f t="shared" si="17"/>
        <v>651496.030426666</v>
      </c>
    </row>
    <row r="61" s="1" customFormat="1" customHeight="1" spans="1:20">
      <c r="A61" s="10">
        <v>6</v>
      </c>
      <c r="B61" s="18" t="s">
        <v>135</v>
      </c>
      <c r="C61" s="4" t="s">
        <v>136</v>
      </c>
      <c r="D61" s="15" t="s">
        <v>137</v>
      </c>
      <c r="E61" s="220">
        <v>441159</v>
      </c>
      <c r="F61" s="85"/>
      <c r="G61" s="220">
        <f>110000</f>
        <v>110000</v>
      </c>
      <c r="H61" s="220"/>
      <c r="I61" s="85"/>
      <c r="J61" s="510">
        <f t="shared" si="18"/>
        <v>551159</v>
      </c>
      <c r="K61" s="85"/>
      <c r="L61" s="85"/>
      <c r="M61" s="85"/>
      <c r="N61" s="85">
        <v>20000</v>
      </c>
      <c r="O61" s="85"/>
      <c r="P61" s="85">
        <v>77712.9924266667</v>
      </c>
      <c r="Q61" s="85">
        <v>35292.72</v>
      </c>
      <c r="R61" s="510">
        <f t="shared" si="19"/>
        <v>133005.712426667</v>
      </c>
      <c r="S61" s="85">
        <v>416153.287573333</v>
      </c>
      <c r="T61" s="510">
        <f t="shared" si="17"/>
        <v>418153.287573333</v>
      </c>
    </row>
    <row r="62" customHeight="1" spans="1:20">
      <c r="A62" s="10">
        <v>7</v>
      </c>
      <c r="B62" s="11" t="s">
        <v>138</v>
      </c>
      <c r="C62" s="4" t="s">
        <v>139</v>
      </c>
      <c r="D62" s="10" t="s">
        <v>119</v>
      </c>
      <c r="E62" s="85">
        <v>390135.833333334</v>
      </c>
      <c r="F62" s="85"/>
      <c r="G62" s="220">
        <v>100000</v>
      </c>
      <c r="H62" s="220"/>
      <c r="I62" s="85"/>
      <c r="J62" s="509">
        <f t="shared" si="18"/>
        <v>490135.833333334</v>
      </c>
      <c r="K62" s="85"/>
      <c r="L62" s="85"/>
      <c r="M62" s="85"/>
      <c r="N62" s="85"/>
      <c r="O62" s="85"/>
      <c r="P62" s="85">
        <v>66780.2602666668</v>
      </c>
      <c r="Q62" s="85">
        <v>31210.8666666667</v>
      </c>
      <c r="R62" s="510">
        <f t="shared" si="19"/>
        <v>97991.1269333335</v>
      </c>
      <c r="S62" s="85">
        <v>392144.7064</v>
      </c>
      <c r="T62" s="509">
        <f t="shared" ref="T62:T66" si="20">J62-R62</f>
        <v>392144.7064</v>
      </c>
    </row>
    <row r="63" s="1" customFormat="1" customHeight="1" spans="1:20">
      <c r="A63" s="10">
        <v>8</v>
      </c>
      <c r="B63" s="11" t="s">
        <v>140</v>
      </c>
      <c r="C63" s="4" t="s">
        <v>141</v>
      </c>
      <c r="D63" s="10" t="s">
        <v>73</v>
      </c>
      <c r="E63" s="85">
        <v>372145.333333333</v>
      </c>
      <c r="F63" s="85"/>
      <c r="G63" s="220">
        <f t="shared" ref="G63:G66" si="21">100000</f>
        <v>100000</v>
      </c>
      <c r="H63" s="220"/>
      <c r="I63" s="85"/>
      <c r="J63" s="510">
        <f t="shared" si="18"/>
        <v>472145.333333333</v>
      </c>
      <c r="K63" s="85"/>
      <c r="L63" s="85"/>
      <c r="M63" s="85"/>
      <c r="N63" s="85"/>
      <c r="O63" s="85"/>
      <c r="P63" s="85">
        <v>63602.4183466667</v>
      </c>
      <c r="Q63" s="85">
        <v>29771.6266666667</v>
      </c>
      <c r="R63" s="510">
        <f t="shared" si="19"/>
        <v>93374.0450133334</v>
      </c>
      <c r="S63" s="85">
        <v>378771.28832</v>
      </c>
      <c r="T63" s="510">
        <f t="shared" si="20"/>
        <v>378771.28832</v>
      </c>
    </row>
    <row r="64" customHeight="1" spans="1:20">
      <c r="A64" s="10">
        <v>9</v>
      </c>
      <c r="B64" s="11" t="s">
        <v>142</v>
      </c>
      <c r="C64" s="4" t="s">
        <v>139</v>
      </c>
      <c r="D64" s="10" t="s">
        <v>84</v>
      </c>
      <c r="E64" s="85">
        <v>347016.166666666</v>
      </c>
      <c r="F64" s="85"/>
      <c r="G64" s="220">
        <f t="shared" si="21"/>
        <v>100000</v>
      </c>
      <c r="H64" s="220"/>
      <c r="I64" s="85"/>
      <c r="J64" s="509">
        <f t="shared" si="18"/>
        <v>447016.166666666</v>
      </c>
      <c r="K64" s="85"/>
      <c r="L64" s="85"/>
      <c r="M64" s="85"/>
      <c r="N64" s="85"/>
      <c r="O64" s="85"/>
      <c r="P64" s="85">
        <v>59163.6023466665</v>
      </c>
      <c r="Q64" s="85">
        <v>27761.2933333333</v>
      </c>
      <c r="R64" s="510">
        <f t="shared" si="19"/>
        <v>86924.8956799998</v>
      </c>
      <c r="S64" s="85">
        <v>360091.270986666</v>
      </c>
      <c r="T64" s="509">
        <f t="shared" si="20"/>
        <v>360091.270986666</v>
      </c>
    </row>
    <row r="65" customHeight="1" spans="1:20">
      <c r="A65" s="10">
        <v>10</v>
      </c>
      <c r="B65" s="11" t="s">
        <v>143</v>
      </c>
      <c r="C65" s="4" t="s">
        <v>139</v>
      </c>
      <c r="D65" s="10" t="s">
        <v>84</v>
      </c>
      <c r="E65" s="85">
        <v>347016.166666666</v>
      </c>
      <c r="F65" s="85"/>
      <c r="G65" s="220">
        <f t="shared" si="21"/>
        <v>100000</v>
      </c>
      <c r="H65" s="220"/>
      <c r="I65" s="85"/>
      <c r="J65" s="509">
        <f t="shared" si="18"/>
        <v>447016.166666666</v>
      </c>
      <c r="K65" s="85"/>
      <c r="L65" s="85"/>
      <c r="M65" s="85"/>
      <c r="N65" s="85"/>
      <c r="O65" s="85"/>
      <c r="P65" s="85">
        <v>59163.6023466665</v>
      </c>
      <c r="Q65" s="85">
        <v>27761.2933333333</v>
      </c>
      <c r="R65" s="510">
        <f t="shared" si="19"/>
        <v>86924.8956799998</v>
      </c>
      <c r="S65" s="85">
        <v>360091.270986666</v>
      </c>
      <c r="T65" s="509">
        <f t="shared" si="20"/>
        <v>360091.270986666</v>
      </c>
    </row>
    <row r="66" s="1" customFormat="1" ht="18.75" customHeight="1" spans="1:20">
      <c r="A66" s="10">
        <v>11</v>
      </c>
      <c r="B66" s="18" t="s">
        <v>144</v>
      </c>
      <c r="C66" s="4" t="s">
        <v>139</v>
      </c>
      <c r="D66" s="10" t="s">
        <v>96</v>
      </c>
      <c r="E66" s="85">
        <v>330407.083333333</v>
      </c>
      <c r="F66" s="85"/>
      <c r="G66" s="220">
        <f t="shared" si="21"/>
        <v>100000</v>
      </c>
      <c r="H66" s="220"/>
      <c r="I66" s="85"/>
      <c r="J66" s="510">
        <f>E66+F66+G66+H66+I66</f>
        <v>430407.083333333</v>
      </c>
      <c r="K66" s="85"/>
      <c r="L66" s="85"/>
      <c r="M66" s="85"/>
      <c r="N66" s="85"/>
      <c r="O66" s="85"/>
      <c r="P66" s="85">
        <f>56229.7738666667+13919.3</f>
        <v>70149.0738666667</v>
      </c>
      <c r="Q66" s="85">
        <v>26432.5666666667</v>
      </c>
      <c r="R66" s="510">
        <f t="shared" si="19"/>
        <v>96581.6405333334</v>
      </c>
      <c r="S66" s="85">
        <v>333825.4428</v>
      </c>
      <c r="T66" s="510">
        <f t="shared" si="20"/>
        <v>333825.4428</v>
      </c>
    </row>
    <row r="67" ht="25.5" customHeight="1" spans="1:20">
      <c r="A67" s="10"/>
      <c r="B67" s="20" t="s">
        <v>111</v>
      </c>
      <c r="C67" s="21">
        <v>11</v>
      </c>
      <c r="D67" s="21"/>
      <c r="E67" s="93">
        <f>SUM(E56:E66)</f>
        <v>6787755</v>
      </c>
      <c r="F67" s="93">
        <f t="shared" ref="F67:S67" si="22">SUM(F56:F66)</f>
        <v>0</v>
      </c>
      <c r="G67" s="93">
        <f t="shared" si="22"/>
        <v>1450000</v>
      </c>
      <c r="H67" s="93">
        <f t="shared" si="22"/>
        <v>0</v>
      </c>
      <c r="I67" s="93">
        <f t="shared" si="22"/>
        <v>0</v>
      </c>
      <c r="J67" s="93">
        <f t="shared" si="22"/>
        <v>8237755</v>
      </c>
      <c r="K67" s="93">
        <f t="shared" si="22"/>
        <v>0</v>
      </c>
      <c r="L67" s="93">
        <f t="shared" si="22"/>
        <v>148000</v>
      </c>
      <c r="M67" s="93">
        <f t="shared" si="22"/>
        <v>568965.84</v>
      </c>
      <c r="N67" s="93">
        <f t="shared" si="22"/>
        <v>90000</v>
      </c>
      <c r="O67" s="93">
        <f t="shared" si="22"/>
        <v>11475.2625</v>
      </c>
      <c r="P67" s="93">
        <f t="shared" si="22"/>
        <v>1265840.23477333</v>
      </c>
      <c r="Q67" s="93">
        <f t="shared" si="22"/>
        <v>543020.4</v>
      </c>
      <c r="R67" s="93">
        <f t="shared" si="22"/>
        <v>2627301.73727333</v>
      </c>
      <c r="S67" s="93">
        <v>7633637.86186666</v>
      </c>
      <c r="T67" s="93">
        <f>SUM(T56:T66)</f>
        <v>5610453.26272666</v>
      </c>
    </row>
    <row r="68" customHeight="1" spans="1:20">
      <c r="A68" s="10"/>
      <c r="B68" s="22"/>
      <c r="C68" s="21"/>
      <c r="D68" s="21"/>
      <c r="E68" s="146"/>
      <c r="F68" s="146"/>
      <c r="G68" s="220"/>
      <c r="H68" s="220"/>
      <c r="I68" s="146"/>
      <c r="J68" s="516"/>
      <c r="K68" s="146"/>
      <c r="L68" s="146"/>
      <c r="M68" s="146"/>
      <c r="N68" s="146"/>
      <c r="O68" s="146"/>
      <c r="P68" s="146"/>
      <c r="Q68" s="146"/>
      <c r="R68" s="517"/>
      <c r="S68" s="146"/>
      <c r="T68" s="516"/>
    </row>
    <row r="69" customHeight="1" spans="1:20">
      <c r="A69" s="10"/>
      <c r="B69" s="20" t="s">
        <v>145</v>
      </c>
      <c r="C69" s="21"/>
      <c r="D69" s="21"/>
      <c r="E69" s="146"/>
      <c r="F69" s="146"/>
      <c r="G69" s="220"/>
      <c r="H69" s="220"/>
      <c r="I69" s="146"/>
      <c r="J69" s="516"/>
      <c r="K69" s="146"/>
      <c r="L69" s="146"/>
      <c r="M69" s="146"/>
      <c r="N69" s="146"/>
      <c r="O69" s="146"/>
      <c r="P69" s="146"/>
      <c r="Q69" s="146"/>
      <c r="R69" s="517"/>
      <c r="S69" s="146"/>
      <c r="T69" s="516"/>
    </row>
    <row r="70" customHeight="1" spans="1:20">
      <c r="A70" s="10">
        <v>1</v>
      </c>
      <c r="B70" s="11" t="s">
        <v>146</v>
      </c>
      <c r="C70" s="12" t="s">
        <v>147</v>
      </c>
      <c r="D70" s="15" t="s">
        <v>115</v>
      </c>
      <c r="E70" s="85">
        <v>1747106.41666666</v>
      </c>
      <c r="F70" s="85"/>
      <c r="G70" s="220">
        <f>200000</f>
        <v>200000</v>
      </c>
      <c r="H70" s="220"/>
      <c r="I70" s="85">
        <v>0</v>
      </c>
      <c r="J70" s="509">
        <f>SUM(E70:I70)</f>
        <v>1947106.41666666</v>
      </c>
      <c r="K70" s="85"/>
      <c r="L70" s="85">
        <v>250000</v>
      </c>
      <c r="M70" s="85"/>
      <c r="N70" s="85">
        <v>500000</v>
      </c>
      <c r="O70" s="85">
        <v>0</v>
      </c>
      <c r="P70" s="676">
        <v>325675.544106665</v>
      </c>
      <c r="Q70" s="676">
        <v>139768.513333333</v>
      </c>
      <c r="R70" s="510">
        <f>P70+O70+M70+N70+L70+K70+Q70</f>
        <v>1215444.05744</v>
      </c>
      <c r="S70" s="85">
        <v>729662.359226662</v>
      </c>
      <c r="T70" s="509">
        <f>J70-R70</f>
        <v>731662.359226662</v>
      </c>
    </row>
    <row r="71" customHeight="1" spans="1:20">
      <c r="A71" s="10">
        <v>2</v>
      </c>
      <c r="B71" s="11" t="s">
        <v>148</v>
      </c>
      <c r="C71" s="12" t="s">
        <v>149</v>
      </c>
      <c r="D71" s="15" t="s">
        <v>150</v>
      </c>
      <c r="E71" s="85">
        <v>744477</v>
      </c>
      <c r="F71" s="85"/>
      <c r="G71" s="220"/>
      <c r="H71" s="220">
        <v>80000</v>
      </c>
      <c r="I71" s="85"/>
      <c r="J71" s="509">
        <f>SUM(E71:I71)</f>
        <v>824477</v>
      </c>
      <c r="K71" s="85"/>
      <c r="L71" s="85">
        <v>50000</v>
      </c>
      <c r="M71" s="85">
        <v>345000</v>
      </c>
      <c r="N71" s="85"/>
      <c r="O71" s="85">
        <v>0</v>
      </c>
      <c r="P71" s="676">
        <v>125531.083946667</v>
      </c>
      <c r="Q71" s="676">
        <v>59558.16</v>
      </c>
      <c r="R71" s="510">
        <f>P71+O71+M71+N71+L71+K71+Q71</f>
        <v>580089.243946667</v>
      </c>
      <c r="S71" s="85">
        <v>244387.756053333</v>
      </c>
      <c r="T71" s="509">
        <f>J71-R71</f>
        <v>244387.756053333</v>
      </c>
    </row>
    <row r="72" customHeight="1" spans="1:20">
      <c r="A72" s="10"/>
      <c r="B72" s="20" t="s">
        <v>111</v>
      </c>
      <c r="C72" s="21">
        <v>2</v>
      </c>
      <c r="D72" s="21"/>
      <c r="E72" s="93">
        <f>SUM(E70:E71)</f>
        <v>2491583.41666666</v>
      </c>
      <c r="F72" s="93">
        <f>SUM(F70:F71)</f>
        <v>0</v>
      </c>
      <c r="G72" s="93">
        <f t="shared" ref="G72:S72" si="23">SUM(G70:G71)</f>
        <v>200000</v>
      </c>
      <c r="H72" s="93">
        <f t="shared" si="23"/>
        <v>80000</v>
      </c>
      <c r="I72" s="93">
        <f t="shared" si="23"/>
        <v>0</v>
      </c>
      <c r="J72" s="93">
        <f t="shared" si="23"/>
        <v>2771583.41666666</v>
      </c>
      <c r="K72" s="93">
        <f t="shared" si="23"/>
        <v>0</v>
      </c>
      <c r="L72" s="93">
        <f t="shared" si="23"/>
        <v>300000</v>
      </c>
      <c r="M72" s="93">
        <f t="shared" si="23"/>
        <v>345000</v>
      </c>
      <c r="N72" s="93">
        <f t="shared" si="23"/>
        <v>500000</v>
      </c>
      <c r="O72" s="93">
        <f t="shared" si="23"/>
        <v>0</v>
      </c>
      <c r="P72" s="93">
        <f t="shared" si="23"/>
        <v>451206.628053332</v>
      </c>
      <c r="Q72" s="93">
        <f t="shared" si="23"/>
        <v>199326.673333333</v>
      </c>
      <c r="R72" s="93">
        <f t="shared" si="23"/>
        <v>1795533.30138667</v>
      </c>
      <c r="S72" s="93">
        <v>974050.115279995</v>
      </c>
      <c r="T72" s="93">
        <f>SUM(T70:T71)</f>
        <v>976050.115279995</v>
      </c>
    </row>
    <row r="73" customHeight="1" spans="1:20">
      <c r="A73" s="10"/>
      <c r="B73" s="20"/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146"/>
      <c r="R73" s="517"/>
      <c r="S73" s="146"/>
      <c r="T73" s="516"/>
    </row>
    <row r="74" customHeight="1" spans="1:20">
      <c r="A74" s="10"/>
      <c r="B74" s="20" t="s">
        <v>151</v>
      </c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146"/>
      <c r="R74" s="517"/>
      <c r="S74" s="146"/>
      <c r="T74" s="516"/>
    </row>
    <row r="75" customHeight="1" spans="1:20">
      <c r="A75" s="10">
        <v>1</v>
      </c>
      <c r="B75" s="14" t="s">
        <v>152</v>
      </c>
      <c r="C75" s="4" t="s">
        <v>153</v>
      </c>
      <c r="D75" s="10" t="s">
        <v>154</v>
      </c>
      <c r="E75" s="85">
        <v>905306.75</v>
      </c>
      <c r="F75" s="85"/>
      <c r="G75" s="220">
        <v>180000</v>
      </c>
      <c r="H75" s="220"/>
      <c r="I75" s="85">
        <v>0</v>
      </c>
      <c r="J75" s="509">
        <f t="shared" ref="J75:J82" si="24">SUM(E75:I75)</f>
        <v>1085306.75</v>
      </c>
      <c r="K75" s="85"/>
      <c r="L75" s="85">
        <f>60000</f>
        <v>60000</v>
      </c>
      <c r="M75" s="85">
        <f>163103.59</f>
        <v>163103.59</v>
      </c>
      <c r="N75" s="85"/>
      <c r="O75" s="85">
        <v>13866.7375</v>
      </c>
      <c r="P75" s="85">
        <v>170477.637386667</v>
      </c>
      <c r="Q75" s="85">
        <v>72424.54</v>
      </c>
      <c r="R75" s="510">
        <f>P75+O75+M75+N75+L75+K75+Q75</f>
        <v>479872.504886667</v>
      </c>
      <c r="S75" s="85">
        <v>605434.245113333</v>
      </c>
      <c r="T75" s="509">
        <f t="shared" ref="T75:T78" si="25">J75-R75</f>
        <v>605434.245113333</v>
      </c>
    </row>
    <row r="76" customHeight="1" spans="1:20">
      <c r="A76" s="10">
        <v>2</v>
      </c>
      <c r="B76" s="11" t="s">
        <v>155</v>
      </c>
      <c r="C76" s="4" t="s">
        <v>156</v>
      </c>
      <c r="D76" s="10" t="s">
        <v>46</v>
      </c>
      <c r="E76" s="85">
        <v>558165.25</v>
      </c>
      <c r="F76" s="85"/>
      <c r="G76" s="220">
        <v>140000</v>
      </c>
      <c r="H76" s="220"/>
      <c r="I76" s="85"/>
      <c r="J76" s="509">
        <f t="shared" si="24"/>
        <v>698165.25</v>
      </c>
      <c r="K76" s="85"/>
      <c r="L76" s="85">
        <f>110000+90000</f>
        <v>200000</v>
      </c>
      <c r="M76" s="85"/>
      <c r="N76" s="85">
        <v>80000</v>
      </c>
      <c r="O76" s="85"/>
      <c r="P76" s="85">
        <v>104140.976426667</v>
      </c>
      <c r="Q76" s="85">
        <v>44653.22</v>
      </c>
      <c r="R76" s="510">
        <f t="shared" ref="R76:R84" si="26">P76+O76+M76+N76+L76+K76+Q76</f>
        <v>428794.196426667</v>
      </c>
      <c r="S76" s="85">
        <v>267371.053573333</v>
      </c>
      <c r="T76" s="509">
        <f t="shared" si="25"/>
        <v>269371.053573333</v>
      </c>
    </row>
    <row r="77" s="1" customFormat="1" customHeight="1" spans="1:20">
      <c r="A77" s="10">
        <v>3</v>
      </c>
      <c r="B77" s="18" t="s">
        <v>157</v>
      </c>
      <c r="C77" s="17" t="s">
        <v>158</v>
      </c>
      <c r="D77" s="15" t="s">
        <v>159</v>
      </c>
      <c r="E77" s="85">
        <v>482846.583333333</v>
      </c>
      <c r="F77" s="85"/>
      <c r="G77" s="220">
        <f>120000</f>
        <v>120000</v>
      </c>
      <c r="H77" s="220"/>
      <c r="I77" s="85">
        <v>0</v>
      </c>
      <c r="J77" s="510">
        <f t="shared" si="24"/>
        <v>602846.583333333</v>
      </c>
      <c r="K77" s="85"/>
      <c r="L77" s="85">
        <v>30000</v>
      </c>
      <c r="M77" s="85">
        <v>15000</v>
      </c>
      <c r="N77" s="85"/>
      <c r="O77" s="85"/>
      <c r="P77" s="85">
        <v>86996.6871466667</v>
      </c>
      <c r="Q77" s="85">
        <v>38627.7266666667</v>
      </c>
      <c r="R77" s="510">
        <f t="shared" si="26"/>
        <v>170624.413813333</v>
      </c>
      <c r="S77" s="85">
        <v>432222.16952</v>
      </c>
      <c r="T77" s="510">
        <f t="shared" si="25"/>
        <v>432222.16952</v>
      </c>
    </row>
    <row r="78" s="1" customFormat="1" customHeight="1" spans="1:20">
      <c r="A78" s="10">
        <v>4</v>
      </c>
      <c r="B78" s="18" t="s">
        <v>160</v>
      </c>
      <c r="C78" s="17" t="s">
        <v>158</v>
      </c>
      <c r="D78" s="15" t="s">
        <v>159</v>
      </c>
      <c r="E78" s="85">
        <v>482846.583333333</v>
      </c>
      <c r="F78" s="85"/>
      <c r="G78" s="220">
        <f>120000</f>
        <v>120000</v>
      </c>
      <c r="H78" s="220"/>
      <c r="I78" s="85">
        <v>0</v>
      </c>
      <c r="J78" s="510">
        <f t="shared" si="24"/>
        <v>602846.583333333</v>
      </c>
      <c r="K78" s="85"/>
      <c r="L78" s="85">
        <v>100000</v>
      </c>
      <c r="M78" s="85"/>
      <c r="N78" s="85"/>
      <c r="O78" s="85"/>
      <c r="P78" s="85">
        <v>86996.6871466667</v>
      </c>
      <c r="Q78" s="85">
        <v>38627.7266666667</v>
      </c>
      <c r="R78" s="510">
        <f t="shared" si="26"/>
        <v>225624.413813333</v>
      </c>
      <c r="S78" s="85">
        <v>377222.16952</v>
      </c>
      <c r="T78" s="510">
        <f t="shared" si="25"/>
        <v>377222.16952</v>
      </c>
    </row>
    <row r="79" customHeight="1" spans="1:20">
      <c r="A79" s="10">
        <v>5</v>
      </c>
      <c r="B79" s="11" t="s">
        <v>161</v>
      </c>
      <c r="C79" s="4" t="s">
        <v>139</v>
      </c>
      <c r="D79" s="10" t="s">
        <v>162</v>
      </c>
      <c r="E79" s="85">
        <v>468828.166666667</v>
      </c>
      <c r="F79" s="85"/>
      <c r="G79" s="220">
        <f>110000</f>
        <v>110000</v>
      </c>
      <c r="H79" s="220"/>
      <c r="I79" s="85">
        <v>0</v>
      </c>
      <c r="J79" s="509">
        <f t="shared" si="24"/>
        <v>578828.166666667</v>
      </c>
      <c r="K79" s="85"/>
      <c r="L79" s="85">
        <v>10000</v>
      </c>
      <c r="M79" s="85">
        <f>163196.67</f>
        <v>163196.67</v>
      </c>
      <c r="N79" s="85"/>
      <c r="O79" s="85"/>
      <c r="P79" s="85">
        <v>82600.4740266667</v>
      </c>
      <c r="Q79" s="85">
        <v>37506.2533333334</v>
      </c>
      <c r="R79" s="510">
        <f t="shared" si="26"/>
        <v>293303.39736</v>
      </c>
      <c r="S79" s="85">
        <v>285524.769306667</v>
      </c>
      <c r="T79" s="509">
        <f t="shared" ref="T79:T84" si="27">J79-R79</f>
        <v>285524.769306667</v>
      </c>
    </row>
    <row r="80" customHeight="1" spans="1:20">
      <c r="A80" s="10">
        <v>6</v>
      </c>
      <c r="B80" s="11" t="s">
        <v>163</v>
      </c>
      <c r="C80" s="17" t="s">
        <v>70</v>
      </c>
      <c r="D80" s="10" t="s">
        <v>162</v>
      </c>
      <c r="E80" s="85">
        <v>468828.166666667</v>
      </c>
      <c r="F80" s="85"/>
      <c r="G80" s="220">
        <f t="shared" ref="G80:G82" si="28">110000</f>
        <v>110000</v>
      </c>
      <c r="H80" s="220"/>
      <c r="I80" s="85">
        <v>0</v>
      </c>
      <c r="J80" s="509">
        <f t="shared" si="24"/>
        <v>578828.166666667</v>
      </c>
      <c r="K80" s="85"/>
      <c r="L80" s="85"/>
      <c r="M80" s="85"/>
      <c r="N80" s="85">
        <v>50000</v>
      </c>
      <c r="O80" s="85"/>
      <c r="P80" s="85">
        <v>82600.4740266667</v>
      </c>
      <c r="Q80" s="85">
        <v>37506.2533333334</v>
      </c>
      <c r="R80" s="510">
        <f t="shared" si="26"/>
        <v>170106.72736</v>
      </c>
      <c r="S80" s="85">
        <v>356721.439306667</v>
      </c>
      <c r="T80" s="509">
        <f t="shared" si="27"/>
        <v>408721.439306667</v>
      </c>
    </row>
    <row r="81" customHeight="1" spans="1:20">
      <c r="A81" s="10">
        <v>7</v>
      </c>
      <c r="B81" s="11" t="s">
        <v>164</v>
      </c>
      <c r="C81" s="17" t="s">
        <v>70</v>
      </c>
      <c r="D81" s="10" t="s">
        <v>162</v>
      </c>
      <c r="E81" s="85">
        <v>468828.166666667</v>
      </c>
      <c r="F81" s="85"/>
      <c r="G81" s="220">
        <f t="shared" si="28"/>
        <v>110000</v>
      </c>
      <c r="H81" s="220"/>
      <c r="I81" s="85">
        <v>0</v>
      </c>
      <c r="J81" s="509">
        <f t="shared" si="24"/>
        <v>578828.166666667</v>
      </c>
      <c r="K81" s="85"/>
      <c r="L81" s="85">
        <f>67000-2000</f>
        <v>65000</v>
      </c>
      <c r="M81" s="85"/>
      <c r="N81" s="85">
        <v>40000</v>
      </c>
      <c r="O81" s="85"/>
      <c r="P81" s="85">
        <v>82600.4740266667</v>
      </c>
      <c r="Q81" s="85">
        <v>37506.2533333334</v>
      </c>
      <c r="R81" s="510">
        <f t="shared" si="26"/>
        <v>225106.72736</v>
      </c>
      <c r="S81" s="85">
        <v>351721.439306667</v>
      </c>
      <c r="T81" s="509">
        <f t="shared" si="27"/>
        <v>353721.439306667</v>
      </c>
    </row>
    <row r="82" customHeight="1" spans="1:20">
      <c r="A82" s="10">
        <v>8</v>
      </c>
      <c r="B82" s="11" t="s">
        <v>165</v>
      </c>
      <c r="C82" s="4" t="s">
        <v>166</v>
      </c>
      <c r="D82" s="10" t="s">
        <v>65</v>
      </c>
      <c r="E82" s="457">
        <v>482662.666666667</v>
      </c>
      <c r="F82" s="85"/>
      <c r="G82" s="220">
        <f t="shared" si="28"/>
        <v>110000</v>
      </c>
      <c r="H82" s="220"/>
      <c r="I82" s="85"/>
      <c r="J82" s="509">
        <f t="shared" si="24"/>
        <v>592662.666666667</v>
      </c>
      <c r="K82" s="85"/>
      <c r="L82" s="85">
        <f>80000+20000</f>
        <v>100000</v>
      </c>
      <c r="M82" s="85"/>
      <c r="N82" s="85">
        <v>100000</v>
      </c>
      <c r="O82" s="85"/>
      <c r="P82" s="85">
        <v>85044.2001066667</v>
      </c>
      <c r="Q82" s="85">
        <v>38613.0133333334</v>
      </c>
      <c r="R82" s="510">
        <f t="shared" si="26"/>
        <v>323657.21344</v>
      </c>
      <c r="S82" s="85">
        <v>267005.453226667</v>
      </c>
      <c r="T82" s="509">
        <f t="shared" si="27"/>
        <v>269005.453226667</v>
      </c>
    </row>
    <row r="83" s="1" customFormat="1" customHeight="1" spans="1:20">
      <c r="A83" s="10">
        <v>9</v>
      </c>
      <c r="B83" s="14" t="s">
        <v>167</v>
      </c>
      <c r="C83" s="17" t="s">
        <v>64</v>
      </c>
      <c r="D83" s="10" t="s">
        <v>137</v>
      </c>
      <c r="E83" s="85">
        <v>441159</v>
      </c>
      <c r="F83" s="85"/>
      <c r="G83" s="220">
        <v>110000</v>
      </c>
      <c r="H83" s="220"/>
      <c r="I83" s="85"/>
      <c r="J83" s="510">
        <f>E83+F83+G83+H83+I83</f>
        <v>551159</v>
      </c>
      <c r="K83" s="85"/>
      <c r="L83" s="85">
        <v>20000</v>
      </c>
      <c r="M83" s="85">
        <v>50000</v>
      </c>
      <c r="N83" s="85"/>
      <c r="O83" s="85"/>
      <c r="P83" s="85">
        <v>77712.9924266667</v>
      </c>
      <c r="Q83" s="85">
        <v>35292.72</v>
      </c>
      <c r="R83" s="510">
        <f t="shared" si="26"/>
        <v>183005.712426667</v>
      </c>
      <c r="S83" s="85">
        <v>368153.287573333</v>
      </c>
      <c r="T83" s="510">
        <f t="shared" si="27"/>
        <v>368153.287573333</v>
      </c>
    </row>
    <row r="84" ht="21.6" customHeight="1" spans="1:20">
      <c r="A84" s="10">
        <v>10</v>
      </c>
      <c r="B84" s="11" t="s">
        <v>168</v>
      </c>
      <c r="C84" s="4" t="s">
        <v>139</v>
      </c>
      <c r="D84" s="10" t="s">
        <v>119</v>
      </c>
      <c r="E84" s="220">
        <v>390135.833333334</v>
      </c>
      <c r="F84" s="85"/>
      <c r="G84" s="220">
        <v>100000</v>
      </c>
      <c r="H84" s="220"/>
      <c r="I84" s="85"/>
      <c r="J84" s="509">
        <f t="shared" ref="J84:J89" si="29">SUM(E84:I84)</f>
        <v>490135.833333334</v>
      </c>
      <c r="K84" s="4"/>
      <c r="L84" s="4"/>
      <c r="M84" s="4"/>
      <c r="N84" s="977">
        <v>30000</v>
      </c>
      <c r="O84" s="916">
        <v>6154.27916666668</v>
      </c>
      <c r="P84" s="85">
        <v>65598.6386666668</v>
      </c>
      <c r="Q84" s="85">
        <v>31210.8666666667</v>
      </c>
      <c r="R84" s="510">
        <f t="shared" si="26"/>
        <v>132963.7845</v>
      </c>
      <c r="S84" s="979">
        <v>355172.048833334</v>
      </c>
      <c r="T84" s="980">
        <f t="shared" si="27"/>
        <v>357172.048833334</v>
      </c>
    </row>
    <row r="85" ht="27" customHeight="1" spans="1:20">
      <c r="A85" s="10"/>
      <c r="B85" s="20" t="s">
        <v>111</v>
      </c>
      <c r="C85" s="21">
        <v>10</v>
      </c>
      <c r="D85" s="21"/>
      <c r="E85" s="93">
        <f>SUM(E75:E84)</f>
        <v>5149607.16666667</v>
      </c>
      <c r="F85" s="93">
        <f>SUM(F75:F84)</f>
        <v>0</v>
      </c>
      <c r="G85" s="93">
        <f t="shared" ref="G85:R85" si="30">SUM(G75:G84)</f>
        <v>1210000</v>
      </c>
      <c r="H85" s="93">
        <f t="shared" si="30"/>
        <v>0</v>
      </c>
      <c r="I85" s="93">
        <f t="shared" si="30"/>
        <v>0</v>
      </c>
      <c r="J85" s="93">
        <f t="shared" si="30"/>
        <v>6359607.16666667</v>
      </c>
      <c r="K85" s="93">
        <f t="shared" si="30"/>
        <v>0</v>
      </c>
      <c r="L85" s="93">
        <f t="shared" si="30"/>
        <v>585000</v>
      </c>
      <c r="M85" s="93">
        <f t="shared" si="30"/>
        <v>391300.26</v>
      </c>
      <c r="N85" s="93">
        <f t="shared" si="30"/>
        <v>300000</v>
      </c>
      <c r="O85" s="93">
        <f t="shared" si="30"/>
        <v>20021.0166666667</v>
      </c>
      <c r="P85" s="93">
        <f t="shared" si="30"/>
        <v>924769.241386668</v>
      </c>
      <c r="Q85" s="93">
        <f t="shared" si="30"/>
        <v>411968.573333334</v>
      </c>
      <c r="R85" s="93">
        <f t="shared" si="30"/>
        <v>2633059.09138667</v>
      </c>
      <c r="S85" s="93">
        <v>3666548.07528</v>
      </c>
      <c r="T85" s="93">
        <f>SUM(T75:T84)</f>
        <v>3726548.07528</v>
      </c>
    </row>
    <row r="86" customHeight="1" spans="1:20">
      <c r="A86" s="10"/>
      <c r="B86" s="22"/>
      <c r="C86" s="21"/>
      <c r="D86" s="21"/>
      <c r="E86" s="146"/>
      <c r="F86" s="146"/>
      <c r="G86" s="220"/>
      <c r="H86" s="220"/>
      <c r="I86" s="146"/>
      <c r="J86" s="516"/>
      <c r="K86" s="146"/>
      <c r="L86" s="146"/>
      <c r="M86" s="146"/>
      <c r="N86" s="146"/>
      <c r="O86" s="146"/>
      <c r="P86" s="146"/>
      <c r="Q86" s="146"/>
      <c r="R86" s="517"/>
      <c r="S86" s="146"/>
      <c r="T86" s="516"/>
    </row>
    <row r="87" customHeight="1" spans="1:20">
      <c r="A87" s="10"/>
      <c r="B87" s="20" t="s">
        <v>169</v>
      </c>
      <c r="C87" s="21"/>
      <c r="D87" s="21"/>
      <c r="E87" s="146"/>
      <c r="F87" s="146"/>
      <c r="G87" s="220"/>
      <c r="H87" s="220"/>
      <c r="I87" s="146"/>
      <c r="J87" s="516"/>
      <c r="K87" s="146"/>
      <c r="L87" s="146"/>
      <c r="M87" s="146"/>
      <c r="N87" s="146"/>
      <c r="O87" s="146"/>
      <c r="P87" s="146"/>
      <c r="Q87" s="146"/>
      <c r="R87" s="517"/>
      <c r="S87" s="146"/>
      <c r="T87" s="516"/>
    </row>
    <row r="88" customHeight="1" spans="1:20">
      <c r="A88" s="10">
        <v>1</v>
      </c>
      <c r="B88" s="11" t="s">
        <v>170</v>
      </c>
      <c r="C88" s="4" t="s">
        <v>171</v>
      </c>
      <c r="D88" s="10" t="s">
        <v>115</v>
      </c>
      <c r="E88" s="85">
        <v>1747106.41666666</v>
      </c>
      <c r="F88" s="85"/>
      <c r="G88" s="220">
        <f>200000</f>
        <v>200000</v>
      </c>
      <c r="H88" s="220"/>
      <c r="I88" s="85">
        <v>0</v>
      </c>
      <c r="J88" s="509">
        <f t="shared" si="29"/>
        <v>1947106.41666666</v>
      </c>
      <c r="K88" s="85"/>
      <c r="L88" s="85">
        <v>350000</v>
      </c>
      <c r="M88" s="85">
        <f>0</f>
        <v>0</v>
      </c>
      <c r="N88" s="85">
        <v>102000</v>
      </c>
      <c r="O88" s="85">
        <v>0</v>
      </c>
      <c r="P88" s="85">
        <v>325675.544106665</v>
      </c>
      <c r="Q88" s="85">
        <v>139768.513333333</v>
      </c>
      <c r="R88" s="510">
        <f>P88+O88+M88+N88+L88+K88+Q88</f>
        <v>917444.057439998</v>
      </c>
      <c r="S88" s="85">
        <v>1131662.35922666</v>
      </c>
      <c r="T88" s="509">
        <f>J88-R88</f>
        <v>1029662.35922666</v>
      </c>
    </row>
    <row r="89" customHeight="1" spans="1:20">
      <c r="A89" s="10">
        <v>2</v>
      </c>
      <c r="B89" s="11" t="s">
        <v>172</v>
      </c>
      <c r="C89" s="4" t="s">
        <v>173</v>
      </c>
      <c r="D89" s="10" t="s">
        <v>49</v>
      </c>
      <c r="E89" s="85">
        <v>722595.5</v>
      </c>
      <c r="F89" s="85"/>
      <c r="G89" s="220">
        <v>160000</v>
      </c>
      <c r="H89" s="220"/>
      <c r="I89" s="85"/>
      <c r="J89" s="509">
        <f t="shared" si="29"/>
        <v>882595.5</v>
      </c>
      <c r="K89" s="85"/>
      <c r="L89" s="978">
        <f>50000</f>
        <v>50000</v>
      </c>
      <c r="M89" s="978">
        <f>144081</f>
        <v>144081</v>
      </c>
      <c r="N89" s="85"/>
      <c r="O89" s="85"/>
      <c r="P89" s="85">
        <v>137025.935786667</v>
      </c>
      <c r="Q89" s="85">
        <v>57807.64</v>
      </c>
      <c r="R89" s="510">
        <f>P89+O89+M89+N89+L89+K89+Q89</f>
        <v>388914.575786667</v>
      </c>
      <c r="S89" s="85"/>
      <c r="T89" s="509">
        <f>J89-R89</f>
        <v>493680.924213333</v>
      </c>
    </row>
    <row r="90" customHeight="1" spans="1:20">
      <c r="A90" s="10">
        <v>3</v>
      </c>
      <c r="B90" s="11" t="s">
        <v>174</v>
      </c>
      <c r="C90" s="4" t="s">
        <v>175</v>
      </c>
      <c r="D90" s="10" t="s">
        <v>49</v>
      </c>
      <c r="E90" s="85">
        <v>722595.5</v>
      </c>
      <c r="F90" s="85"/>
      <c r="G90" s="220">
        <v>160000</v>
      </c>
      <c r="H90" s="220"/>
      <c r="I90" s="85"/>
      <c r="J90" s="509">
        <f t="shared" ref="J90:J96" si="31">SUM(E90:I90)</f>
        <v>882595.5</v>
      </c>
      <c r="K90" s="85"/>
      <c r="L90" s="85"/>
      <c r="M90" s="85"/>
      <c r="N90" s="85"/>
      <c r="O90" s="85"/>
      <c r="P90" s="85">
        <v>137025.935786667</v>
      </c>
      <c r="Q90" s="85">
        <v>57807.64</v>
      </c>
      <c r="R90" s="510">
        <f t="shared" ref="R90:R96" si="32">P90+O90+M90+N90+L90+K90+Q90</f>
        <v>194833.575786667</v>
      </c>
      <c r="S90" s="85">
        <v>687761.924213333</v>
      </c>
      <c r="T90" s="509">
        <f t="shared" ref="T90:T96" si="33">J90-R90</f>
        <v>687761.924213333</v>
      </c>
    </row>
    <row r="91" customHeight="1" spans="1:20">
      <c r="A91" s="10">
        <v>4</v>
      </c>
      <c r="B91" s="11" t="s">
        <v>176</v>
      </c>
      <c r="C91" s="4" t="s">
        <v>177</v>
      </c>
      <c r="D91" s="15" t="s">
        <v>178</v>
      </c>
      <c r="E91" s="85">
        <v>573911.083333334</v>
      </c>
      <c r="F91" s="85"/>
      <c r="G91" s="220">
        <f>140000</f>
        <v>140000</v>
      </c>
      <c r="H91" s="220"/>
      <c r="I91" s="85">
        <v>0</v>
      </c>
      <c r="J91" s="509">
        <f t="shared" si="31"/>
        <v>713911.083333334</v>
      </c>
      <c r="K91" s="85"/>
      <c r="L91" s="85">
        <v>20000</v>
      </c>
      <c r="M91" s="85">
        <v>210785.51</v>
      </c>
      <c r="N91" s="85"/>
      <c r="O91" s="85">
        <v>8926.66666666668</v>
      </c>
      <c r="P91" s="85">
        <v>105208.400426667</v>
      </c>
      <c r="Q91" s="85">
        <v>45912.8866666667</v>
      </c>
      <c r="R91" s="510">
        <f t="shared" si="32"/>
        <v>390833.46376</v>
      </c>
      <c r="S91" s="85">
        <v>323077.619573334</v>
      </c>
      <c r="T91" s="509">
        <f t="shared" si="33"/>
        <v>323077.619573334</v>
      </c>
    </row>
    <row r="92" customHeight="1" spans="1:20">
      <c r="A92" s="10">
        <v>5</v>
      </c>
      <c r="B92" s="11" t="s">
        <v>179</v>
      </c>
      <c r="C92" s="12" t="s">
        <v>180</v>
      </c>
      <c r="D92" s="15" t="s">
        <v>159</v>
      </c>
      <c r="E92" s="85">
        <v>482846.583333334</v>
      </c>
      <c r="F92" s="85"/>
      <c r="G92" s="220">
        <v>120000</v>
      </c>
      <c r="H92" s="220"/>
      <c r="I92" s="85"/>
      <c r="J92" s="509">
        <f t="shared" si="31"/>
        <v>602846.583333334</v>
      </c>
      <c r="K92" s="85"/>
      <c r="L92" s="85"/>
      <c r="M92" s="85"/>
      <c r="N92" s="85"/>
      <c r="O92" s="85">
        <v>7574.68541666667</v>
      </c>
      <c r="P92" s="85">
        <v>86996.6871466667</v>
      </c>
      <c r="Q92" s="85">
        <v>38627.7266666667</v>
      </c>
      <c r="R92" s="510">
        <f t="shared" si="32"/>
        <v>133199.09923</v>
      </c>
      <c r="S92" s="85">
        <v>776929.823703333</v>
      </c>
      <c r="T92" s="509">
        <f t="shared" si="33"/>
        <v>469647.484103334</v>
      </c>
    </row>
    <row r="93" s="1" customFormat="1" customHeight="1" spans="1:20">
      <c r="A93" s="10">
        <v>6</v>
      </c>
      <c r="B93" s="11" t="s">
        <v>181</v>
      </c>
      <c r="C93" s="4" t="s">
        <v>182</v>
      </c>
      <c r="D93" s="15" t="s">
        <v>159</v>
      </c>
      <c r="E93" s="85">
        <v>482846.583333333</v>
      </c>
      <c r="F93" s="85"/>
      <c r="G93" s="220">
        <f>120000</f>
        <v>120000</v>
      </c>
      <c r="H93" s="220"/>
      <c r="I93" s="85">
        <v>0</v>
      </c>
      <c r="J93" s="510">
        <f t="shared" si="31"/>
        <v>602846.583333333</v>
      </c>
      <c r="K93" s="85"/>
      <c r="L93" s="85">
        <v>100000</v>
      </c>
      <c r="M93" s="85">
        <v>50000</v>
      </c>
      <c r="N93" s="85">
        <v>100000</v>
      </c>
      <c r="O93" s="85"/>
      <c r="P93" s="85">
        <v>86996.6871466667</v>
      </c>
      <c r="Q93" s="85">
        <v>38627.7266666667</v>
      </c>
      <c r="R93" s="510">
        <f t="shared" si="32"/>
        <v>375624.413813333</v>
      </c>
      <c r="S93" s="85">
        <v>225222.16952</v>
      </c>
      <c r="T93" s="510">
        <f t="shared" si="33"/>
        <v>227222.16952</v>
      </c>
    </row>
    <row r="94" customHeight="1" spans="1:20">
      <c r="A94" s="10">
        <v>7</v>
      </c>
      <c r="B94" s="11" t="s">
        <v>183</v>
      </c>
      <c r="C94" s="4" t="s">
        <v>184</v>
      </c>
      <c r="D94" s="10" t="s">
        <v>68</v>
      </c>
      <c r="E94" s="85">
        <v>454993.583333333</v>
      </c>
      <c r="F94" s="85"/>
      <c r="G94" s="220">
        <f>110000</f>
        <v>110000</v>
      </c>
      <c r="H94" s="220"/>
      <c r="I94" s="85"/>
      <c r="J94" s="509">
        <f t="shared" si="31"/>
        <v>564993.583333333</v>
      </c>
      <c r="K94" s="85"/>
      <c r="L94" s="85">
        <f>50000</f>
        <v>50000</v>
      </c>
      <c r="M94" s="85">
        <f>50000</f>
        <v>50000</v>
      </c>
      <c r="N94" s="85"/>
      <c r="O94" s="85"/>
      <c r="P94" s="85">
        <v>80156.7332266666</v>
      </c>
      <c r="Q94" s="85">
        <v>36399.4866666666</v>
      </c>
      <c r="R94" s="510">
        <f t="shared" si="32"/>
        <v>216556.219893333</v>
      </c>
      <c r="S94" s="85">
        <v>348437.36344</v>
      </c>
      <c r="T94" s="509">
        <f t="shared" si="33"/>
        <v>348437.36344</v>
      </c>
    </row>
    <row r="95" customHeight="1" spans="1:20">
      <c r="A95" s="10">
        <v>8</v>
      </c>
      <c r="B95" s="11" t="s">
        <v>185</v>
      </c>
      <c r="C95" s="4" t="s">
        <v>186</v>
      </c>
      <c r="D95" s="10" t="s">
        <v>87</v>
      </c>
      <c r="E95" s="85">
        <v>347016.166666666</v>
      </c>
      <c r="F95" s="85"/>
      <c r="G95" s="220">
        <v>100000</v>
      </c>
      <c r="H95" s="220"/>
      <c r="I95" s="85"/>
      <c r="J95" s="509">
        <f t="shared" si="31"/>
        <v>447016.166666666</v>
      </c>
      <c r="K95" s="85"/>
      <c r="L95" s="85"/>
      <c r="M95" s="85"/>
      <c r="N95" s="85"/>
      <c r="O95" s="85">
        <v>5566.86458333332</v>
      </c>
      <c r="P95" s="85">
        <v>59163.6023466665</v>
      </c>
      <c r="Q95" s="85">
        <v>27761.2933333333</v>
      </c>
      <c r="R95" s="510">
        <f t="shared" si="32"/>
        <v>92491.7602633331</v>
      </c>
      <c r="S95" s="85">
        <v>354524.406403333</v>
      </c>
      <c r="T95" s="509">
        <f t="shared" si="33"/>
        <v>354524.406403333</v>
      </c>
    </row>
    <row r="96" customHeight="1" spans="1:20">
      <c r="A96" s="10">
        <v>9</v>
      </c>
      <c r="B96" s="11" t="s">
        <v>187</v>
      </c>
      <c r="C96" s="4" t="s">
        <v>188</v>
      </c>
      <c r="D96" s="10" t="s">
        <v>102</v>
      </c>
      <c r="E96" s="85">
        <v>301910.75</v>
      </c>
      <c r="F96" s="85"/>
      <c r="G96" s="220">
        <v>100000</v>
      </c>
      <c r="H96" s="220">
        <v>0</v>
      </c>
      <c r="I96" s="85"/>
      <c r="J96" s="509">
        <f t="shared" si="31"/>
        <v>401910.75</v>
      </c>
      <c r="K96" s="85"/>
      <c r="L96" s="85">
        <v>80000</v>
      </c>
      <c r="M96" s="85">
        <v>50000</v>
      </c>
      <c r="N96" s="85"/>
      <c r="O96" s="85">
        <v>0</v>
      </c>
      <c r="P96" s="85">
        <v>51196.1815466667</v>
      </c>
      <c r="Q96" s="85">
        <v>24152.86</v>
      </c>
      <c r="R96" s="510">
        <f t="shared" si="32"/>
        <v>205349.041546667</v>
      </c>
      <c r="S96" s="85">
        <v>246561.708453333</v>
      </c>
      <c r="T96" s="509">
        <f t="shared" si="33"/>
        <v>196561.708453333</v>
      </c>
    </row>
    <row r="97" customHeight="1" spans="1:20">
      <c r="A97" s="10"/>
      <c r="B97" s="20" t="s">
        <v>111</v>
      </c>
      <c r="C97" s="21">
        <v>9</v>
      </c>
      <c r="D97" s="21"/>
      <c r="E97" s="93">
        <f>SUM(E88:E96)</f>
        <v>5835822.16666666</v>
      </c>
      <c r="F97" s="93">
        <f>SUM(F88:F96)</f>
        <v>0</v>
      </c>
      <c r="G97" s="93">
        <f t="shared" ref="G97:S97" si="34">SUM(G88:G96)</f>
        <v>1210000</v>
      </c>
      <c r="H97" s="93">
        <f t="shared" si="34"/>
        <v>0</v>
      </c>
      <c r="I97" s="93">
        <f t="shared" si="34"/>
        <v>0</v>
      </c>
      <c r="J97" s="93">
        <f t="shared" si="34"/>
        <v>7045822.16666666</v>
      </c>
      <c r="K97" s="93">
        <f t="shared" si="34"/>
        <v>0</v>
      </c>
      <c r="L97" s="93">
        <f t="shared" si="34"/>
        <v>650000</v>
      </c>
      <c r="M97" s="93">
        <f t="shared" si="34"/>
        <v>504866.51</v>
      </c>
      <c r="N97" s="93">
        <f t="shared" si="34"/>
        <v>202000</v>
      </c>
      <c r="O97" s="93">
        <f t="shared" si="34"/>
        <v>22068.2166666667</v>
      </c>
      <c r="P97" s="93">
        <f t="shared" si="34"/>
        <v>1069445.70752</v>
      </c>
      <c r="Q97" s="93">
        <f t="shared" si="34"/>
        <v>466865.773333333</v>
      </c>
      <c r="R97" s="93">
        <f t="shared" si="34"/>
        <v>2915246.20752</v>
      </c>
      <c r="S97" s="93">
        <v>4094177.37453333</v>
      </c>
      <c r="T97" s="93">
        <f>SUM(T88:T96)</f>
        <v>4130575.95914666</v>
      </c>
    </row>
    <row r="98" customHeight="1" spans="1:20">
      <c r="A98" s="10"/>
      <c r="B98" s="20"/>
      <c r="C98" s="21"/>
      <c r="D98" s="21"/>
      <c r="E98" s="146"/>
      <c r="F98" s="146"/>
      <c r="G98" s="220"/>
      <c r="H98" s="220"/>
      <c r="I98" s="146"/>
      <c r="J98" s="516"/>
      <c r="K98" s="146"/>
      <c r="L98" s="146"/>
      <c r="M98" s="146"/>
      <c r="N98" s="146"/>
      <c r="O98" s="146"/>
      <c r="P98" s="146"/>
      <c r="Q98" s="146"/>
      <c r="R98" s="510"/>
      <c r="S98" s="85"/>
      <c r="T98" s="509"/>
    </row>
    <row r="99" customHeight="1" spans="1:20">
      <c r="A99" s="10"/>
      <c r="B99" s="20" t="s">
        <v>189</v>
      </c>
      <c r="C99" s="25"/>
      <c r="D99" s="21"/>
      <c r="E99" s="146"/>
      <c r="F99" s="146"/>
      <c r="G99" s="220"/>
      <c r="H99" s="220"/>
      <c r="I99" s="146"/>
      <c r="J99" s="516"/>
      <c r="K99" s="146"/>
      <c r="L99" s="146"/>
      <c r="M99" s="146"/>
      <c r="N99" s="146"/>
      <c r="O99" s="146"/>
      <c r="P99" s="146"/>
      <c r="Q99" s="146"/>
      <c r="R99" s="510"/>
      <c r="S99" s="85"/>
      <c r="T99" s="509"/>
    </row>
    <row r="100" customHeight="1" spans="1:20">
      <c r="A100" s="10">
        <v>1</v>
      </c>
      <c r="B100" s="11" t="s">
        <v>190</v>
      </c>
      <c r="C100" s="4" t="s">
        <v>191</v>
      </c>
      <c r="D100" s="10" t="s">
        <v>128</v>
      </c>
      <c r="E100" s="85">
        <v>1647612</v>
      </c>
      <c r="F100" s="85"/>
      <c r="G100" s="220">
        <f>200000</f>
        <v>200000</v>
      </c>
      <c r="H100" s="220"/>
      <c r="I100" s="85"/>
      <c r="J100" s="509">
        <f>SUM(E100:I100)</f>
        <v>1847612</v>
      </c>
      <c r="K100" s="85"/>
      <c r="L100" s="85">
        <f>30000</f>
        <v>30000</v>
      </c>
      <c r="M100" s="85">
        <v>98750</v>
      </c>
      <c r="N100" s="85"/>
      <c r="O100" s="85">
        <v>25644.2083333333</v>
      </c>
      <c r="P100" s="85">
        <v>303177.162346667</v>
      </c>
      <c r="Q100" s="85">
        <v>131808.96</v>
      </c>
      <c r="R100" s="510">
        <f>P100+O100+M100+N100+L100+K100+Q100</f>
        <v>589380.33068</v>
      </c>
      <c r="S100" s="85">
        <v>1258231.66932</v>
      </c>
      <c r="T100" s="509">
        <f>J100-R100</f>
        <v>1258231.66932</v>
      </c>
    </row>
    <row r="101" customHeight="1" spans="1:20">
      <c r="A101" s="10">
        <v>2</v>
      </c>
      <c r="B101" s="11" t="s">
        <v>192</v>
      </c>
      <c r="C101" s="4" t="s">
        <v>193</v>
      </c>
      <c r="D101" s="10" t="s">
        <v>194</v>
      </c>
      <c r="E101" s="85">
        <v>852711.083333333</v>
      </c>
      <c r="F101" s="85"/>
      <c r="G101" s="220">
        <f>180000</f>
        <v>180000</v>
      </c>
      <c r="H101" s="220"/>
      <c r="I101" s="85">
        <f>100000+100000</f>
        <v>200000</v>
      </c>
      <c r="J101" s="509">
        <f>SUM(E101:I101)</f>
        <v>1232711.08333333</v>
      </c>
      <c r="K101" s="85"/>
      <c r="L101" s="85"/>
      <c r="M101" s="85"/>
      <c r="N101" s="85"/>
      <c r="O101" s="85"/>
      <c r="P101" s="85">
        <v>202249.552426666</v>
      </c>
      <c r="Q101" s="85">
        <v>68216.8866666666</v>
      </c>
      <c r="R101" s="510">
        <f t="shared" ref="R101:R110" si="35">P101+O101+M101+N101+L101+K101+Q101</f>
        <v>270466.439093333</v>
      </c>
      <c r="S101" s="85">
        <v>962244.644239997</v>
      </c>
      <c r="T101" s="509">
        <f>J101-R101</f>
        <v>962244.644239997</v>
      </c>
    </row>
    <row r="102" customHeight="1" spans="1:20">
      <c r="A102" s="10">
        <v>3</v>
      </c>
      <c r="B102" s="11" t="s">
        <v>195</v>
      </c>
      <c r="C102" s="4" t="s">
        <v>130</v>
      </c>
      <c r="D102" s="10" t="s">
        <v>38</v>
      </c>
      <c r="E102" s="85">
        <v>722595.5</v>
      </c>
      <c r="F102" s="85"/>
      <c r="G102" s="220">
        <v>160000</v>
      </c>
      <c r="H102" s="220"/>
      <c r="I102" s="85"/>
      <c r="J102" s="509">
        <f t="shared" ref="J102:J110" si="36">SUM(E102:I102)</f>
        <v>882595.5</v>
      </c>
      <c r="K102" s="85"/>
      <c r="L102" s="85">
        <f>50000</f>
        <v>50000</v>
      </c>
      <c r="M102" s="220"/>
      <c r="N102" s="220"/>
      <c r="O102" s="85"/>
      <c r="P102" s="85">
        <v>137025.935786667</v>
      </c>
      <c r="Q102" s="85">
        <v>57807.64</v>
      </c>
      <c r="R102" s="510">
        <f t="shared" si="35"/>
        <v>244833.575786667</v>
      </c>
      <c r="S102" s="85">
        <v>637761.924213333</v>
      </c>
      <c r="T102" s="509">
        <f t="shared" ref="T102:T110" si="37">J102-R102</f>
        <v>637761.924213333</v>
      </c>
    </row>
    <row r="103" ht="21.6" customHeight="1" spans="1:20">
      <c r="A103" s="10">
        <v>4</v>
      </c>
      <c r="B103" s="11" t="s">
        <v>196</v>
      </c>
      <c r="C103" s="4" t="s">
        <v>156</v>
      </c>
      <c r="D103" s="15" t="s">
        <v>46</v>
      </c>
      <c r="E103" s="85">
        <v>558165.25</v>
      </c>
      <c r="F103" s="85"/>
      <c r="G103" s="220">
        <f>140000</f>
        <v>140000</v>
      </c>
      <c r="H103" s="220"/>
      <c r="I103" s="85">
        <v>0</v>
      </c>
      <c r="J103" s="509">
        <f t="shared" si="36"/>
        <v>698165.25</v>
      </c>
      <c r="K103" s="85"/>
      <c r="L103" s="85">
        <f>50000</f>
        <v>50000</v>
      </c>
      <c r="M103" s="85">
        <f>77638.89</f>
        <v>77638.89</v>
      </c>
      <c r="N103" s="85"/>
      <c r="O103" s="85">
        <v>8692.92291666667</v>
      </c>
      <c r="P103" s="85">
        <v>102472.111866667</v>
      </c>
      <c r="Q103" s="85">
        <v>44653.22</v>
      </c>
      <c r="R103" s="510">
        <f t="shared" si="35"/>
        <v>283457.144783334</v>
      </c>
      <c r="S103" s="85">
        <v>421732.163573333</v>
      </c>
      <c r="T103" s="509">
        <f t="shared" si="37"/>
        <v>414708.105216666</v>
      </c>
    </row>
    <row r="104" ht="21.6" customHeight="1" spans="1:20">
      <c r="A104" s="10">
        <v>5</v>
      </c>
      <c r="B104" s="11" t="s">
        <v>197</v>
      </c>
      <c r="C104" s="4" t="s">
        <v>156</v>
      </c>
      <c r="D104" s="15" t="s">
        <v>46</v>
      </c>
      <c r="E104" s="85">
        <v>558166.25</v>
      </c>
      <c r="F104" s="85"/>
      <c r="G104" s="220">
        <f>140000</f>
        <v>140000</v>
      </c>
      <c r="H104" s="220"/>
      <c r="I104" s="85">
        <v>0</v>
      </c>
      <c r="J104" s="509">
        <f t="shared" si="36"/>
        <v>698166.25</v>
      </c>
      <c r="K104" s="85"/>
      <c r="L104" s="85">
        <v>0</v>
      </c>
      <c r="M104" s="85">
        <v>0</v>
      </c>
      <c r="N104" s="85"/>
      <c r="O104" s="85">
        <v>8692.92291666667</v>
      </c>
      <c r="P104" s="85">
        <v>102472.111866667</v>
      </c>
      <c r="Q104" s="85">
        <v>44653.3</v>
      </c>
      <c r="R104" s="510">
        <f t="shared" si="35"/>
        <v>155818.334783334</v>
      </c>
      <c r="S104" s="85">
        <v>542347.915216666</v>
      </c>
      <c r="T104" s="509">
        <f t="shared" si="37"/>
        <v>542347.915216666</v>
      </c>
    </row>
    <row r="105" ht="21.6" customHeight="1" spans="1:20">
      <c r="A105" s="10">
        <v>6</v>
      </c>
      <c r="B105" s="11" t="s">
        <v>198</v>
      </c>
      <c r="C105" s="12" t="s">
        <v>156</v>
      </c>
      <c r="D105" s="15" t="s">
        <v>199</v>
      </c>
      <c r="E105" s="85">
        <v>542419.5</v>
      </c>
      <c r="F105" s="85"/>
      <c r="G105" s="220">
        <f>140000</f>
        <v>140000</v>
      </c>
      <c r="H105" s="220"/>
      <c r="I105" s="85">
        <v>0</v>
      </c>
      <c r="J105" s="509">
        <f t="shared" si="36"/>
        <v>682419.5</v>
      </c>
      <c r="K105" s="85"/>
      <c r="L105" s="85">
        <f>100000-100000</f>
        <v>0</v>
      </c>
      <c r="M105" s="85"/>
      <c r="N105" s="85"/>
      <c r="O105" s="85"/>
      <c r="P105" s="85">
        <v>101359.647146667</v>
      </c>
      <c r="Q105" s="85">
        <v>43393.56</v>
      </c>
      <c r="R105" s="510">
        <f t="shared" si="35"/>
        <v>144753.207146667</v>
      </c>
      <c r="S105" s="85">
        <v>537666.292853333</v>
      </c>
      <c r="T105" s="509">
        <f t="shared" si="37"/>
        <v>537666.292853333</v>
      </c>
    </row>
    <row r="106" ht="21.6" customHeight="1" spans="1:20">
      <c r="A106" s="10">
        <v>7</v>
      </c>
      <c r="B106" s="11" t="s">
        <v>200</v>
      </c>
      <c r="C106" s="17" t="s">
        <v>70</v>
      </c>
      <c r="D106" s="15" t="s">
        <v>162</v>
      </c>
      <c r="E106" s="85">
        <v>468828.166666667</v>
      </c>
      <c r="F106" s="85"/>
      <c r="G106" s="220">
        <f t="shared" ref="G106" si="38">110000</f>
        <v>110000</v>
      </c>
      <c r="H106" s="220"/>
      <c r="I106" s="85">
        <v>0</v>
      </c>
      <c r="J106" s="509">
        <f t="shared" si="36"/>
        <v>578828.166666667</v>
      </c>
      <c r="K106" s="85"/>
      <c r="L106" s="85">
        <f>20000</f>
        <v>20000</v>
      </c>
      <c r="M106" s="85">
        <v>43750</v>
      </c>
      <c r="N106" s="85">
        <v>20000</v>
      </c>
      <c r="O106" s="85"/>
      <c r="P106" s="85">
        <v>82600.4740266667</v>
      </c>
      <c r="Q106" s="85">
        <v>37506.2533333334</v>
      </c>
      <c r="R106" s="510">
        <f t="shared" si="35"/>
        <v>203856.72736</v>
      </c>
      <c r="S106" s="85">
        <v>372971.439306667</v>
      </c>
      <c r="T106" s="509">
        <f t="shared" si="37"/>
        <v>374971.439306667</v>
      </c>
    </row>
    <row r="107" ht="21.6" customHeight="1" spans="1:20">
      <c r="A107" s="10">
        <v>8</v>
      </c>
      <c r="B107" s="11" t="s">
        <v>201</v>
      </c>
      <c r="C107" s="17" t="s">
        <v>158</v>
      </c>
      <c r="D107" s="15" t="s">
        <v>202</v>
      </c>
      <c r="E107" s="85">
        <v>497472.75</v>
      </c>
      <c r="F107" s="85"/>
      <c r="G107" s="220">
        <v>120000</v>
      </c>
      <c r="H107" s="220"/>
      <c r="I107" s="85">
        <v>0</v>
      </c>
      <c r="J107" s="509">
        <f t="shared" si="36"/>
        <v>617472.75</v>
      </c>
      <c r="K107" s="85"/>
      <c r="L107" s="85">
        <v>0</v>
      </c>
      <c r="M107" s="85"/>
      <c r="N107" s="85">
        <v>30000</v>
      </c>
      <c r="O107" s="85">
        <v>7791.83125</v>
      </c>
      <c r="P107" s="85">
        <v>88084.2216266667</v>
      </c>
      <c r="Q107" s="85">
        <v>39797.82</v>
      </c>
      <c r="R107" s="510">
        <f t="shared" si="35"/>
        <v>165673.872876667</v>
      </c>
      <c r="S107" s="85">
        <v>449798.877123333</v>
      </c>
      <c r="T107" s="509">
        <f t="shared" si="37"/>
        <v>451798.877123333</v>
      </c>
    </row>
    <row r="108" s="1" customFormat="1" customHeight="1" spans="1:20">
      <c r="A108" s="10">
        <v>9</v>
      </c>
      <c r="B108" s="18" t="s">
        <v>203</v>
      </c>
      <c r="C108" s="4" t="s">
        <v>136</v>
      </c>
      <c r="D108" s="15" t="s">
        <v>137</v>
      </c>
      <c r="E108" s="220">
        <v>441159</v>
      </c>
      <c r="F108" s="85"/>
      <c r="G108" s="220">
        <f>110000</f>
        <v>110000</v>
      </c>
      <c r="H108" s="220"/>
      <c r="I108" s="85"/>
      <c r="J108" s="510">
        <f t="shared" si="36"/>
        <v>551159</v>
      </c>
      <c r="K108" s="85"/>
      <c r="L108" s="85">
        <v>40000</v>
      </c>
      <c r="M108" s="85">
        <v>60000</v>
      </c>
      <c r="N108" s="85"/>
      <c r="O108" s="85"/>
      <c r="P108" s="85">
        <v>77712.9924266667</v>
      </c>
      <c r="Q108" s="85">
        <v>35292.72</v>
      </c>
      <c r="R108" s="510">
        <f t="shared" si="35"/>
        <v>213005.712426667</v>
      </c>
      <c r="S108" s="85">
        <v>338153.287573333</v>
      </c>
      <c r="T108" s="510">
        <f t="shared" si="37"/>
        <v>338153.287573333</v>
      </c>
    </row>
    <row r="109" ht="21.6" customHeight="1" spans="1:20">
      <c r="A109" s="10">
        <v>10</v>
      </c>
      <c r="B109" s="11" t="s">
        <v>204</v>
      </c>
      <c r="C109" s="4" t="s">
        <v>205</v>
      </c>
      <c r="D109" s="10" t="s">
        <v>119</v>
      </c>
      <c r="E109" s="220">
        <v>390135.833333334</v>
      </c>
      <c r="F109" s="85"/>
      <c r="G109" s="220">
        <v>100000</v>
      </c>
      <c r="H109" s="220"/>
      <c r="I109" s="85"/>
      <c r="J109" s="509">
        <f t="shared" si="36"/>
        <v>490135.833333334</v>
      </c>
      <c r="K109" s="85"/>
      <c r="L109" s="85"/>
      <c r="M109" s="85"/>
      <c r="N109" s="85"/>
      <c r="O109" s="85"/>
      <c r="P109" s="85">
        <v>66780.2602666668</v>
      </c>
      <c r="Q109" s="85">
        <v>31210.8666666667</v>
      </c>
      <c r="R109" s="510">
        <f t="shared" si="35"/>
        <v>97991.1269333335</v>
      </c>
      <c r="S109" s="85">
        <v>392144.7064</v>
      </c>
      <c r="T109" s="509">
        <f t="shared" si="37"/>
        <v>392144.7064</v>
      </c>
    </row>
    <row r="110" ht="21.6" customHeight="1" spans="1:20">
      <c r="A110" s="10">
        <v>11</v>
      </c>
      <c r="B110" s="11" t="s">
        <v>206</v>
      </c>
      <c r="C110" s="17" t="s">
        <v>207</v>
      </c>
      <c r="D110" s="15" t="s">
        <v>208</v>
      </c>
      <c r="E110" s="220">
        <v>308920.666666667</v>
      </c>
      <c r="F110" s="85"/>
      <c r="G110" s="220">
        <f t="shared" ref="G110" si="39">100000</f>
        <v>100000</v>
      </c>
      <c r="H110" s="220"/>
      <c r="I110" s="85"/>
      <c r="J110" s="509">
        <f t="shared" si="36"/>
        <v>408920.666666667</v>
      </c>
      <c r="K110" s="85"/>
      <c r="L110" s="85">
        <v>50000</v>
      </c>
      <c r="M110" s="85"/>
      <c r="N110" s="85"/>
      <c r="O110" s="85">
        <v>5013.73541666668</v>
      </c>
      <c r="P110" s="85">
        <v>52434.4132266667</v>
      </c>
      <c r="Q110" s="85">
        <v>24713.6533333334</v>
      </c>
      <c r="R110" s="510">
        <f t="shared" si="35"/>
        <v>132161.801976667</v>
      </c>
      <c r="S110" s="85">
        <v>276758.86469</v>
      </c>
      <c r="T110" s="509">
        <f t="shared" si="37"/>
        <v>276758.86469</v>
      </c>
    </row>
    <row r="111" customHeight="1" spans="1:20">
      <c r="A111" s="10"/>
      <c r="B111" s="20" t="s">
        <v>111</v>
      </c>
      <c r="C111" s="21">
        <v>11</v>
      </c>
      <c r="D111" s="21"/>
      <c r="E111" s="93">
        <f>SUM(E100:E110)</f>
        <v>6988186</v>
      </c>
      <c r="F111" s="93">
        <f>SUM(F100:F110)</f>
        <v>0</v>
      </c>
      <c r="G111" s="93">
        <f t="shared" ref="G111:S111" si="40">SUM(G100:G110)</f>
        <v>1500000</v>
      </c>
      <c r="H111" s="93">
        <f t="shared" si="40"/>
        <v>0</v>
      </c>
      <c r="I111" s="93">
        <f t="shared" si="40"/>
        <v>200000</v>
      </c>
      <c r="J111" s="93">
        <f t="shared" si="40"/>
        <v>8688186</v>
      </c>
      <c r="K111" s="93">
        <f t="shared" si="40"/>
        <v>0</v>
      </c>
      <c r="L111" s="93">
        <f t="shared" si="40"/>
        <v>240000</v>
      </c>
      <c r="M111" s="93">
        <f t="shared" si="40"/>
        <v>280138.89</v>
      </c>
      <c r="N111" s="93">
        <f t="shared" si="40"/>
        <v>50000</v>
      </c>
      <c r="O111" s="93">
        <f t="shared" si="40"/>
        <v>55835.6208333333</v>
      </c>
      <c r="P111" s="93">
        <f t="shared" si="40"/>
        <v>1316368.88301333</v>
      </c>
      <c r="Q111" s="93">
        <f t="shared" si="40"/>
        <v>559054.88</v>
      </c>
      <c r="R111" s="93">
        <f t="shared" si="40"/>
        <v>2501398.27384667</v>
      </c>
      <c r="S111" s="93">
        <v>6189811.78451</v>
      </c>
      <c r="T111" s="93">
        <f>SUM(T100:T110)</f>
        <v>6186787.72615333</v>
      </c>
    </row>
    <row r="112" customHeight="1" spans="1:20">
      <c r="A112" s="10"/>
      <c r="B112" s="22"/>
      <c r="C112" s="21"/>
      <c r="D112" s="21"/>
      <c r="E112" s="146"/>
      <c r="F112" s="146"/>
      <c r="G112" s="220"/>
      <c r="H112" s="220"/>
      <c r="I112" s="146"/>
      <c r="J112" s="516"/>
      <c r="K112" s="146"/>
      <c r="L112" s="146"/>
      <c r="M112" s="146"/>
      <c r="N112" s="146"/>
      <c r="O112" s="146"/>
      <c r="P112" s="146"/>
      <c r="Q112" s="146"/>
      <c r="R112" s="517"/>
      <c r="S112" s="146"/>
      <c r="T112" s="516"/>
    </row>
    <row r="113" customHeight="1" spans="1:20">
      <c r="A113" s="10"/>
      <c r="B113" s="20" t="s">
        <v>209</v>
      </c>
      <c r="C113" s="21"/>
      <c r="D113" s="21"/>
      <c r="E113" s="146"/>
      <c r="F113" s="146"/>
      <c r="G113" s="220"/>
      <c r="H113" s="220"/>
      <c r="I113" s="146"/>
      <c r="J113" s="516"/>
      <c r="K113" s="146"/>
      <c r="L113" s="146"/>
      <c r="M113" s="146"/>
      <c r="N113" s="146"/>
      <c r="O113" s="146"/>
      <c r="P113" s="146"/>
      <c r="Q113" s="146"/>
      <c r="R113" s="517"/>
      <c r="S113" s="146"/>
      <c r="T113" s="516"/>
    </row>
    <row r="114" customHeight="1" spans="1:20">
      <c r="A114" s="10">
        <v>1</v>
      </c>
      <c r="B114" s="14" t="s">
        <v>210</v>
      </c>
      <c r="C114" s="4" t="s">
        <v>211</v>
      </c>
      <c r="D114" s="16" t="s">
        <v>212</v>
      </c>
      <c r="E114" s="85">
        <v>1697359.33333333</v>
      </c>
      <c r="F114" s="85"/>
      <c r="G114" s="220"/>
      <c r="H114" s="220">
        <f>100000</f>
        <v>100000</v>
      </c>
      <c r="I114" s="85"/>
      <c r="J114" s="509">
        <f>E114+F114+G114+H114+I114</f>
        <v>1797359.33333333</v>
      </c>
      <c r="K114" s="85"/>
      <c r="L114" s="85">
        <v>60000</v>
      </c>
      <c r="M114" s="85">
        <v>440000</v>
      </c>
      <c r="N114" s="85"/>
      <c r="O114" s="85">
        <v>26406.8208333333</v>
      </c>
      <c r="P114" s="85">
        <v>292618.109706666</v>
      </c>
      <c r="Q114" s="85">
        <v>135788.746666666</v>
      </c>
      <c r="R114" s="510">
        <f t="shared" ref="R114:R119" si="41">P114+O114+M114+N114+L114+K114+Q114</f>
        <v>954813.677206665</v>
      </c>
      <c r="S114" s="85">
        <v>842545.656126665</v>
      </c>
      <c r="T114" s="509">
        <f t="shared" ref="T114:T119" si="42">J114-R114</f>
        <v>842545.656126665</v>
      </c>
    </row>
    <row r="115" customHeight="1" spans="1:20">
      <c r="A115" s="10">
        <v>2</v>
      </c>
      <c r="B115" s="11" t="s">
        <v>213</v>
      </c>
      <c r="C115" s="4" t="s">
        <v>214</v>
      </c>
      <c r="D115" s="15" t="s">
        <v>178</v>
      </c>
      <c r="E115" s="85">
        <v>573911.083333334</v>
      </c>
      <c r="F115" s="85"/>
      <c r="G115" s="220"/>
      <c r="H115" s="220">
        <v>70000</v>
      </c>
      <c r="I115" s="85">
        <v>0</v>
      </c>
      <c r="J115" s="509">
        <f>E115+F115+G115+H115+I115</f>
        <v>643911.083333334</v>
      </c>
      <c r="K115" s="85"/>
      <c r="L115" s="85">
        <f>10000</f>
        <v>10000</v>
      </c>
      <c r="M115" s="85">
        <v>41000</v>
      </c>
      <c r="N115" s="85">
        <v>100000</v>
      </c>
      <c r="O115" s="85"/>
      <c r="P115" s="85">
        <v>93482.3204266668</v>
      </c>
      <c r="Q115" s="85">
        <v>45912.8866666667</v>
      </c>
      <c r="R115" s="510">
        <f t="shared" si="41"/>
        <v>290395.207093334</v>
      </c>
      <c r="S115" s="85">
        <v>392515.87624</v>
      </c>
      <c r="T115" s="509">
        <f t="shared" si="42"/>
        <v>353515.87624</v>
      </c>
    </row>
    <row r="116" customHeight="1" spans="1:20">
      <c r="A116" s="10">
        <v>3</v>
      </c>
      <c r="B116" s="11" t="s">
        <v>215</v>
      </c>
      <c r="C116" s="12" t="s">
        <v>216</v>
      </c>
      <c r="D116" s="15" t="s">
        <v>202</v>
      </c>
      <c r="E116" s="85">
        <v>497472.75</v>
      </c>
      <c r="F116" s="85"/>
      <c r="G116" s="220"/>
      <c r="H116" s="220">
        <f>70000</f>
        <v>70000</v>
      </c>
      <c r="I116" s="85">
        <v>0</v>
      </c>
      <c r="J116" s="509">
        <f>SUM(E116:I116)</f>
        <v>567472.75</v>
      </c>
      <c r="K116" s="85"/>
      <c r="L116" s="85">
        <v>40000</v>
      </c>
      <c r="M116" s="85">
        <v>87500</v>
      </c>
      <c r="N116" s="85"/>
      <c r="O116" s="85">
        <v>7791.83125</v>
      </c>
      <c r="P116" s="85">
        <v>78484.2216266667</v>
      </c>
      <c r="Q116" s="85">
        <v>39797.82</v>
      </c>
      <c r="R116" s="510">
        <f t="shared" si="41"/>
        <v>253573.872876667</v>
      </c>
      <c r="S116" s="85">
        <v>313898.877123333</v>
      </c>
      <c r="T116" s="509">
        <f t="shared" si="42"/>
        <v>313898.877123333</v>
      </c>
    </row>
    <row r="117" s="1" customFormat="1" customHeight="1" spans="1:20">
      <c r="A117" s="10">
        <v>4</v>
      </c>
      <c r="B117" s="11" t="s">
        <v>217</v>
      </c>
      <c r="C117" s="4" t="s">
        <v>218</v>
      </c>
      <c r="D117" s="15" t="s">
        <v>159</v>
      </c>
      <c r="E117" s="85">
        <v>482846.583333333</v>
      </c>
      <c r="F117" s="85"/>
      <c r="G117" s="220"/>
      <c r="H117" s="220">
        <f>70000</f>
        <v>70000</v>
      </c>
      <c r="I117" s="85">
        <v>0</v>
      </c>
      <c r="J117" s="510">
        <f>SUM(E117:I117)</f>
        <v>552846.583333333</v>
      </c>
      <c r="K117" s="85"/>
      <c r="L117" s="85">
        <v>150000</v>
      </c>
      <c r="M117" s="85">
        <v>103000</v>
      </c>
      <c r="N117" s="85"/>
      <c r="O117" s="85"/>
      <c r="P117" s="686">
        <v>77396.6871466667</v>
      </c>
      <c r="Q117" s="85">
        <v>38627.7266666667</v>
      </c>
      <c r="R117" s="510">
        <f t="shared" si="41"/>
        <v>369024.413813333</v>
      </c>
      <c r="S117" s="85">
        <v>183822.16952</v>
      </c>
      <c r="T117" s="981">
        <f t="shared" si="42"/>
        <v>183822.16952</v>
      </c>
    </row>
    <row r="118" customHeight="1" spans="1:20">
      <c r="A118" s="10">
        <v>5</v>
      </c>
      <c r="B118" s="11" t="s">
        <v>219</v>
      </c>
      <c r="C118" s="4" t="s">
        <v>220</v>
      </c>
      <c r="D118" s="15" t="s">
        <v>65</v>
      </c>
      <c r="E118" s="85">
        <v>482662.666666667</v>
      </c>
      <c r="F118" s="85"/>
      <c r="G118" s="220"/>
      <c r="H118" s="220">
        <f>60000</f>
        <v>60000</v>
      </c>
      <c r="I118" s="85"/>
      <c r="J118" s="509">
        <f>E118+F118+G118+H118+I118</f>
        <v>542662.666666667</v>
      </c>
      <c r="K118" s="85"/>
      <c r="L118" s="85">
        <f>5000</f>
        <v>5000</v>
      </c>
      <c r="M118" s="85">
        <v>0</v>
      </c>
      <c r="N118" s="85"/>
      <c r="O118" s="85"/>
      <c r="P118" s="85">
        <v>75444.2001066667</v>
      </c>
      <c r="Q118" s="85">
        <v>38613.0133333334</v>
      </c>
      <c r="R118" s="510">
        <f t="shared" si="41"/>
        <v>119057.21344</v>
      </c>
      <c r="S118" s="85">
        <v>423605.453226667</v>
      </c>
      <c r="T118" s="509">
        <f t="shared" si="42"/>
        <v>423605.453226667</v>
      </c>
    </row>
    <row r="119" customHeight="1" spans="1:20">
      <c r="A119" s="10">
        <v>6</v>
      </c>
      <c r="B119" s="11" t="s">
        <v>221</v>
      </c>
      <c r="C119" s="4" t="s">
        <v>222</v>
      </c>
      <c r="D119" s="15" t="s">
        <v>119</v>
      </c>
      <c r="E119" s="220">
        <v>390135.833333334</v>
      </c>
      <c r="F119" s="85"/>
      <c r="G119" s="220"/>
      <c r="H119" s="220">
        <f>60000</f>
        <v>60000</v>
      </c>
      <c r="I119" s="85"/>
      <c r="J119" s="509">
        <f>E119+F119+G119+H119+I119</f>
        <v>450135.833333334</v>
      </c>
      <c r="K119" s="85"/>
      <c r="L119" s="85">
        <f>10000+80000</f>
        <v>90000</v>
      </c>
      <c r="M119" s="85">
        <f>19583.33</f>
        <v>19583.33</v>
      </c>
      <c r="N119" s="85"/>
      <c r="O119" s="85"/>
      <c r="P119" s="85">
        <v>59100.2602666668</v>
      </c>
      <c r="Q119" s="85">
        <v>31210.8666666667</v>
      </c>
      <c r="R119" s="510">
        <f t="shared" si="41"/>
        <v>199894.456933334</v>
      </c>
      <c r="S119" s="85">
        <v>250241.376400001</v>
      </c>
      <c r="T119" s="509">
        <f t="shared" si="42"/>
        <v>250241.376400001</v>
      </c>
    </row>
    <row r="120" customHeight="1" spans="1:20">
      <c r="A120" s="4"/>
      <c r="B120" s="20" t="s">
        <v>111</v>
      </c>
      <c r="C120" s="21">
        <v>6</v>
      </c>
      <c r="D120" s="26"/>
      <c r="E120" s="93">
        <f>SUM(E114:E119)</f>
        <v>4124388.25</v>
      </c>
      <c r="F120" s="93">
        <f>SUM(F114:F119)</f>
        <v>0</v>
      </c>
      <c r="G120" s="93">
        <f t="shared" ref="G120:S120" si="43">SUM(G114:G119)</f>
        <v>0</v>
      </c>
      <c r="H120" s="93">
        <f t="shared" si="43"/>
        <v>430000</v>
      </c>
      <c r="I120" s="93">
        <f t="shared" si="43"/>
        <v>0</v>
      </c>
      <c r="J120" s="93">
        <f t="shared" si="43"/>
        <v>4554388.25</v>
      </c>
      <c r="K120" s="93">
        <f t="shared" si="43"/>
        <v>0</v>
      </c>
      <c r="L120" s="93">
        <f t="shared" si="43"/>
        <v>355000</v>
      </c>
      <c r="M120" s="93">
        <f t="shared" si="43"/>
        <v>691083.33</v>
      </c>
      <c r="N120" s="93">
        <f t="shared" si="43"/>
        <v>100000</v>
      </c>
      <c r="O120" s="93">
        <f t="shared" si="43"/>
        <v>34198.6520833333</v>
      </c>
      <c r="P120" s="93">
        <f t="shared" si="43"/>
        <v>676525.79928</v>
      </c>
      <c r="Q120" s="93">
        <f t="shared" si="43"/>
        <v>329951.06</v>
      </c>
      <c r="R120" s="93">
        <f t="shared" si="43"/>
        <v>2186758.84136333</v>
      </c>
      <c r="S120" s="93">
        <v>2406629.40863667</v>
      </c>
      <c r="T120" s="93">
        <f>SUM(T114:T119)</f>
        <v>2367629.40863667</v>
      </c>
    </row>
    <row r="121" customHeight="1" spans="1:20">
      <c r="A121" s="4"/>
      <c r="B121" s="22"/>
      <c r="C121" s="21"/>
      <c r="D121" s="26"/>
      <c r="E121" s="146"/>
      <c r="F121" s="146"/>
      <c r="G121" s="220"/>
      <c r="H121" s="220"/>
      <c r="I121" s="146"/>
      <c r="J121" s="516"/>
      <c r="K121" s="146"/>
      <c r="L121" s="146"/>
      <c r="M121" s="146"/>
      <c r="N121" s="146"/>
      <c r="O121" s="146"/>
      <c r="P121" s="146"/>
      <c r="Q121" s="146"/>
      <c r="R121" s="517"/>
      <c r="S121" s="146"/>
      <c r="T121" s="516"/>
    </row>
    <row r="122" customHeight="1" spans="1:20">
      <c r="A122" s="4"/>
      <c r="B122" s="20" t="s">
        <v>223</v>
      </c>
      <c r="C122" s="4"/>
      <c r="D122" s="4"/>
      <c r="E122" s="4"/>
      <c r="F122" s="4"/>
      <c r="G122" s="220"/>
      <c r="H122" s="220"/>
      <c r="I122" s="4"/>
      <c r="J122" s="520"/>
      <c r="K122" s="4"/>
      <c r="L122" s="4"/>
      <c r="M122" s="4"/>
      <c r="N122" s="4"/>
      <c r="O122" s="4"/>
      <c r="P122" s="4"/>
      <c r="Q122" s="4"/>
      <c r="R122" s="521"/>
      <c r="S122" s="4"/>
      <c r="T122" s="520"/>
    </row>
    <row r="123" customHeight="1" spans="1:20">
      <c r="A123" s="4">
        <v>1</v>
      </c>
      <c r="B123" s="11" t="s">
        <v>224</v>
      </c>
      <c r="C123" s="12" t="s">
        <v>225</v>
      </c>
      <c r="D123" s="15" t="s">
        <v>115</v>
      </c>
      <c r="E123" s="85">
        <v>1747106.41666666</v>
      </c>
      <c r="F123" s="85"/>
      <c r="G123" s="220">
        <f>200000</f>
        <v>200000</v>
      </c>
      <c r="H123" s="220"/>
      <c r="I123" s="85">
        <v>0</v>
      </c>
      <c r="J123" s="509">
        <f t="shared" ref="J123:J129" si="44">SUM(E123:I123)</f>
        <v>1947106.41666666</v>
      </c>
      <c r="K123" s="85"/>
      <c r="L123" s="85">
        <f>100000</f>
        <v>100000</v>
      </c>
      <c r="M123" s="85">
        <v>0</v>
      </c>
      <c r="N123" s="85"/>
      <c r="O123" s="85">
        <v>0</v>
      </c>
      <c r="P123" s="85">
        <v>325675.544106665</v>
      </c>
      <c r="Q123" s="85">
        <v>139768.513333333</v>
      </c>
      <c r="R123" s="510">
        <f>P123+O123+M123+N123+L123+K123+Q123</f>
        <v>565444.057439998</v>
      </c>
      <c r="S123" s="85">
        <v>1381662.35922666</v>
      </c>
      <c r="T123" s="509">
        <f t="shared" ref="T123:T129" si="45">J123-R123</f>
        <v>1381662.35922666</v>
      </c>
    </row>
    <row r="124" customHeight="1" spans="1:20">
      <c r="A124" s="4">
        <v>2</v>
      </c>
      <c r="B124" s="11" t="s">
        <v>226</v>
      </c>
      <c r="C124" s="4" t="s">
        <v>227</v>
      </c>
      <c r="D124" s="16" t="s">
        <v>154</v>
      </c>
      <c r="E124" s="85">
        <v>905306.75</v>
      </c>
      <c r="F124" s="85"/>
      <c r="G124" s="220">
        <f>160000+20000</f>
        <v>180000</v>
      </c>
      <c r="H124" s="220"/>
      <c r="I124" s="85">
        <v>0</v>
      </c>
      <c r="J124" s="509">
        <f t="shared" si="44"/>
        <v>1085306.75</v>
      </c>
      <c r="K124" s="85"/>
      <c r="L124" s="85">
        <v>110000</v>
      </c>
      <c r="M124" s="85"/>
      <c r="N124" s="85"/>
      <c r="O124" s="85">
        <v>13866.7375</v>
      </c>
      <c r="P124" s="85">
        <v>170477.637386667</v>
      </c>
      <c r="Q124" s="85">
        <v>72424.54</v>
      </c>
      <c r="R124" s="510">
        <f t="shared" ref="R124:R129" si="46">P124+O124+M124+N124+L124+K124+Q124</f>
        <v>366768.914886667</v>
      </c>
      <c r="S124" s="85">
        <v>718537.835113333</v>
      </c>
      <c r="T124" s="509">
        <f t="shared" si="45"/>
        <v>718537.835113333</v>
      </c>
    </row>
    <row r="125" customHeight="1" spans="1:20">
      <c r="A125" s="4">
        <v>3</v>
      </c>
      <c r="B125" s="11" t="s">
        <v>228</v>
      </c>
      <c r="C125" s="4" t="s">
        <v>229</v>
      </c>
      <c r="D125" s="10" t="s">
        <v>230</v>
      </c>
      <c r="E125" s="85">
        <v>542419.5</v>
      </c>
      <c r="F125" s="85">
        <f>21185.6650000004*2</f>
        <v>42371.3300000008</v>
      </c>
      <c r="G125" s="220">
        <f>140000</f>
        <v>140000</v>
      </c>
      <c r="H125" s="220"/>
      <c r="I125" s="85">
        <v>59666.145</v>
      </c>
      <c r="J125" s="509">
        <f t="shared" si="44"/>
        <v>784456.975000001</v>
      </c>
      <c r="K125" s="85"/>
      <c r="L125" s="85">
        <v>30000</v>
      </c>
      <c r="M125" s="85">
        <f>61111.11</f>
        <v>61111.11</v>
      </c>
      <c r="N125" s="85"/>
      <c r="O125" s="85">
        <v>8459.13125</v>
      </c>
      <c r="P125" s="85">
        <f>112831.954026667+11377.51</f>
        <v>124209.464026667</v>
      </c>
      <c r="Q125" s="85">
        <v>43393.56</v>
      </c>
      <c r="R125" s="510">
        <f t="shared" si="46"/>
        <v>267173.265276667</v>
      </c>
      <c r="S125" s="85">
        <v>470894.294153333</v>
      </c>
      <c r="T125" s="509">
        <f t="shared" si="45"/>
        <v>517283.709723334</v>
      </c>
    </row>
    <row r="126" customHeight="1" spans="1:20">
      <c r="A126" s="4">
        <v>4</v>
      </c>
      <c r="B126" s="11" t="s">
        <v>231</v>
      </c>
      <c r="C126" s="4" t="s">
        <v>229</v>
      </c>
      <c r="D126" s="10" t="s">
        <v>230</v>
      </c>
      <c r="E126" s="85">
        <v>542419.5</v>
      </c>
      <c r="F126" s="85"/>
      <c r="G126" s="220">
        <f>140000</f>
        <v>140000</v>
      </c>
      <c r="H126" s="220"/>
      <c r="I126" s="85">
        <v>59666.145</v>
      </c>
      <c r="J126" s="509">
        <f t="shared" si="44"/>
        <v>742085.645</v>
      </c>
      <c r="K126" s="85"/>
      <c r="L126" s="85">
        <f>50000</f>
        <v>50000</v>
      </c>
      <c r="M126" s="85">
        <v>45833.33</v>
      </c>
      <c r="N126" s="85"/>
      <c r="O126" s="85"/>
      <c r="P126" s="85">
        <v>112831.954026667</v>
      </c>
      <c r="Q126" s="85">
        <v>43393.56</v>
      </c>
      <c r="R126" s="510">
        <f t="shared" si="46"/>
        <v>252058.844026667</v>
      </c>
      <c r="S126" s="85">
        <v>531012.814306666</v>
      </c>
      <c r="T126" s="509">
        <f t="shared" si="45"/>
        <v>490026.800973333</v>
      </c>
    </row>
    <row r="127" customHeight="1" spans="1:20">
      <c r="A127" s="4">
        <v>5</v>
      </c>
      <c r="B127" s="11" t="s">
        <v>232</v>
      </c>
      <c r="C127" s="4" t="s">
        <v>233</v>
      </c>
      <c r="D127" s="15" t="s">
        <v>234</v>
      </c>
      <c r="E127" s="220">
        <v>329950.416666667</v>
      </c>
      <c r="F127" s="85"/>
      <c r="G127" s="220">
        <f>100000</f>
        <v>100000</v>
      </c>
      <c r="H127" s="220"/>
      <c r="I127" s="85">
        <v>36294.5458333334</v>
      </c>
      <c r="J127" s="509">
        <f t="shared" si="44"/>
        <v>466244.9625</v>
      </c>
      <c r="K127" s="85"/>
      <c r="L127" s="85">
        <v>20000</v>
      </c>
      <c r="M127" s="85">
        <f>50000</f>
        <v>50000</v>
      </c>
      <c r="N127" s="85"/>
      <c r="O127" s="85"/>
      <c r="P127" s="85">
        <v>63117.6610666667</v>
      </c>
      <c r="Q127" s="85">
        <v>26396.0333333334</v>
      </c>
      <c r="R127" s="510">
        <f t="shared" si="46"/>
        <v>159513.6944</v>
      </c>
      <c r="S127" s="85">
        <v>306731.2681</v>
      </c>
      <c r="T127" s="509">
        <f t="shared" si="45"/>
        <v>306731.2681</v>
      </c>
    </row>
    <row r="128" customHeight="1" spans="1:20">
      <c r="A128" s="4">
        <v>6</v>
      </c>
      <c r="B128" s="18" t="s">
        <v>235</v>
      </c>
      <c r="C128" s="4" t="s">
        <v>233</v>
      </c>
      <c r="D128" s="10" t="s">
        <v>96</v>
      </c>
      <c r="E128" s="220">
        <v>330407.083333333</v>
      </c>
      <c r="F128" s="85"/>
      <c r="G128" s="220">
        <f>100000</f>
        <v>100000</v>
      </c>
      <c r="H128" s="220"/>
      <c r="I128" s="85">
        <v>36344.7791666666</v>
      </c>
      <c r="J128" s="509">
        <f t="shared" si="44"/>
        <v>466751.8625</v>
      </c>
      <c r="K128" s="85"/>
      <c r="L128" s="85">
        <f>25000</f>
        <v>25000</v>
      </c>
      <c r="M128" s="85">
        <v>0</v>
      </c>
      <c r="N128" s="85"/>
      <c r="O128" s="85"/>
      <c r="P128" s="85">
        <v>63207.9714666666</v>
      </c>
      <c r="Q128" s="85">
        <v>26432.5666666666</v>
      </c>
      <c r="R128" s="510">
        <f t="shared" si="46"/>
        <v>114640.538133333</v>
      </c>
      <c r="S128" s="85">
        <v>396141.324366667</v>
      </c>
      <c r="T128" s="509">
        <f t="shared" si="45"/>
        <v>352111.324366666</v>
      </c>
    </row>
    <row r="129" customHeight="1" spans="1:20">
      <c r="A129" s="4">
        <v>7</v>
      </c>
      <c r="B129" s="18" t="s">
        <v>236</v>
      </c>
      <c r="C129" s="4" t="s">
        <v>233</v>
      </c>
      <c r="D129" s="15" t="s">
        <v>208</v>
      </c>
      <c r="E129" s="220">
        <v>308920.666666667</v>
      </c>
      <c r="F129" s="85"/>
      <c r="G129" s="220">
        <f t="shared" ref="G129" si="47">100000</f>
        <v>100000</v>
      </c>
      <c r="H129" s="220"/>
      <c r="I129" s="85">
        <v>33981.2733333334</v>
      </c>
      <c r="J129" s="509">
        <f t="shared" si="44"/>
        <v>442901.94</v>
      </c>
      <c r="K129" s="85"/>
      <c r="L129" s="85">
        <f>30000</f>
        <v>30000</v>
      </c>
      <c r="M129" s="85"/>
      <c r="N129" s="85"/>
      <c r="O129" s="85">
        <v>5013.73541666668</v>
      </c>
      <c r="P129" s="85">
        <v>58958.8177066667</v>
      </c>
      <c r="Q129" s="85">
        <v>24713.6533333334</v>
      </c>
      <c r="R129" s="510">
        <f t="shared" si="46"/>
        <v>118686.206456667</v>
      </c>
      <c r="S129" s="85">
        <v>324215.733543333</v>
      </c>
      <c r="T129" s="509">
        <f t="shared" si="45"/>
        <v>324215.733543334</v>
      </c>
    </row>
    <row r="130" ht="25.5" customHeight="1" spans="1:20">
      <c r="A130" s="4"/>
      <c r="B130" s="20" t="s">
        <v>111</v>
      </c>
      <c r="C130" s="21">
        <v>7</v>
      </c>
      <c r="D130" s="4"/>
      <c r="E130" s="223">
        <f>SUM(E123:E129)</f>
        <v>4706530.33333333</v>
      </c>
      <c r="F130" s="223">
        <f>SUM(F123:F129)</f>
        <v>42371.3300000008</v>
      </c>
      <c r="G130" s="223">
        <f t="shared" ref="G130:S130" si="48">SUM(G123:G129)</f>
        <v>960000</v>
      </c>
      <c r="H130" s="223">
        <f t="shared" si="48"/>
        <v>0</v>
      </c>
      <c r="I130" s="223">
        <f t="shared" si="48"/>
        <v>225952.888333333</v>
      </c>
      <c r="J130" s="223">
        <f t="shared" si="48"/>
        <v>5934854.55166666</v>
      </c>
      <c r="K130" s="223">
        <f t="shared" si="48"/>
        <v>0</v>
      </c>
      <c r="L130" s="223">
        <f t="shared" si="48"/>
        <v>365000</v>
      </c>
      <c r="M130" s="223">
        <f t="shared" si="48"/>
        <v>156944.44</v>
      </c>
      <c r="N130" s="223">
        <f t="shared" si="48"/>
        <v>0</v>
      </c>
      <c r="O130" s="223">
        <f t="shared" si="48"/>
        <v>27339.6041666667</v>
      </c>
      <c r="P130" s="223">
        <f t="shared" si="48"/>
        <v>918479.049786666</v>
      </c>
      <c r="Q130" s="223">
        <f t="shared" si="48"/>
        <v>376522.426666666</v>
      </c>
      <c r="R130" s="223">
        <f t="shared" si="48"/>
        <v>1844285.52062</v>
      </c>
      <c r="S130" s="223">
        <v>4129195.62881</v>
      </c>
      <c r="T130" s="223">
        <f>SUM(T123:T129)</f>
        <v>4090569.03104666</v>
      </c>
    </row>
    <row r="131" customHeight="1" spans="1:20">
      <c r="A131" s="4"/>
      <c r="B131" s="20"/>
      <c r="C131" s="21"/>
      <c r="D131" s="4"/>
      <c r="E131" s="223"/>
      <c r="F131" s="223"/>
      <c r="G131" s="518"/>
      <c r="H131" s="518"/>
      <c r="I131" s="223"/>
      <c r="J131" s="522"/>
      <c r="K131" s="223"/>
      <c r="L131" s="223"/>
      <c r="M131" s="223"/>
      <c r="N131" s="223"/>
      <c r="O131" s="223"/>
      <c r="P131" s="223"/>
      <c r="Q131" s="223"/>
      <c r="R131" s="523"/>
      <c r="S131" s="223"/>
      <c r="T131" s="522"/>
    </row>
    <row r="132" customHeight="1" spans="1:20">
      <c r="A132" s="10"/>
      <c r="B132" s="20" t="s">
        <v>237</v>
      </c>
      <c r="C132" s="21"/>
      <c r="D132" s="21"/>
      <c r="E132" s="146"/>
      <c r="F132" s="146"/>
      <c r="G132" s="220"/>
      <c r="H132" s="220"/>
      <c r="I132" s="146"/>
      <c r="J132" s="516"/>
      <c r="K132" s="146"/>
      <c r="L132" s="146"/>
      <c r="M132" s="146"/>
      <c r="N132" s="146"/>
      <c r="O132" s="146"/>
      <c r="P132" s="146"/>
      <c r="Q132" s="146"/>
      <c r="R132" s="517"/>
      <c r="S132" s="146"/>
      <c r="T132" s="516"/>
    </row>
    <row r="133" ht="18.75" customHeight="1" spans="1:20">
      <c r="A133" s="10">
        <v>1</v>
      </c>
      <c r="B133" s="11" t="s">
        <v>238</v>
      </c>
      <c r="C133" s="4" t="s">
        <v>239</v>
      </c>
      <c r="D133" s="15" t="s">
        <v>65</v>
      </c>
      <c r="E133" s="85">
        <v>482662.666666667</v>
      </c>
      <c r="F133" s="85"/>
      <c r="G133" s="220">
        <v>110000</v>
      </c>
      <c r="H133" s="220">
        <v>0</v>
      </c>
      <c r="I133" s="85"/>
      <c r="J133" s="509">
        <f>SUM(E133:I133)</f>
        <v>592662.666666667</v>
      </c>
      <c r="K133" s="85"/>
      <c r="L133" s="85">
        <f>20000</f>
        <v>20000</v>
      </c>
      <c r="M133" s="85">
        <f>102135.42</f>
        <v>102135.42</v>
      </c>
      <c r="N133" s="85"/>
      <c r="O133" s="85">
        <v>0</v>
      </c>
      <c r="P133" s="85">
        <v>85044.2001066667</v>
      </c>
      <c r="Q133" s="85">
        <v>38613.0133333334</v>
      </c>
      <c r="R133" s="510">
        <f>P133+O133+M133+N133+L133+K133+Q133</f>
        <v>245792.63344</v>
      </c>
      <c r="S133" s="85">
        <v>346870.033226667</v>
      </c>
      <c r="T133" s="509">
        <f>J133-R133</f>
        <v>346870.033226667</v>
      </c>
    </row>
    <row r="134" ht="18.75" customHeight="1" spans="1:20">
      <c r="A134" s="10">
        <v>2</v>
      </c>
      <c r="B134" s="11" t="s">
        <v>240</v>
      </c>
      <c r="C134" s="4" t="s">
        <v>70</v>
      </c>
      <c r="D134" s="15" t="s">
        <v>162</v>
      </c>
      <c r="E134" s="85">
        <v>468828.166666667</v>
      </c>
      <c r="F134" s="85"/>
      <c r="G134" s="220">
        <v>110000</v>
      </c>
      <c r="H134" s="220">
        <v>0</v>
      </c>
      <c r="I134" s="85"/>
      <c r="J134" s="509">
        <f>SUM(E134:I134)</f>
        <v>578828.166666667</v>
      </c>
      <c r="K134" s="85"/>
      <c r="L134" s="85">
        <v>150000</v>
      </c>
      <c r="M134" s="85">
        <v>50000</v>
      </c>
      <c r="N134" s="85"/>
      <c r="O134" s="85"/>
      <c r="P134" s="85">
        <v>82600.4740266667</v>
      </c>
      <c r="Q134" s="85">
        <v>37506.2533333334</v>
      </c>
      <c r="R134" s="510">
        <f>P134+O134+M134+N134+L134+K134+Q134</f>
        <v>320106.72736</v>
      </c>
      <c r="S134" s="85">
        <v>258721.439306667</v>
      </c>
      <c r="T134" s="509">
        <f>J134-R134</f>
        <v>258721.439306667</v>
      </c>
    </row>
    <row r="135" s="1" customFormat="1" ht="18.75" customHeight="1" spans="1:20">
      <c r="A135" s="10">
        <v>4</v>
      </c>
      <c r="B135" s="18" t="s">
        <v>241</v>
      </c>
      <c r="C135" s="4" t="s">
        <v>139</v>
      </c>
      <c r="D135" s="10" t="s">
        <v>96</v>
      </c>
      <c r="E135" s="85">
        <v>330407.083333333</v>
      </c>
      <c r="F135" s="85"/>
      <c r="G135" s="220">
        <f t="shared" ref="G135:G137" si="49">100000</f>
        <v>100000</v>
      </c>
      <c r="H135" s="220"/>
      <c r="I135" s="85"/>
      <c r="J135" s="510">
        <f>E135+F135+G135+H135+I135</f>
        <v>430407.083333333</v>
      </c>
      <c r="K135" s="85"/>
      <c r="L135" s="85">
        <v>50000</v>
      </c>
      <c r="M135" s="85">
        <v>92500</v>
      </c>
      <c r="N135" s="85"/>
      <c r="O135" s="85"/>
      <c r="P135" s="85">
        <v>56229.7738666667</v>
      </c>
      <c r="Q135" s="85">
        <v>26432.5666666667</v>
      </c>
      <c r="R135" s="510">
        <f>P135+O135+M135+N135+L135+K135+Q135</f>
        <v>225162.340533333</v>
      </c>
      <c r="S135" s="85">
        <v>205244.7428</v>
      </c>
      <c r="T135" s="510">
        <f>J135-R135</f>
        <v>205244.7428</v>
      </c>
    </row>
    <row r="136" s="1" customFormat="1" ht="18.75" customHeight="1" spans="1:20">
      <c r="A136" s="10">
        <v>5</v>
      </c>
      <c r="B136" s="18" t="s">
        <v>242</v>
      </c>
      <c r="C136" s="4" t="s">
        <v>139</v>
      </c>
      <c r="D136" s="10" t="s">
        <v>96</v>
      </c>
      <c r="E136" s="85">
        <v>330407.083333333</v>
      </c>
      <c r="F136" s="85"/>
      <c r="G136" s="220">
        <f t="shared" si="49"/>
        <v>100000</v>
      </c>
      <c r="H136" s="220"/>
      <c r="I136" s="85"/>
      <c r="J136" s="510">
        <f>E136+F136+G136+H136+I136</f>
        <v>430407.083333333</v>
      </c>
      <c r="K136" s="85"/>
      <c r="L136" s="85">
        <v>20000</v>
      </c>
      <c r="M136" s="85"/>
      <c r="N136" s="85"/>
      <c r="O136" s="85"/>
      <c r="P136" s="85">
        <v>56229.7738666667</v>
      </c>
      <c r="Q136" s="85">
        <v>26432.5666666667</v>
      </c>
      <c r="R136" s="510">
        <f>P136+O136+M136+N136+L136+K136+Q136</f>
        <v>102662.340533333</v>
      </c>
      <c r="S136" s="85">
        <v>327744.7428</v>
      </c>
      <c r="T136" s="510">
        <f t="shared" ref="T136:T143" si="50">J136-R136</f>
        <v>327744.7428</v>
      </c>
    </row>
    <row r="137" s="1" customFormat="1" customHeight="1" spans="1:20">
      <c r="A137" s="10">
        <v>6</v>
      </c>
      <c r="B137" s="18" t="s">
        <v>243</v>
      </c>
      <c r="C137" s="12" t="s">
        <v>244</v>
      </c>
      <c r="D137" s="15" t="s">
        <v>108</v>
      </c>
      <c r="E137" s="85">
        <v>287890.916666667</v>
      </c>
      <c r="F137" s="85"/>
      <c r="G137" s="220">
        <f t="shared" si="49"/>
        <v>100000</v>
      </c>
      <c r="H137" s="220"/>
      <c r="I137" s="85"/>
      <c r="J137" s="510">
        <f>SUM(E137:I137)</f>
        <v>387890.916666667</v>
      </c>
      <c r="K137" s="85"/>
      <c r="L137" s="686">
        <v>12000</v>
      </c>
      <c r="M137" s="686"/>
      <c r="N137" s="982"/>
      <c r="P137" s="686">
        <v>48719.7181866667</v>
      </c>
      <c r="Q137" s="687">
        <v>23031.2733333333</v>
      </c>
      <c r="R137" s="510">
        <f>P137+O137+M137+N137+L137+K137+Q137</f>
        <v>83750.99152</v>
      </c>
      <c r="S137" s="85">
        <v>316139.925146667</v>
      </c>
      <c r="T137" s="510">
        <f t="shared" si="50"/>
        <v>304139.925146667</v>
      </c>
    </row>
    <row r="138" ht="24.75" customHeight="1" spans="1:20">
      <c r="A138" s="4"/>
      <c r="B138" s="20" t="s">
        <v>111</v>
      </c>
      <c r="C138" s="21">
        <v>6</v>
      </c>
      <c r="D138" s="26"/>
      <c r="E138" s="93">
        <f>SUM(E133:E137)</f>
        <v>1900195.91666667</v>
      </c>
      <c r="F138" s="93">
        <f t="shared" ref="F138:S138" si="51">SUM(F133:F137)</f>
        <v>0</v>
      </c>
      <c r="G138" s="93">
        <f t="shared" si="51"/>
        <v>520000</v>
      </c>
      <c r="H138" s="93">
        <f t="shared" si="51"/>
        <v>0</v>
      </c>
      <c r="I138" s="93">
        <f t="shared" si="51"/>
        <v>0</v>
      </c>
      <c r="J138" s="93">
        <f t="shared" si="51"/>
        <v>2420195.91666667</v>
      </c>
      <c r="K138" s="93">
        <f t="shared" si="51"/>
        <v>0</v>
      </c>
      <c r="L138" s="93">
        <f t="shared" si="51"/>
        <v>252000</v>
      </c>
      <c r="M138" s="93">
        <f t="shared" si="51"/>
        <v>244635.42</v>
      </c>
      <c r="N138" s="93">
        <f t="shared" si="51"/>
        <v>0</v>
      </c>
      <c r="O138" s="93">
        <f t="shared" si="51"/>
        <v>0</v>
      </c>
      <c r="P138" s="93">
        <f t="shared" si="51"/>
        <v>328823.940053334</v>
      </c>
      <c r="Q138" s="93">
        <f t="shared" si="51"/>
        <v>152015.673333334</v>
      </c>
      <c r="R138" s="93">
        <f t="shared" si="51"/>
        <v>977475.033386666</v>
      </c>
      <c r="S138" s="93">
        <v>1454720.88328</v>
      </c>
      <c r="T138" s="93">
        <f>SUM(T133:T137)</f>
        <v>1442720.88328</v>
      </c>
    </row>
    <row r="139" ht="24.75" customHeight="1" spans="1:20">
      <c r="A139" s="4"/>
      <c r="B139" s="20"/>
      <c r="C139" s="21"/>
      <c r="D139" s="26"/>
      <c r="E139" s="93"/>
      <c r="F139" s="93"/>
      <c r="G139" s="93"/>
      <c r="H139" s="93"/>
      <c r="I139" s="93"/>
      <c r="J139" s="983"/>
      <c r="K139" s="93"/>
      <c r="L139" s="93"/>
      <c r="M139" s="93"/>
      <c r="N139" s="93"/>
      <c r="O139" s="93"/>
      <c r="P139" s="93"/>
      <c r="Q139" s="93"/>
      <c r="R139" s="984"/>
      <c r="S139" s="93"/>
      <c r="T139" s="983"/>
    </row>
    <row r="140" ht="24.75" customHeight="1" spans="1:20">
      <c r="A140" s="10"/>
      <c r="B140" s="20" t="s">
        <v>245</v>
      </c>
      <c r="C140" s="21"/>
      <c r="D140" s="21"/>
      <c r="E140" s="146"/>
      <c r="F140" s="146"/>
      <c r="G140" s="220"/>
      <c r="H140" s="220"/>
      <c r="I140" s="146"/>
      <c r="J140" s="516"/>
      <c r="K140" s="146"/>
      <c r="L140" s="146"/>
      <c r="M140" s="146"/>
      <c r="N140" s="146"/>
      <c r="O140" s="146"/>
      <c r="P140" s="146"/>
      <c r="Q140" s="146"/>
      <c r="R140" s="517"/>
      <c r="S140" s="146"/>
      <c r="T140" s="516"/>
    </row>
    <row r="141" s="1" customFormat="1" ht="18.75" customHeight="1" spans="1:20">
      <c r="A141" s="27">
        <v>1</v>
      </c>
      <c r="B141" s="18" t="s">
        <v>246</v>
      </c>
      <c r="C141" s="4" t="s">
        <v>247</v>
      </c>
      <c r="D141" s="10" t="s">
        <v>96</v>
      </c>
      <c r="E141" s="85">
        <v>330407.083333333</v>
      </c>
      <c r="F141" s="85"/>
      <c r="G141" s="220"/>
      <c r="H141" s="220">
        <f>60000</f>
        <v>60000</v>
      </c>
      <c r="I141" s="85"/>
      <c r="J141" s="510">
        <f>E141+F141+G141+H141+I141</f>
        <v>390407.083333333</v>
      </c>
      <c r="K141" s="85"/>
      <c r="L141" s="85"/>
      <c r="M141" s="85"/>
      <c r="N141" s="85"/>
      <c r="O141" s="85"/>
      <c r="P141" s="85">
        <v>48549.7738666667</v>
      </c>
      <c r="Q141" s="85">
        <v>26432.5666666667</v>
      </c>
      <c r="R141" s="510">
        <f>P141+O141+M141+N141+L141+K141+Q141</f>
        <v>74982.3405333334</v>
      </c>
      <c r="S141" s="85">
        <v>880615.722799996</v>
      </c>
      <c r="T141" s="510">
        <f t="shared" si="50"/>
        <v>315424.7428</v>
      </c>
    </row>
    <row r="142" ht="24.75" customHeight="1" spans="1:20">
      <c r="A142" s="10">
        <v>2</v>
      </c>
      <c r="B142" s="11" t="s">
        <v>248</v>
      </c>
      <c r="C142" s="4" t="s">
        <v>249</v>
      </c>
      <c r="D142" s="10" t="s">
        <v>108</v>
      </c>
      <c r="E142" s="85">
        <v>287890.916666667</v>
      </c>
      <c r="F142" s="85"/>
      <c r="G142" s="220"/>
      <c r="H142" s="220">
        <v>50000</v>
      </c>
      <c r="I142" s="85"/>
      <c r="J142" s="509">
        <f>SUM(E142:I142)</f>
        <v>337890.916666667</v>
      </c>
      <c r="K142" s="85"/>
      <c r="L142" s="85"/>
      <c r="M142" s="85"/>
      <c r="N142" s="85"/>
      <c r="O142" s="85"/>
      <c r="P142" s="85">
        <v>40063.0867466667</v>
      </c>
      <c r="Q142" s="85">
        <v>23031.2733333334</v>
      </c>
      <c r="R142" s="510">
        <f>P142+O142+M142+N142+L142+K142+Q142</f>
        <v>63094.3600800001</v>
      </c>
      <c r="S142" s="85">
        <v>274796.556586667</v>
      </c>
      <c r="T142" s="509">
        <f t="shared" si="50"/>
        <v>274796.556586667</v>
      </c>
    </row>
    <row r="143" ht="24.75" customHeight="1" spans="1:20">
      <c r="A143" s="10">
        <v>3</v>
      </c>
      <c r="B143" s="11" t="s">
        <v>250</v>
      </c>
      <c r="C143" s="4" t="s">
        <v>251</v>
      </c>
      <c r="D143" s="10" t="s">
        <v>108</v>
      </c>
      <c r="E143" s="85">
        <v>287890.916666667</v>
      </c>
      <c r="F143" s="85"/>
      <c r="G143" s="220"/>
      <c r="H143" s="220">
        <v>50000</v>
      </c>
      <c r="I143" s="85"/>
      <c r="J143" s="509">
        <f>SUM(E143:I143)</f>
        <v>337890.916666667</v>
      </c>
      <c r="K143" s="85"/>
      <c r="L143" s="85"/>
      <c r="M143" s="85"/>
      <c r="N143" s="85"/>
      <c r="O143" s="85"/>
      <c r="P143" s="85">
        <v>40063.0867466667</v>
      </c>
      <c r="Q143" s="85">
        <v>23031.2733333334</v>
      </c>
      <c r="R143" s="510">
        <f>P143+O143+M143+N143+L143+K143+Q143</f>
        <v>63094.3600800001</v>
      </c>
      <c r="S143" s="85">
        <v>274796.556586667</v>
      </c>
      <c r="T143" s="509">
        <f t="shared" si="50"/>
        <v>274796.556586667</v>
      </c>
    </row>
    <row r="144" customHeight="1" spans="1:20">
      <c r="A144" s="4"/>
      <c r="B144" s="20" t="s">
        <v>111</v>
      </c>
      <c r="C144" s="21">
        <v>3</v>
      </c>
      <c r="D144" s="26"/>
      <c r="E144" s="93">
        <f>SUM(E141:E143)</f>
        <v>906188.916666667</v>
      </c>
      <c r="F144" s="93">
        <f>SUM(F141:F143)</f>
        <v>0</v>
      </c>
      <c r="G144" s="93">
        <f t="shared" ref="G144:S144" si="52">SUM(G141:G143)</f>
        <v>0</v>
      </c>
      <c r="H144" s="93">
        <f t="shared" si="52"/>
        <v>160000</v>
      </c>
      <c r="I144" s="93">
        <f t="shared" si="52"/>
        <v>0</v>
      </c>
      <c r="J144" s="93">
        <f t="shared" si="52"/>
        <v>1066188.91666667</v>
      </c>
      <c r="K144" s="93">
        <f t="shared" si="52"/>
        <v>0</v>
      </c>
      <c r="L144" s="93">
        <f t="shared" si="52"/>
        <v>0</v>
      </c>
      <c r="M144" s="93">
        <f t="shared" si="52"/>
        <v>0</v>
      </c>
      <c r="N144" s="93">
        <f t="shared" si="52"/>
        <v>0</v>
      </c>
      <c r="O144" s="93">
        <f t="shared" si="52"/>
        <v>0</v>
      </c>
      <c r="P144" s="93">
        <f t="shared" si="52"/>
        <v>128675.94736</v>
      </c>
      <c r="Q144" s="93">
        <f t="shared" si="52"/>
        <v>72495.1133333335</v>
      </c>
      <c r="R144" s="93">
        <f t="shared" si="52"/>
        <v>201171.060693334</v>
      </c>
      <c r="S144" s="93">
        <v>1430208.83597333</v>
      </c>
      <c r="T144" s="93">
        <f>SUM(T141:T143)</f>
        <v>865017.855973334</v>
      </c>
    </row>
    <row r="145" customHeight="1" spans="1:20">
      <c r="A145" s="4"/>
      <c r="B145" s="20"/>
      <c r="C145" s="21"/>
      <c r="D145" s="26"/>
      <c r="E145" s="93"/>
      <c r="F145" s="93"/>
      <c r="G145" s="93"/>
      <c r="H145" s="93"/>
      <c r="I145" s="93"/>
      <c r="J145" s="983"/>
      <c r="K145" s="93"/>
      <c r="L145" s="93"/>
      <c r="M145" s="93"/>
      <c r="N145" s="93"/>
      <c r="O145" s="93"/>
      <c r="P145" s="93"/>
      <c r="Q145" s="93"/>
      <c r="R145" s="984"/>
      <c r="S145" s="93"/>
      <c r="T145" s="983"/>
    </row>
    <row r="146" customHeight="1" spans="1:20">
      <c r="A146" s="4"/>
      <c r="B146" s="20" t="s">
        <v>252</v>
      </c>
      <c r="C146" s="21"/>
      <c r="D146" s="21"/>
      <c r="E146" s="146"/>
      <c r="F146" s="146"/>
      <c r="G146" s="220"/>
      <c r="H146" s="220"/>
      <c r="I146" s="146"/>
      <c r="J146" s="516"/>
      <c r="K146" s="146"/>
      <c r="L146" s="146"/>
      <c r="M146" s="146"/>
      <c r="N146" s="146"/>
      <c r="O146" s="146"/>
      <c r="P146" s="146"/>
      <c r="Q146" s="146"/>
      <c r="R146" s="510"/>
      <c r="S146" s="85"/>
      <c r="T146" s="509"/>
    </row>
    <row r="147" customHeight="1" spans="1:20">
      <c r="A147" s="4">
        <v>1</v>
      </c>
      <c r="B147" s="11" t="s">
        <v>253</v>
      </c>
      <c r="C147" s="12" t="s">
        <v>254</v>
      </c>
      <c r="D147" s="15" t="s">
        <v>115</v>
      </c>
      <c r="E147" s="85">
        <v>1747106.41666666</v>
      </c>
      <c r="F147" s="85"/>
      <c r="G147" s="220"/>
      <c r="H147" s="220">
        <f>100000</f>
        <v>100000</v>
      </c>
      <c r="I147" s="85">
        <v>100000</v>
      </c>
      <c r="J147" s="509">
        <f>SUM(E147:I147)</f>
        <v>1947106.41666666</v>
      </c>
      <c r="K147" s="85"/>
      <c r="L147" s="85">
        <f>200000</f>
        <v>200000</v>
      </c>
      <c r="M147" s="85">
        <f>627777.78</f>
        <v>627777.78</v>
      </c>
      <c r="N147" s="85">
        <v>70000</v>
      </c>
      <c r="O147" s="85">
        <v>27169.4270833333</v>
      </c>
      <c r="P147" s="85">
        <v>320459.014106665</v>
      </c>
      <c r="Q147" s="85">
        <v>139768.513333333</v>
      </c>
      <c r="R147" s="510">
        <f>P147+O147+M147+N147+L147+K147+Q147</f>
        <v>1385174.73452333</v>
      </c>
      <c r="S147" s="85">
        <v>559931.682143329</v>
      </c>
      <c r="T147" s="509">
        <f t="shared" ref="T147:T157" si="53">J147-R147</f>
        <v>561931.682143329</v>
      </c>
    </row>
    <row r="148" customHeight="1" spans="1:20">
      <c r="A148" s="4">
        <v>2</v>
      </c>
      <c r="B148" s="11" t="s">
        <v>255</v>
      </c>
      <c r="C148" s="12" t="s">
        <v>256</v>
      </c>
      <c r="D148" s="15" t="s">
        <v>154</v>
      </c>
      <c r="E148" s="85">
        <v>905306.75</v>
      </c>
      <c r="F148" s="85"/>
      <c r="G148" s="220"/>
      <c r="H148" s="220">
        <f>90000</f>
        <v>90000</v>
      </c>
      <c r="I148" s="85">
        <v>100000</v>
      </c>
      <c r="J148" s="509">
        <f t="shared" ref="J148:J157" si="54">SUM(E148:I148)</f>
        <v>1095306.75</v>
      </c>
      <c r="K148" s="85"/>
      <c r="L148" s="85">
        <v>0</v>
      </c>
      <c r="M148" s="85">
        <f>0</f>
        <v>0</v>
      </c>
      <c r="N148" s="85"/>
      <c r="O148" s="85">
        <v>13866.7375</v>
      </c>
      <c r="P148" s="85">
        <v>172397.637386667</v>
      </c>
      <c r="Q148" s="85">
        <v>72424.54</v>
      </c>
      <c r="R148" s="510">
        <f t="shared" ref="R148:R157" si="55">P148+O148+M148+N148+L148+K148+Q148</f>
        <v>258688.914886667</v>
      </c>
      <c r="S148" s="85">
        <v>836617.835113333</v>
      </c>
      <c r="T148" s="509">
        <f t="shared" si="53"/>
        <v>836617.835113333</v>
      </c>
    </row>
    <row r="149" customHeight="1" spans="1:21">
      <c r="A149" s="4">
        <v>3</v>
      </c>
      <c r="B149" s="14" t="s">
        <v>257</v>
      </c>
      <c r="C149" s="12" t="s">
        <v>258</v>
      </c>
      <c r="D149" s="15" t="s">
        <v>194</v>
      </c>
      <c r="E149" s="85">
        <v>879008.916666667</v>
      </c>
      <c r="F149" s="85"/>
      <c r="G149" s="220"/>
      <c r="H149" s="220">
        <f>90000</f>
        <v>90000</v>
      </c>
      <c r="I149" s="85">
        <f>100000+30000</f>
        <v>130000</v>
      </c>
      <c r="J149" s="509">
        <f t="shared" si="54"/>
        <v>1099008.91666667</v>
      </c>
      <c r="K149" s="85"/>
      <c r="L149" s="85">
        <f>350000</f>
        <v>350000</v>
      </c>
      <c r="M149" s="85"/>
      <c r="N149" s="85"/>
      <c r="O149" s="85">
        <v>13084.6625</v>
      </c>
      <c r="P149" s="85">
        <v>174066.481226667</v>
      </c>
      <c r="Q149" s="85">
        <v>68216.8866666666</v>
      </c>
      <c r="R149" s="510">
        <f t="shared" si="55"/>
        <v>605368.030393334</v>
      </c>
      <c r="S149" s="85">
        <v>536138.184940005</v>
      </c>
      <c r="T149" s="509">
        <f t="shared" si="53"/>
        <v>493640.886273336</v>
      </c>
      <c r="U149" s="13">
        <f>T149-S149</f>
        <v>-42497.2986666686</v>
      </c>
    </row>
    <row r="150" customHeight="1" spans="1:20">
      <c r="A150" s="4">
        <v>4</v>
      </c>
      <c r="B150" s="11" t="s">
        <v>259</v>
      </c>
      <c r="C150" s="12" t="s">
        <v>260</v>
      </c>
      <c r="D150" s="15" t="s">
        <v>41</v>
      </c>
      <c r="E150" s="85">
        <v>589657</v>
      </c>
      <c r="F150" s="85"/>
      <c r="G150" s="220"/>
      <c r="H150" s="220">
        <f>70000</f>
        <v>70000</v>
      </c>
      <c r="I150" s="85">
        <v>0</v>
      </c>
      <c r="J150" s="509">
        <f t="shared" si="54"/>
        <v>659657</v>
      </c>
      <c r="K150" s="85"/>
      <c r="L150" s="85">
        <v>5000</v>
      </c>
      <c r="M150" s="85">
        <v>195000</v>
      </c>
      <c r="N150" s="85"/>
      <c r="O150" s="85"/>
      <c r="P150" s="85">
        <v>96263.6791466667</v>
      </c>
      <c r="Q150" s="85">
        <v>47172.56</v>
      </c>
      <c r="R150" s="510">
        <f t="shared" si="55"/>
        <v>343436.239146667</v>
      </c>
      <c r="S150" s="85">
        <v>316220.760853333</v>
      </c>
      <c r="T150" s="509">
        <f t="shared" si="53"/>
        <v>316220.760853333</v>
      </c>
    </row>
    <row r="151" customHeight="1" spans="1:20">
      <c r="A151" s="4">
        <v>5</v>
      </c>
      <c r="B151" s="11" t="s">
        <v>261</v>
      </c>
      <c r="C151" s="12" t="s">
        <v>260</v>
      </c>
      <c r="D151" s="15" t="s">
        <v>46</v>
      </c>
      <c r="E151" s="85">
        <v>558165.25</v>
      </c>
      <c r="F151" s="85"/>
      <c r="G151" s="220"/>
      <c r="H151" s="220">
        <f t="shared" ref="H151:H152" si="56">70000</f>
        <v>70000</v>
      </c>
      <c r="I151" s="85">
        <v>0</v>
      </c>
      <c r="J151" s="509">
        <f t="shared" si="54"/>
        <v>628165.25</v>
      </c>
      <c r="K151" s="85"/>
      <c r="L151" s="85">
        <f>20000</f>
        <v>20000</v>
      </c>
      <c r="M151" s="85">
        <v>75694.44</v>
      </c>
      <c r="N151" s="85"/>
      <c r="O151" s="85">
        <v>8692.89791666667</v>
      </c>
      <c r="P151" s="85">
        <v>89031.9400266667</v>
      </c>
      <c r="Q151" s="85">
        <v>44653.22</v>
      </c>
      <c r="R151" s="510">
        <f t="shared" si="55"/>
        <v>238072.497943333</v>
      </c>
      <c r="S151" s="85">
        <v>390092.752056667</v>
      </c>
      <c r="T151" s="509">
        <f t="shared" si="53"/>
        <v>390092.752056667</v>
      </c>
    </row>
    <row r="152" customHeight="1" spans="1:20">
      <c r="A152" s="4">
        <v>6</v>
      </c>
      <c r="B152" s="11" t="s">
        <v>262</v>
      </c>
      <c r="C152" s="12" t="s">
        <v>260</v>
      </c>
      <c r="D152" s="15" t="s">
        <v>178</v>
      </c>
      <c r="E152" s="85">
        <v>573911.083333334</v>
      </c>
      <c r="F152" s="85"/>
      <c r="G152" s="220"/>
      <c r="H152" s="220">
        <f t="shared" si="56"/>
        <v>70000</v>
      </c>
      <c r="I152" s="85"/>
      <c r="J152" s="509">
        <f t="shared" si="54"/>
        <v>643911.083333334</v>
      </c>
      <c r="K152" s="85"/>
      <c r="L152" s="85">
        <f>35000+25000</f>
        <v>60000</v>
      </c>
      <c r="M152" s="85">
        <f>55000</f>
        <v>55000</v>
      </c>
      <c r="N152" s="85"/>
      <c r="O152" s="85">
        <v>8926.66666666668</v>
      </c>
      <c r="P152" s="85">
        <v>91768.4004266668</v>
      </c>
      <c r="Q152" s="85">
        <v>45912.8866666667</v>
      </c>
      <c r="R152" s="510">
        <f t="shared" si="55"/>
        <v>261607.95376</v>
      </c>
      <c r="S152" s="85">
        <v>382303.129573334</v>
      </c>
      <c r="T152" s="509">
        <f t="shared" si="53"/>
        <v>382303.129573334</v>
      </c>
    </row>
    <row r="153" s="1" customFormat="1" customHeight="1" spans="1:20">
      <c r="A153" s="4">
        <v>7</v>
      </c>
      <c r="B153" s="18" t="s">
        <v>263</v>
      </c>
      <c r="C153" s="12" t="s">
        <v>264</v>
      </c>
      <c r="D153" s="15" t="s">
        <v>73</v>
      </c>
      <c r="E153" s="85">
        <v>372145.333333333</v>
      </c>
      <c r="F153" s="85"/>
      <c r="G153" s="220"/>
      <c r="H153" s="220">
        <v>60000</v>
      </c>
      <c r="I153" s="85"/>
      <c r="J153" s="510">
        <f t="shared" si="54"/>
        <v>432145.333333333</v>
      </c>
      <c r="K153" s="85"/>
      <c r="L153" s="686"/>
      <c r="M153" s="686"/>
      <c r="N153" s="982">
        <v>102000</v>
      </c>
      <c r="P153" s="686">
        <v>55922.4183466667</v>
      </c>
      <c r="Q153" s="687">
        <v>29771.6266666667</v>
      </c>
      <c r="R153" s="510">
        <f t="shared" si="55"/>
        <v>187694.045013333</v>
      </c>
      <c r="S153" s="85">
        <v>346451.28832</v>
      </c>
      <c r="T153" s="510">
        <f t="shared" si="53"/>
        <v>244451.28832</v>
      </c>
    </row>
    <row r="154" customHeight="1" spans="1:20">
      <c r="A154" s="4">
        <v>8</v>
      </c>
      <c r="B154" s="11" t="s">
        <v>265</v>
      </c>
      <c r="C154" s="12" t="s">
        <v>266</v>
      </c>
      <c r="D154" s="10" t="s">
        <v>79</v>
      </c>
      <c r="E154" s="85">
        <v>355320.666666667</v>
      </c>
      <c r="F154" s="85"/>
      <c r="G154" s="220"/>
      <c r="H154" s="220">
        <f>60000</f>
        <v>60000</v>
      </c>
      <c r="I154" s="85"/>
      <c r="J154" s="509">
        <f t="shared" si="54"/>
        <v>415320.666666667</v>
      </c>
      <c r="K154" s="85"/>
      <c r="L154" s="85">
        <v>15000</v>
      </c>
      <c r="M154" s="85">
        <v>150000</v>
      </c>
      <c r="N154" s="85"/>
      <c r="O154" s="85"/>
      <c r="P154" s="85">
        <v>52950.5092266667</v>
      </c>
      <c r="Q154" s="85">
        <v>28425.6533333334</v>
      </c>
      <c r="R154" s="510">
        <f t="shared" si="55"/>
        <v>246376.16256</v>
      </c>
      <c r="S154" s="85">
        <v>168944.504106667</v>
      </c>
      <c r="T154" s="509">
        <f t="shared" si="53"/>
        <v>168944.504106667</v>
      </c>
    </row>
    <row r="155" customHeight="1" spans="1:20">
      <c r="A155" s="4">
        <v>9</v>
      </c>
      <c r="B155" s="18" t="s">
        <v>267</v>
      </c>
      <c r="C155" s="12" t="s">
        <v>268</v>
      </c>
      <c r="D155" s="15" t="s">
        <v>102</v>
      </c>
      <c r="E155" s="85">
        <v>301910.75</v>
      </c>
      <c r="F155" s="85"/>
      <c r="G155" s="220"/>
      <c r="H155" s="220">
        <f>50000</f>
        <v>50000</v>
      </c>
      <c r="I155" s="85"/>
      <c r="J155" s="509">
        <f t="shared" si="54"/>
        <v>351910.75</v>
      </c>
      <c r="K155" s="85"/>
      <c r="L155" s="85">
        <f>10000</f>
        <v>10000</v>
      </c>
      <c r="M155" s="85">
        <f>100000</f>
        <v>100000</v>
      </c>
      <c r="N155" s="975"/>
      <c r="O155" s="916">
        <v>4909.11041666668</v>
      </c>
      <c r="P155" s="85">
        <v>42229.9921866667</v>
      </c>
      <c r="Q155" s="85">
        <v>24152.86</v>
      </c>
      <c r="R155" s="510">
        <f t="shared" si="55"/>
        <v>181291.962603333</v>
      </c>
      <c r="S155" s="85">
        <v>170618.787396667</v>
      </c>
      <c r="T155" s="509">
        <f t="shared" si="53"/>
        <v>170618.787396667</v>
      </c>
    </row>
    <row r="156" customHeight="1" spans="1:20">
      <c r="A156" s="4">
        <v>10</v>
      </c>
      <c r="B156" s="18" t="s">
        <v>269</v>
      </c>
      <c r="C156" s="12" t="s">
        <v>264</v>
      </c>
      <c r="D156" s="15" t="s">
        <v>102</v>
      </c>
      <c r="E156" s="85">
        <v>301910.75</v>
      </c>
      <c r="F156" s="85"/>
      <c r="G156" s="220"/>
      <c r="H156" s="220">
        <v>50000</v>
      </c>
      <c r="I156" s="85"/>
      <c r="J156" s="509">
        <f t="shared" si="54"/>
        <v>351910.75</v>
      </c>
      <c r="K156" s="85"/>
      <c r="L156" s="85">
        <f>10000+10000</f>
        <v>20000</v>
      </c>
      <c r="M156" s="85">
        <v>63888.89</v>
      </c>
      <c r="N156" s="975"/>
      <c r="O156" s="916">
        <v>4909.11041666668</v>
      </c>
      <c r="P156" s="85">
        <v>42229.9921866667</v>
      </c>
      <c r="Q156" s="85">
        <v>24152.86</v>
      </c>
      <c r="R156" s="510">
        <f t="shared" si="55"/>
        <v>155180.852603333</v>
      </c>
      <c r="S156" s="85">
        <v>196729.897396667</v>
      </c>
      <c r="T156" s="509">
        <f t="shared" si="53"/>
        <v>196729.897396667</v>
      </c>
    </row>
    <row r="157" customHeight="1" spans="1:20">
      <c r="A157" s="4">
        <v>11</v>
      </c>
      <c r="B157" s="18" t="s">
        <v>270</v>
      </c>
      <c r="C157" s="12" t="s">
        <v>268</v>
      </c>
      <c r="D157" s="15" t="s">
        <v>105</v>
      </c>
      <c r="E157" s="939">
        <v>294900.833333334</v>
      </c>
      <c r="F157" s="85"/>
      <c r="G157" s="220"/>
      <c r="H157" s="220">
        <v>50000</v>
      </c>
      <c r="I157" s="85"/>
      <c r="J157" s="509">
        <f t="shared" si="54"/>
        <v>344900.833333334</v>
      </c>
      <c r="K157" s="85"/>
      <c r="L157" s="686">
        <f>20000</f>
        <v>20000</v>
      </c>
      <c r="M157" s="686">
        <v>80000</v>
      </c>
      <c r="N157" s="976"/>
      <c r="O157" s="916">
        <v>4804.48541666668</v>
      </c>
      <c r="P157" s="686">
        <v>41146.5394666668</v>
      </c>
      <c r="Q157" s="687">
        <v>23592.0666666667</v>
      </c>
      <c r="R157" s="510">
        <f t="shared" si="55"/>
        <v>169543.09155</v>
      </c>
      <c r="S157" s="85">
        <v>155357.741783334</v>
      </c>
      <c r="T157" s="509">
        <f t="shared" si="53"/>
        <v>175357.741783334</v>
      </c>
    </row>
    <row r="158" ht="28.5" customHeight="1" spans="1:20">
      <c r="A158" s="4"/>
      <c r="B158" s="20" t="s">
        <v>111</v>
      </c>
      <c r="C158" s="26" t="s">
        <v>271</v>
      </c>
      <c r="D158" s="15"/>
      <c r="E158" s="221">
        <f>SUM(E147:E157)</f>
        <v>6879343.74999999</v>
      </c>
      <c r="F158" s="221">
        <f>SUM(F147:F157)</f>
        <v>0</v>
      </c>
      <c r="G158" s="221">
        <f t="shared" ref="G158:S158" si="57">SUM(G147:G157)</f>
        <v>0</v>
      </c>
      <c r="H158" s="221">
        <f t="shared" si="57"/>
        <v>760000</v>
      </c>
      <c r="I158" s="221">
        <f t="shared" si="57"/>
        <v>330000</v>
      </c>
      <c r="J158" s="221">
        <f t="shared" si="57"/>
        <v>7969343.75</v>
      </c>
      <c r="K158" s="221">
        <f t="shared" si="57"/>
        <v>0</v>
      </c>
      <c r="L158" s="221">
        <f t="shared" si="57"/>
        <v>700000</v>
      </c>
      <c r="M158" s="221">
        <f t="shared" si="57"/>
        <v>1347361.11</v>
      </c>
      <c r="N158" s="221">
        <f t="shared" si="57"/>
        <v>172000</v>
      </c>
      <c r="O158" s="221">
        <f t="shared" si="57"/>
        <v>86363.0979166667</v>
      </c>
      <c r="P158" s="221">
        <f t="shared" si="57"/>
        <v>1178466.60373333</v>
      </c>
      <c r="Q158" s="221">
        <f t="shared" si="57"/>
        <v>548243.673333333</v>
      </c>
      <c r="R158" s="221">
        <f t="shared" si="57"/>
        <v>4032434.48498333</v>
      </c>
      <c r="S158" s="221">
        <v>4059406.56368333</v>
      </c>
      <c r="T158" s="221">
        <f>SUM(T147:T157)</f>
        <v>3936909.26501667</v>
      </c>
    </row>
    <row r="159" customHeight="1" spans="1:20">
      <c r="A159" s="4"/>
      <c r="B159" s="22"/>
      <c r="C159" s="26"/>
      <c r="D159" s="15"/>
      <c r="E159" s="146"/>
      <c r="F159" s="146"/>
      <c r="G159" s="220"/>
      <c r="H159" s="220"/>
      <c r="I159" s="146"/>
      <c r="J159" s="516"/>
      <c r="K159" s="146"/>
      <c r="L159" s="146"/>
      <c r="M159" s="146"/>
      <c r="N159" s="146"/>
      <c r="O159" s="146"/>
      <c r="P159" s="146"/>
      <c r="Q159" s="146"/>
      <c r="R159" s="517"/>
      <c r="S159" s="146"/>
      <c r="T159" s="516"/>
    </row>
    <row r="160" customHeight="1" spans="1:20">
      <c r="A160" s="4"/>
      <c r="B160" s="20" t="s">
        <v>272</v>
      </c>
      <c r="C160" s="12"/>
      <c r="D160" s="15"/>
      <c r="E160" s="85"/>
      <c r="F160" s="85"/>
      <c r="G160" s="220"/>
      <c r="H160" s="220"/>
      <c r="I160" s="85"/>
      <c r="J160" s="509"/>
      <c r="K160" s="85"/>
      <c r="L160" s="85"/>
      <c r="M160" s="85"/>
      <c r="N160" s="85"/>
      <c r="O160" s="85"/>
      <c r="P160" s="85"/>
      <c r="Q160" s="85"/>
      <c r="R160" s="510"/>
      <c r="S160" s="85"/>
      <c r="T160" s="509"/>
    </row>
    <row r="161" customHeight="1" spans="1:20">
      <c r="A161" s="27">
        <v>1</v>
      </c>
      <c r="B161" s="14" t="s">
        <v>273</v>
      </c>
      <c r="C161" s="4" t="s">
        <v>274</v>
      </c>
      <c r="D161" s="10" t="s">
        <v>275</v>
      </c>
      <c r="E161" s="85">
        <v>1647612</v>
      </c>
      <c r="F161" s="85"/>
      <c r="G161" s="220"/>
      <c r="H161" s="220">
        <v>100000</v>
      </c>
      <c r="I161" s="85"/>
      <c r="J161" s="509">
        <f>E161+F161+G161+H161+I161</f>
        <v>1747612</v>
      </c>
      <c r="K161" s="85"/>
      <c r="L161" s="85">
        <f>20000+60000</f>
        <v>80000</v>
      </c>
      <c r="M161" s="85">
        <v>446457.79</v>
      </c>
      <c r="N161" s="85">
        <v>40000</v>
      </c>
      <c r="O161" s="85">
        <v>25644.2083333333</v>
      </c>
      <c r="P161" s="85">
        <v>283977.162346667</v>
      </c>
      <c r="Q161" s="85">
        <v>131808.96</v>
      </c>
      <c r="R161" s="510">
        <f>P161+O161+M161+N161+L161+K161+Q161</f>
        <v>1007888.12068</v>
      </c>
      <c r="S161" s="85">
        <v>737723.87932</v>
      </c>
      <c r="T161" s="509">
        <f t="shared" ref="T161:T169" si="58">J161-R161</f>
        <v>739723.87932</v>
      </c>
    </row>
    <row r="162" customHeight="1" spans="1:20">
      <c r="A162" s="27">
        <v>2</v>
      </c>
      <c r="B162" s="14" t="s">
        <v>276</v>
      </c>
      <c r="C162" s="4" t="s">
        <v>277</v>
      </c>
      <c r="D162" s="16" t="s">
        <v>154</v>
      </c>
      <c r="E162" s="85">
        <v>905306.75</v>
      </c>
      <c r="F162" s="85"/>
      <c r="G162" s="220"/>
      <c r="H162" s="220">
        <f>80000+10000</f>
        <v>90000</v>
      </c>
      <c r="I162" s="85">
        <v>50000</v>
      </c>
      <c r="J162" s="509">
        <f t="shared" ref="J162:J169" si="59">SUM(E162:I162)</f>
        <v>1045306.75</v>
      </c>
      <c r="K162" s="85"/>
      <c r="L162" s="85">
        <f>37500</f>
        <v>37500</v>
      </c>
      <c r="M162" s="85"/>
      <c r="N162" s="85"/>
      <c r="O162" s="85">
        <v>13866.7375</v>
      </c>
      <c r="P162" s="85">
        <v>162797.637386667</v>
      </c>
      <c r="Q162" s="85">
        <v>72424.54</v>
      </c>
      <c r="R162" s="510">
        <f t="shared" ref="R162:R206" si="60">P162+O162+M162+N162+L162+K162+Q162</f>
        <v>286588.914886667</v>
      </c>
      <c r="S162" s="85">
        <v>758717.835113333</v>
      </c>
      <c r="T162" s="509">
        <f t="shared" si="58"/>
        <v>758717.835113333</v>
      </c>
    </row>
    <row r="163" customHeight="1" spans="1:20">
      <c r="A163" s="27">
        <v>3</v>
      </c>
      <c r="B163" s="11" t="s">
        <v>278</v>
      </c>
      <c r="C163" s="12" t="s">
        <v>279</v>
      </c>
      <c r="D163" s="15" t="s">
        <v>49</v>
      </c>
      <c r="E163" s="85">
        <v>700713.916666666</v>
      </c>
      <c r="F163" s="85"/>
      <c r="G163" s="220"/>
      <c r="H163" s="220">
        <v>80000</v>
      </c>
      <c r="I163" s="85"/>
      <c r="J163" s="509">
        <f t="shared" si="59"/>
        <v>780713.916666666</v>
      </c>
      <c r="K163" s="85"/>
      <c r="L163" s="85">
        <f>100000</f>
        <v>100000</v>
      </c>
      <c r="M163" s="85">
        <f>191666.67</f>
        <v>191666.67</v>
      </c>
      <c r="N163" s="85"/>
      <c r="O163" s="85">
        <v>10824.5270833333</v>
      </c>
      <c r="P163" s="85">
        <v>115722.463706667</v>
      </c>
      <c r="Q163" s="85">
        <v>56057.1133333333</v>
      </c>
      <c r="R163" s="510">
        <f t="shared" si="60"/>
        <v>474270.774123334</v>
      </c>
      <c r="S163" s="85">
        <v>356443.142543332</v>
      </c>
      <c r="T163" s="509">
        <f t="shared" si="58"/>
        <v>306443.142543332</v>
      </c>
    </row>
    <row r="164" customHeight="1" spans="1:20">
      <c r="A164" s="27">
        <v>4</v>
      </c>
      <c r="B164" s="11" t="s">
        <v>280</v>
      </c>
      <c r="C164" s="4" t="s">
        <v>281</v>
      </c>
      <c r="D164" s="15" t="s">
        <v>49</v>
      </c>
      <c r="E164" s="85">
        <v>700713.916666666</v>
      </c>
      <c r="F164" s="85"/>
      <c r="G164" s="220"/>
      <c r="H164" s="220">
        <v>80000</v>
      </c>
      <c r="I164" s="85">
        <v>0</v>
      </c>
      <c r="J164" s="509">
        <f t="shared" si="59"/>
        <v>780713.916666666</v>
      </c>
      <c r="K164" s="85"/>
      <c r="L164" s="85">
        <v>20000</v>
      </c>
      <c r="M164" s="85"/>
      <c r="N164" s="85"/>
      <c r="O164" s="85">
        <v>10824.5270833333</v>
      </c>
      <c r="P164" s="85">
        <v>115722.463706667</v>
      </c>
      <c r="Q164" s="85">
        <v>56057.1133333333</v>
      </c>
      <c r="R164" s="510">
        <f t="shared" si="60"/>
        <v>202604.104123334</v>
      </c>
      <c r="S164" s="85">
        <v>578109.812543332</v>
      </c>
      <c r="T164" s="509">
        <f t="shared" si="58"/>
        <v>578109.812543332</v>
      </c>
    </row>
    <row r="165" customHeight="1" spans="1:20">
      <c r="A165" s="27">
        <v>5</v>
      </c>
      <c r="B165" s="11" t="s">
        <v>282</v>
      </c>
      <c r="C165" s="4" t="s">
        <v>281</v>
      </c>
      <c r="D165" s="15" t="s">
        <v>49</v>
      </c>
      <c r="E165" s="85">
        <v>700713.916666666</v>
      </c>
      <c r="F165" s="85"/>
      <c r="G165" s="220"/>
      <c r="H165" s="220">
        <v>80000</v>
      </c>
      <c r="I165" s="85">
        <v>0</v>
      </c>
      <c r="J165" s="509">
        <f t="shared" si="59"/>
        <v>780713.916666666</v>
      </c>
      <c r="K165" s="85"/>
      <c r="L165" s="85">
        <f>0</f>
        <v>0</v>
      </c>
      <c r="M165" s="85">
        <v>0</v>
      </c>
      <c r="N165" s="85"/>
      <c r="O165" s="85">
        <v>10824.5270833333</v>
      </c>
      <c r="P165" s="85">
        <v>115722.463706667</v>
      </c>
      <c r="Q165" s="85">
        <v>56057.1133333333</v>
      </c>
      <c r="R165" s="510">
        <f t="shared" si="60"/>
        <v>182604.104123334</v>
      </c>
      <c r="S165" s="85">
        <v>598109.812543332</v>
      </c>
      <c r="T165" s="509">
        <f t="shared" si="58"/>
        <v>598109.812543332</v>
      </c>
    </row>
    <row r="166" customHeight="1" spans="1:20">
      <c r="A166" s="27">
        <v>6</v>
      </c>
      <c r="B166" s="11" t="s">
        <v>283</v>
      </c>
      <c r="C166" s="12" t="s">
        <v>216</v>
      </c>
      <c r="D166" s="15" t="s">
        <v>159</v>
      </c>
      <c r="E166" s="85">
        <v>482846.583333334</v>
      </c>
      <c r="F166" s="85"/>
      <c r="G166" s="220"/>
      <c r="H166" s="220">
        <f>70000</f>
        <v>70000</v>
      </c>
      <c r="I166" s="85">
        <v>0</v>
      </c>
      <c r="J166" s="509">
        <f t="shared" si="59"/>
        <v>552846.583333334</v>
      </c>
      <c r="K166" s="85"/>
      <c r="L166" s="85"/>
      <c r="M166" s="85">
        <f>100000</f>
        <v>100000</v>
      </c>
      <c r="N166" s="85"/>
      <c r="O166" s="85"/>
      <c r="P166" s="85">
        <v>79980.2532266667</v>
      </c>
      <c r="Q166" s="85">
        <v>39797.82</v>
      </c>
      <c r="R166" s="510">
        <f t="shared" si="60"/>
        <v>219778.073226667</v>
      </c>
      <c r="S166" s="85">
        <v>333068.510106667</v>
      </c>
      <c r="T166" s="509">
        <f t="shared" si="58"/>
        <v>333068.510106667</v>
      </c>
    </row>
    <row r="167" customHeight="1" spans="1:20">
      <c r="A167" s="27">
        <v>7</v>
      </c>
      <c r="B167" s="11" t="s">
        <v>284</v>
      </c>
      <c r="C167" s="4" t="s">
        <v>285</v>
      </c>
      <c r="D167" s="15" t="s">
        <v>159</v>
      </c>
      <c r="E167" s="85">
        <v>482846.583333334</v>
      </c>
      <c r="F167" s="85"/>
      <c r="G167" s="220"/>
      <c r="H167" s="220">
        <f>120000</f>
        <v>120000</v>
      </c>
      <c r="I167" s="85"/>
      <c r="J167" s="509">
        <f t="shared" si="59"/>
        <v>602846.583333334</v>
      </c>
      <c r="K167" s="85"/>
      <c r="L167" s="85">
        <v>20000</v>
      </c>
      <c r="M167" s="85">
        <v>96206.93</v>
      </c>
      <c r="N167" s="85"/>
      <c r="O167" s="85"/>
      <c r="P167" s="85">
        <v>86996.6871466668</v>
      </c>
      <c r="Q167" s="85">
        <v>38627.7266666667</v>
      </c>
      <c r="R167" s="510">
        <f t="shared" si="60"/>
        <v>241831.343813333</v>
      </c>
      <c r="S167" s="85">
        <v>321015.23952</v>
      </c>
      <c r="T167" s="509">
        <f t="shared" si="58"/>
        <v>361015.23952</v>
      </c>
    </row>
    <row r="168" customHeight="1" spans="1:20">
      <c r="A168" s="27">
        <v>8</v>
      </c>
      <c r="B168" s="11" t="s">
        <v>286</v>
      </c>
      <c r="C168" s="12" t="s">
        <v>287</v>
      </c>
      <c r="D168" s="15" t="s">
        <v>65</v>
      </c>
      <c r="E168" s="85">
        <v>482662.666666667</v>
      </c>
      <c r="F168" s="85"/>
      <c r="G168" s="220"/>
      <c r="H168" s="220">
        <f t="shared" ref="H168:H176" si="61">60000</f>
        <v>60000</v>
      </c>
      <c r="I168" s="85"/>
      <c r="J168" s="509">
        <f t="shared" si="59"/>
        <v>542662.666666667</v>
      </c>
      <c r="K168" s="85"/>
      <c r="L168" s="85">
        <v>35000</v>
      </c>
      <c r="M168" s="85">
        <v>159722.22</v>
      </c>
      <c r="N168" s="85"/>
      <c r="O168" s="85"/>
      <c r="P168" s="85">
        <v>75444.2001066667</v>
      </c>
      <c r="Q168" s="85">
        <v>38613.0133333334</v>
      </c>
      <c r="R168" s="510">
        <f t="shared" si="60"/>
        <v>308779.43344</v>
      </c>
      <c r="S168" s="85">
        <v>233883.233226667</v>
      </c>
      <c r="T168" s="509">
        <f t="shared" si="58"/>
        <v>233883.233226667</v>
      </c>
    </row>
    <row r="169" customHeight="1" spans="1:20">
      <c r="A169" s="27">
        <v>9</v>
      </c>
      <c r="B169" s="11" t="s">
        <v>288</v>
      </c>
      <c r="C169" s="12" t="s">
        <v>289</v>
      </c>
      <c r="D169" s="15" t="s">
        <v>162</v>
      </c>
      <c r="E169" s="85">
        <v>468828.166666667</v>
      </c>
      <c r="F169" s="85"/>
      <c r="G169" s="220"/>
      <c r="H169" s="220">
        <f t="shared" si="61"/>
        <v>60000</v>
      </c>
      <c r="I169" s="85"/>
      <c r="J169" s="509">
        <f t="shared" si="59"/>
        <v>528828.166666667</v>
      </c>
      <c r="K169" s="85"/>
      <c r="L169" s="85">
        <f t="shared" ref="L169:L173" si="62">10000</f>
        <v>10000</v>
      </c>
      <c r="M169" s="85">
        <v>100000</v>
      </c>
      <c r="N169" s="85"/>
      <c r="O169" s="85">
        <v>7366.57291666668</v>
      </c>
      <c r="P169" s="85">
        <v>71586.0920266667</v>
      </c>
      <c r="Q169" s="85">
        <v>37506.2533333334</v>
      </c>
      <c r="R169" s="510">
        <f t="shared" si="60"/>
        <v>226458.918276667</v>
      </c>
      <c r="S169" s="85">
        <v>202369.24839</v>
      </c>
      <c r="T169" s="509">
        <f t="shared" si="58"/>
        <v>302369.24839</v>
      </c>
    </row>
    <row r="170" customHeight="1" spans="1:20">
      <c r="A170" s="27">
        <v>10</v>
      </c>
      <c r="B170" s="18" t="s">
        <v>290</v>
      </c>
      <c r="C170" s="4" t="s">
        <v>291</v>
      </c>
      <c r="D170" s="15" t="s">
        <v>68</v>
      </c>
      <c r="E170" s="220">
        <v>454993.583333333</v>
      </c>
      <c r="F170" s="85"/>
      <c r="G170" s="220"/>
      <c r="H170" s="220">
        <v>60000</v>
      </c>
      <c r="I170" s="85"/>
      <c r="J170" s="509">
        <f t="shared" ref="J170:J176" si="63">SUM(E170:I170)</f>
        <v>514993.583333333</v>
      </c>
      <c r="K170" s="85"/>
      <c r="L170" s="85"/>
      <c r="M170" s="85"/>
      <c r="N170" s="85"/>
      <c r="O170" s="85">
        <v>7161.17708333333</v>
      </c>
      <c r="P170" s="85">
        <v>70556.7332266666</v>
      </c>
      <c r="Q170" s="85">
        <v>36399.4866666666</v>
      </c>
      <c r="R170" s="510">
        <f t="shared" si="60"/>
        <v>114117.396976667</v>
      </c>
      <c r="S170" s="85">
        <v>400876.186356666</v>
      </c>
      <c r="T170" s="509">
        <f t="shared" ref="T170:T173" si="64">J170-R170</f>
        <v>400876.186356666</v>
      </c>
    </row>
    <row r="171" customHeight="1" spans="1:20">
      <c r="A171" s="27">
        <v>11</v>
      </c>
      <c r="B171" s="11" t="s">
        <v>292</v>
      </c>
      <c r="C171" s="4" t="s">
        <v>291</v>
      </c>
      <c r="D171" s="15" t="s">
        <v>137</v>
      </c>
      <c r="E171" s="220">
        <v>441159</v>
      </c>
      <c r="F171" s="85"/>
      <c r="G171" s="220"/>
      <c r="H171" s="220">
        <f t="shared" si="61"/>
        <v>60000</v>
      </c>
      <c r="I171" s="85"/>
      <c r="J171" s="509">
        <f t="shared" si="63"/>
        <v>501159</v>
      </c>
      <c r="K171" s="85"/>
      <c r="L171" s="85">
        <f t="shared" si="62"/>
        <v>10000</v>
      </c>
      <c r="M171" s="85">
        <f>100000</f>
        <v>100000</v>
      </c>
      <c r="N171" s="85"/>
      <c r="O171" s="85"/>
      <c r="P171" s="85">
        <v>68112.9924266667</v>
      </c>
      <c r="Q171" s="85">
        <v>35292.72</v>
      </c>
      <c r="R171" s="510">
        <f t="shared" si="60"/>
        <v>213405.712426667</v>
      </c>
      <c r="S171" s="85">
        <v>287753.287573333</v>
      </c>
      <c r="T171" s="509">
        <f t="shared" si="64"/>
        <v>287753.287573333</v>
      </c>
    </row>
    <row r="172" customHeight="1" spans="1:20">
      <c r="A172" s="27">
        <v>12</v>
      </c>
      <c r="B172" s="11" t="s">
        <v>293</v>
      </c>
      <c r="C172" s="4" t="s">
        <v>291</v>
      </c>
      <c r="D172" s="15" t="s">
        <v>137</v>
      </c>
      <c r="E172" s="220">
        <v>441159</v>
      </c>
      <c r="F172" s="85"/>
      <c r="G172" s="220"/>
      <c r="H172" s="220">
        <f t="shared" si="61"/>
        <v>60000</v>
      </c>
      <c r="I172" s="85"/>
      <c r="J172" s="509">
        <f t="shared" si="63"/>
        <v>501159</v>
      </c>
      <c r="K172" s="85"/>
      <c r="L172" s="85">
        <f t="shared" si="62"/>
        <v>10000</v>
      </c>
      <c r="M172" s="85">
        <v>87500</v>
      </c>
      <c r="N172" s="85"/>
      <c r="O172" s="85">
        <v>6955.78125</v>
      </c>
      <c r="P172" s="85">
        <v>66777.4824266667</v>
      </c>
      <c r="Q172" s="85">
        <v>35292.72</v>
      </c>
      <c r="R172" s="510">
        <f t="shared" si="60"/>
        <v>206525.983676667</v>
      </c>
      <c r="S172" s="85">
        <v>294633.016323333</v>
      </c>
      <c r="T172" s="509">
        <f t="shared" si="64"/>
        <v>294633.016323333</v>
      </c>
    </row>
    <row r="173" customHeight="1" spans="1:20">
      <c r="A173" s="27">
        <v>12</v>
      </c>
      <c r="B173" s="11" t="s">
        <v>294</v>
      </c>
      <c r="C173" s="4" t="s">
        <v>291</v>
      </c>
      <c r="D173" s="15" t="s">
        <v>137</v>
      </c>
      <c r="E173" s="220">
        <v>441159</v>
      </c>
      <c r="F173" s="85"/>
      <c r="G173" s="220"/>
      <c r="H173" s="220">
        <f t="shared" si="61"/>
        <v>60000</v>
      </c>
      <c r="I173" s="85"/>
      <c r="J173" s="509">
        <f t="shared" si="63"/>
        <v>501159</v>
      </c>
      <c r="K173" s="85"/>
      <c r="L173" s="85"/>
      <c r="M173" s="85"/>
      <c r="N173" s="85">
        <v>40000</v>
      </c>
      <c r="O173" s="85">
        <v>6955.78125</v>
      </c>
      <c r="P173" s="85">
        <v>66777.4824266667</v>
      </c>
      <c r="Q173" s="85">
        <v>35292.72</v>
      </c>
      <c r="R173" s="510">
        <f t="shared" si="60"/>
        <v>149025.983676667</v>
      </c>
      <c r="S173" s="85">
        <v>642161.637573333</v>
      </c>
      <c r="T173" s="509">
        <f t="shared" si="64"/>
        <v>352133.016323333</v>
      </c>
    </row>
    <row r="174" customHeight="1" spans="1:20">
      <c r="A174" s="27">
        <v>13</v>
      </c>
      <c r="B174" s="11" t="s">
        <v>295</v>
      </c>
      <c r="C174" s="4" t="s">
        <v>291</v>
      </c>
      <c r="D174" s="15" t="s">
        <v>68</v>
      </c>
      <c r="E174" s="220">
        <v>454993.583333333</v>
      </c>
      <c r="F174" s="85"/>
      <c r="G174" s="220"/>
      <c r="H174" s="220">
        <f t="shared" si="61"/>
        <v>60000</v>
      </c>
      <c r="I174" s="85"/>
      <c r="J174" s="509">
        <f t="shared" si="63"/>
        <v>514993.583333333</v>
      </c>
      <c r="K174" s="85"/>
      <c r="L174" s="85">
        <f>10000</f>
        <v>10000</v>
      </c>
      <c r="M174" s="85"/>
      <c r="N174" s="85">
        <v>40000</v>
      </c>
      <c r="O174" s="85"/>
      <c r="P174" s="85">
        <v>70556.7332266666</v>
      </c>
      <c r="Q174" s="85">
        <v>36399.4866666666</v>
      </c>
      <c r="R174" s="510">
        <f t="shared" si="60"/>
        <v>156956.219893333</v>
      </c>
      <c r="S174" s="85">
        <v>356037.36344</v>
      </c>
      <c r="T174" s="509">
        <f t="shared" ref="T174:T193" si="65">J174-R174</f>
        <v>358037.36344</v>
      </c>
    </row>
    <row r="175" customHeight="1" spans="1:20">
      <c r="A175" s="27">
        <v>14</v>
      </c>
      <c r="B175" s="11" t="s">
        <v>296</v>
      </c>
      <c r="C175" s="12" t="s">
        <v>297</v>
      </c>
      <c r="D175" s="15" t="s">
        <v>119</v>
      </c>
      <c r="E175" s="220">
        <v>390135.833333334</v>
      </c>
      <c r="F175" s="85"/>
      <c r="G175" s="220"/>
      <c r="H175" s="220">
        <f t="shared" si="61"/>
        <v>60000</v>
      </c>
      <c r="I175" s="85"/>
      <c r="J175" s="509">
        <f t="shared" si="63"/>
        <v>450135.833333334</v>
      </c>
      <c r="K175" s="85"/>
      <c r="L175" s="85">
        <f>30000</f>
        <v>30000</v>
      </c>
      <c r="M175" s="85"/>
      <c r="N175" s="85"/>
      <c r="O175" s="85">
        <v>6154.27916666668</v>
      </c>
      <c r="P175" s="85">
        <v>59100.2602666668</v>
      </c>
      <c r="Q175" s="85">
        <v>31210.8666666667</v>
      </c>
      <c r="R175" s="510">
        <f t="shared" si="60"/>
        <v>126465.4061</v>
      </c>
      <c r="S175" s="85">
        <v>323670.427233334</v>
      </c>
      <c r="T175" s="509">
        <f t="shared" si="65"/>
        <v>323670.427233334</v>
      </c>
    </row>
    <row r="176" customHeight="1" spans="1:20">
      <c r="A176" s="27">
        <v>15</v>
      </c>
      <c r="B176" s="11" t="s">
        <v>298</v>
      </c>
      <c r="C176" s="12" t="s">
        <v>299</v>
      </c>
      <c r="D176" s="10" t="s">
        <v>84</v>
      </c>
      <c r="E176" s="85">
        <v>347016.166666666</v>
      </c>
      <c r="F176" s="85"/>
      <c r="G176" s="220"/>
      <c r="H176" s="220">
        <f t="shared" si="61"/>
        <v>60000</v>
      </c>
      <c r="I176" s="85"/>
      <c r="J176" s="509">
        <f t="shared" si="63"/>
        <v>407016.166666666</v>
      </c>
      <c r="K176" s="85"/>
      <c r="L176" s="85">
        <f>30000</f>
        <v>30000</v>
      </c>
      <c r="M176" s="85"/>
      <c r="N176" s="85"/>
      <c r="O176" s="85">
        <v>5566.86458333332</v>
      </c>
      <c r="P176" s="85">
        <v>51483.6023466665</v>
      </c>
      <c r="Q176" s="85">
        <v>27761.2933333333</v>
      </c>
      <c r="R176" s="510">
        <f t="shared" si="60"/>
        <v>114811.760263333</v>
      </c>
      <c r="S176" s="85">
        <v>292204.406403333</v>
      </c>
      <c r="T176" s="509">
        <f t="shared" si="65"/>
        <v>292204.406403333</v>
      </c>
    </row>
    <row r="177" customHeight="1" spans="1:20">
      <c r="A177" s="27">
        <v>16</v>
      </c>
      <c r="B177" s="11" t="s">
        <v>300</v>
      </c>
      <c r="C177" s="12" t="s">
        <v>301</v>
      </c>
      <c r="D177" s="15" t="s">
        <v>302</v>
      </c>
      <c r="E177" s="220">
        <v>399131.166666667</v>
      </c>
      <c r="F177" s="85"/>
      <c r="G177" s="220"/>
      <c r="H177" s="220">
        <f>50000+10000</f>
        <v>60000</v>
      </c>
      <c r="I177" s="85"/>
      <c r="J177" s="509">
        <f t="shared" ref="J177:J182" si="66">SUM(E177:I177)</f>
        <v>459131.166666667</v>
      </c>
      <c r="K177" s="85"/>
      <c r="L177" s="85">
        <v>10000</v>
      </c>
      <c r="M177" s="85">
        <v>45833.33</v>
      </c>
      <c r="N177" s="85">
        <v>50000</v>
      </c>
      <c r="O177" s="85"/>
      <c r="P177" s="85">
        <v>59807.0161066667</v>
      </c>
      <c r="Q177" s="85">
        <v>36525.18</v>
      </c>
      <c r="R177" s="510">
        <f t="shared" si="60"/>
        <v>202165.526106667</v>
      </c>
      <c r="S177" s="85">
        <v>254965.64056</v>
      </c>
      <c r="T177" s="509">
        <f t="shared" si="65"/>
        <v>256965.64056</v>
      </c>
    </row>
    <row r="178" customHeight="1" spans="1:20">
      <c r="A178" s="27">
        <v>17</v>
      </c>
      <c r="B178" s="11" t="s">
        <v>303</v>
      </c>
      <c r="C178" s="12" t="s">
        <v>304</v>
      </c>
      <c r="D178" s="15" t="s">
        <v>79</v>
      </c>
      <c r="E178" s="220">
        <v>355320.666666667</v>
      </c>
      <c r="F178" s="85"/>
      <c r="G178" s="220"/>
      <c r="H178" s="220">
        <f>50000+10000</f>
        <v>60000</v>
      </c>
      <c r="I178" s="85"/>
      <c r="J178" s="509">
        <f t="shared" si="66"/>
        <v>415320.666666667</v>
      </c>
      <c r="K178" s="85"/>
      <c r="L178" s="85">
        <v>90000</v>
      </c>
      <c r="M178" s="85">
        <f>70000+30000</f>
        <v>100000</v>
      </c>
      <c r="N178" s="85">
        <v>50000</v>
      </c>
      <c r="O178" s="85">
        <v>5690.39375</v>
      </c>
      <c r="P178" s="85">
        <v>52950.5092266667</v>
      </c>
      <c r="Q178" s="85">
        <v>28425.6533333334</v>
      </c>
      <c r="R178" s="510">
        <f t="shared" si="60"/>
        <v>327066.55631</v>
      </c>
      <c r="S178" s="85">
        <v>86254.1103566669</v>
      </c>
      <c r="T178" s="509">
        <f t="shared" si="65"/>
        <v>88254.1103566669</v>
      </c>
    </row>
    <row r="179" customHeight="1" spans="1:20">
      <c r="A179" s="27">
        <v>18</v>
      </c>
      <c r="B179" s="11" t="s">
        <v>305</v>
      </c>
      <c r="C179" s="12" t="s">
        <v>306</v>
      </c>
      <c r="D179" s="15" t="s">
        <v>302</v>
      </c>
      <c r="E179" s="220">
        <v>399131.166666667</v>
      </c>
      <c r="F179" s="85"/>
      <c r="G179" s="220"/>
      <c r="H179" s="220">
        <f>50000+10000</f>
        <v>60000</v>
      </c>
      <c r="I179" s="85"/>
      <c r="J179" s="509">
        <f t="shared" si="66"/>
        <v>459131.166666667</v>
      </c>
      <c r="K179" s="85"/>
      <c r="L179" s="85">
        <f>10000</f>
        <v>10000</v>
      </c>
      <c r="M179" s="85">
        <v>99734.99</v>
      </c>
      <c r="N179" s="85"/>
      <c r="O179" s="85">
        <v>7722.5375</v>
      </c>
      <c r="P179" s="85">
        <v>58324.2889066667</v>
      </c>
      <c r="Q179" s="85">
        <v>36525.18</v>
      </c>
      <c r="R179" s="510">
        <f t="shared" si="60"/>
        <v>212306.996406667</v>
      </c>
      <c r="S179" s="85">
        <v>246824.17026</v>
      </c>
      <c r="T179" s="509">
        <f t="shared" si="65"/>
        <v>246824.17026</v>
      </c>
    </row>
    <row r="180" customHeight="1" spans="1:20">
      <c r="A180" s="27">
        <v>19</v>
      </c>
      <c r="B180" s="11" t="s">
        <v>307</v>
      </c>
      <c r="C180" s="12" t="s">
        <v>308</v>
      </c>
      <c r="D180" s="15" t="s">
        <v>79</v>
      </c>
      <c r="E180" s="220">
        <v>355320.666666667</v>
      </c>
      <c r="F180" s="85"/>
      <c r="G180" s="220"/>
      <c r="H180" s="220">
        <f>50000+10000</f>
        <v>60000</v>
      </c>
      <c r="I180" s="85"/>
      <c r="J180" s="509">
        <f t="shared" si="66"/>
        <v>415320.666666667</v>
      </c>
      <c r="K180" s="85"/>
      <c r="L180" s="85"/>
      <c r="M180" s="85">
        <v>20000</v>
      </c>
      <c r="N180" s="85"/>
      <c r="O180" s="85"/>
      <c r="P180" s="85">
        <v>52950.5092266667</v>
      </c>
      <c r="Q180" s="85">
        <v>28425.6533333334</v>
      </c>
      <c r="R180" s="510">
        <f t="shared" si="60"/>
        <v>101376.16256</v>
      </c>
      <c r="S180" s="85">
        <v>313944.504106667</v>
      </c>
      <c r="T180" s="509">
        <f t="shared" si="65"/>
        <v>313944.504106667</v>
      </c>
    </row>
    <row r="181" customHeight="1" spans="1:20">
      <c r="A181" s="27">
        <v>20</v>
      </c>
      <c r="B181" s="18" t="s">
        <v>309</v>
      </c>
      <c r="C181" s="12" t="s">
        <v>310</v>
      </c>
      <c r="D181" s="15" t="s">
        <v>87</v>
      </c>
      <c r="E181" s="220">
        <v>338711.666666667</v>
      </c>
      <c r="F181" s="85"/>
      <c r="G181" s="220"/>
      <c r="H181" s="220">
        <f t="shared" ref="H181:H183" si="67">60000</f>
        <v>60000</v>
      </c>
      <c r="I181" s="4"/>
      <c r="J181" s="509">
        <f t="shared" si="66"/>
        <v>398711.666666667</v>
      </c>
      <c r="K181" s="85"/>
      <c r="L181" s="85">
        <v>30000</v>
      </c>
      <c r="M181" s="85">
        <f>80000</f>
        <v>80000</v>
      </c>
      <c r="N181" s="85">
        <v>20000</v>
      </c>
      <c r="O181" s="85">
        <v>5443.33541666668</v>
      </c>
      <c r="P181" s="85">
        <v>50016.6954666667</v>
      </c>
      <c r="Q181" s="85">
        <v>27096.9333333334</v>
      </c>
      <c r="R181" s="510">
        <f t="shared" si="60"/>
        <v>212556.964216667</v>
      </c>
      <c r="S181" s="85">
        <v>184154.70245</v>
      </c>
      <c r="T181" s="509">
        <f t="shared" si="65"/>
        <v>186154.70245</v>
      </c>
    </row>
    <row r="182" customHeight="1" spans="1:20">
      <c r="A182" s="27">
        <v>21</v>
      </c>
      <c r="B182" s="18" t="s">
        <v>311</v>
      </c>
      <c r="C182" s="12" t="s">
        <v>310</v>
      </c>
      <c r="D182" s="15" t="s">
        <v>87</v>
      </c>
      <c r="E182" s="220">
        <v>338711.666666667</v>
      </c>
      <c r="F182" s="85"/>
      <c r="G182" s="220"/>
      <c r="H182" s="220">
        <f t="shared" si="67"/>
        <v>60000</v>
      </c>
      <c r="I182" s="4"/>
      <c r="J182" s="509">
        <f t="shared" si="66"/>
        <v>398711.666666667</v>
      </c>
      <c r="K182" s="85"/>
      <c r="L182" s="85">
        <v>10000</v>
      </c>
      <c r="M182" s="85">
        <v>86456</v>
      </c>
      <c r="N182" s="85">
        <v>20000</v>
      </c>
      <c r="O182" s="85"/>
      <c r="P182" s="85">
        <v>50016.6954666667</v>
      </c>
      <c r="Q182" s="85">
        <v>27096.9333333334</v>
      </c>
      <c r="R182" s="510">
        <f t="shared" si="60"/>
        <v>193569.6288</v>
      </c>
      <c r="S182" s="85">
        <v>203142.037866667</v>
      </c>
      <c r="T182" s="509">
        <f t="shared" si="65"/>
        <v>205142.037866667</v>
      </c>
    </row>
    <row r="183" s="1" customFormat="1" ht="18.75" customHeight="1" spans="1:20">
      <c r="A183" s="27">
        <v>22</v>
      </c>
      <c r="B183" s="18" t="s">
        <v>312</v>
      </c>
      <c r="C183" s="4" t="s">
        <v>313</v>
      </c>
      <c r="D183" s="10" t="s">
        <v>96</v>
      </c>
      <c r="E183" s="85">
        <v>330407.083333333</v>
      </c>
      <c r="F183" s="85"/>
      <c r="G183" s="220"/>
      <c r="H183" s="220">
        <f t="shared" si="67"/>
        <v>60000</v>
      </c>
      <c r="I183" s="85"/>
      <c r="J183" s="510">
        <f>E183+F183+G183+H183+I183</f>
        <v>390407.083333333</v>
      </c>
      <c r="K183" s="85"/>
      <c r="L183" s="85"/>
      <c r="M183" s="85"/>
      <c r="N183" s="85">
        <v>100000</v>
      </c>
      <c r="O183" s="85"/>
      <c r="P183" s="85">
        <v>48549.7738666667</v>
      </c>
      <c r="Q183" s="85">
        <v>26432.5666666667</v>
      </c>
      <c r="R183" s="510">
        <f t="shared" si="60"/>
        <v>174982.340533333</v>
      </c>
      <c r="S183" s="85">
        <v>213424.7428</v>
      </c>
      <c r="T183" s="510">
        <f t="shared" si="65"/>
        <v>215424.7428</v>
      </c>
    </row>
    <row r="184" customHeight="1" spans="1:20">
      <c r="A184" s="27">
        <v>23</v>
      </c>
      <c r="B184" s="18" t="s">
        <v>314</v>
      </c>
      <c r="C184" s="12" t="s">
        <v>315</v>
      </c>
      <c r="D184" s="15" t="s">
        <v>102</v>
      </c>
      <c r="E184" s="85">
        <v>301910.75</v>
      </c>
      <c r="F184" s="85"/>
      <c r="G184" s="220"/>
      <c r="H184" s="220">
        <f t="shared" ref="H184:H191" si="68">50000</f>
        <v>50000</v>
      </c>
      <c r="I184" s="85"/>
      <c r="J184" s="509">
        <f>SUM(E184:I184)</f>
        <v>351910.75</v>
      </c>
      <c r="K184" s="85"/>
      <c r="L184" s="85">
        <f>20000</f>
        <v>20000</v>
      </c>
      <c r="M184" s="85">
        <v>100000</v>
      </c>
      <c r="N184" s="85"/>
      <c r="O184" s="4"/>
      <c r="P184" s="85">
        <v>42229.9921866667</v>
      </c>
      <c r="Q184" s="85">
        <v>24152.86</v>
      </c>
      <c r="R184" s="510">
        <f t="shared" si="60"/>
        <v>186382.852186667</v>
      </c>
      <c r="S184" s="85">
        <v>165527.897813333</v>
      </c>
      <c r="T184" s="509">
        <f t="shared" si="65"/>
        <v>165527.897813333</v>
      </c>
    </row>
    <row r="185" customHeight="1" spans="1:20">
      <c r="A185" s="27">
        <v>24</v>
      </c>
      <c r="B185" s="18" t="s">
        <v>316</v>
      </c>
      <c r="C185" s="12" t="s">
        <v>317</v>
      </c>
      <c r="D185" s="15" t="s">
        <v>102</v>
      </c>
      <c r="E185" s="85">
        <v>301910.75</v>
      </c>
      <c r="F185" s="85"/>
      <c r="G185" s="220"/>
      <c r="H185" s="220">
        <f t="shared" si="68"/>
        <v>50000</v>
      </c>
      <c r="I185" s="85"/>
      <c r="J185" s="509">
        <f>SUM(E185:I185)</f>
        <v>351910.75</v>
      </c>
      <c r="K185" s="85"/>
      <c r="L185" s="85">
        <f>12000-2000</f>
        <v>10000</v>
      </c>
      <c r="M185" s="85">
        <v>42000</v>
      </c>
      <c r="N185" s="85">
        <v>30000</v>
      </c>
      <c r="O185" s="85">
        <v>4909.11041666668</v>
      </c>
      <c r="P185" s="85">
        <v>42229.9921866667</v>
      </c>
      <c r="Q185" s="85">
        <v>24152.86</v>
      </c>
      <c r="R185" s="510">
        <f t="shared" si="60"/>
        <v>153291.962603333</v>
      </c>
      <c r="S185" s="85">
        <v>196618.787396667</v>
      </c>
      <c r="T185" s="509">
        <f t="shared" si="65"/>
        <v>198618.787396667</v>
      </c>
    </row>
    <row r="186" customHeight="1" spans="1:20">
      <c r="A186" s="27">
        <v>25</v>
      </c>
      <c r="B186" s="18" t="s">
        <v>318</v>
      </c>
      <c r="C186" s="12" t="s">
        <v>319</v>
      </c>
      <c r="D186" s="15" t="s">
        <v>102</v>
      </c>
      <c r="E186" s="85">
        <v>301910.75</v>
      </c>
      <c r="F186" s="85"/>
      <c r="G186" s="220"/>
      <c r="H186" s="220">
        <f t="shared" si="68"/>
        <v>50000</v>
      </c>
      <c r="I186" s="85"/>
      <c r="J186" s="509">
        <f t="shared" ref="J186:J193" si="69">SUM(E186:I186)</f>
        <v>351910.75</v>
      </c>
      <c r="K186" s="85"/>
      <c r="L186" s="85">
        <v>40000</v>
      </c>
      <c r="M186" s="85"/>
      <c r="N186" s="85">
        <v>25000</v>
      </c>
      <c r="O186" s="85">
        <v>4909.11041666668</v>
      </c>
      <c r="P186" s="85">
        <v>42229.9921866667</v>
      </c>
      <c r="Q186" s="85">
        <v>24152.86</v>
      </c>
      <c r="R186" s="510">
        <f t="shared" si="60"/>
        <v>136291.962603333</v>
      </c>
      <c r="S186" s="85">
        <v>213618.787396667</v>
      </c>
      <c r="T186" s="509">
        <f t="shared" ref="T186:T197" si="70">J186-R186</f>
        <v>215618.787396667</v>
      </c>
    </row>
    <row r="187" customHeight="1" spans="1:20">
      <c r="A187" s="27">
        <v>26</v>
      </c>
      <c r="B187" s="18" t="s">
        <v>320</v>
      </c>
      <c r="C187" s="12" t="s">
        <v>321</v>
      </c>
      <c r="D187" s="15" t="s">
        <v>208</v>
      </c>
      <c r="E187" s="85">
        <v>308920.666666667</v>
      </c>
      <c r="F187" s="85"/>
      <c r="G187" s="220"/>
      <c r="H187" s="220">
        <f t="shared" si="68"/>
        <v>50000</v>
      </c>
      <c r="I187" s="85"/>
      <c r="J187" s="509">
        <f t="shared" si="69"/>
        <v>358920.666666667</v>
      </c>
      <c r="K187" s="85"/>
      <c r="L187" s="85">
        <v>30000</v>
      </c>
      <c r="M187" s="85">
        <f>32000</f>
        <v>32000</v>
      </c>
      <c r="N187" s="85">
        <v>10000</v>
      </c>
      <c r="O187" s="85">
        <v>5013.73541666668</v>
      </c>
      <c r="P187" s="85">
        <v>43313.4449066667</v>
      </c>
      <c r="Q187" s="85">
        <v>24713.6533333334</v>
      </c>
      <c r="R187" s="510">
        <f t="shared" si="60"/>
        <v>145040.833656667</v>
      </c>
      <c r="S187" s="85">
        <v>211879.83301</v>
      </c>
      <c r="T187" s="509">
        <f t="shared" si="70"/>
        <v>213879.83301</v>
      </c>
    </row>
    <row r="188" customHeight="1" spans="1:20">
      <c r="A188" s="27">
        <v>27</v>
      </c>
      <c r="B188" s="18" t="s">
        <v>322</v>
      </c>
      <c r="C188" s="12" t="s">
        <v>317</v>
      </c>
      <c r="D188" s="15" t="s">
        <v>102</v>
      </c>
      <c r="E188" s="85">
        <v>301910.75</v>
      </c>
      <c r="F188" s="85"/>
      <c r="G188" s="220"/>
      <c r="H188" s="220">
        <f t="shared" si="68"/>
        <v>50000</v>
      </c>
      <c r="I188" s="85"/>
      <c r="J188" s="509">
        <f t="shared" si="69"/>
        <v>351910.75</v>
      </c>
      <c r="K188" s="85"/>
      <c r="L188" s="85">
        <v>30000</v>
      </c>
      <c r="M188" s="85">
        <v>0</v>
      </c>
      <c r="N188" s="85">
        <v>30000</v>
      </c>
      <c r="O188" s="85">
        <v>4909.11041666668</v>
      </c>
      <c r="P188" s="85">
        <v>42229.9921866667</v>
      </c>
      <c r="Q188" s="85">
        <v>24152.86</v>
      </c>
      <c r="R188" s="510">
        <f t="shared" si="60"/>
        <v>131291.962603333</v>
      </c>
      <c r="S188" s="85">
        <v>218618.787396667</v>
      </c>
      <c r="T188" s="509">
        <f t="shared" si="70"/>
        <v>220618.787396667</v>
      </c>
    </row>
    <row r="189" customHeight="1" spans="1:20">
      <c r="A189" s="27">
        <v>28</v>
      </c>
      <c r="B189" s="18" t="s">
        <v>323</v>
      </c>
      <c r="C189" s="12" t="s">
        <v>324</v>
      </c>
      <c r="D189" s="15" t="s">
        <v>105</v>
      </c>
      <c r="E189" s="676">
        <v>294900.833333334</v>
      </c>
      <c r="F189" s="85"/>
      <c r="G189" s="220"/>
      <c r="H189" s="220">
        <f t="shared" si="68"/>
        <v>50000</v>
      </c>
      <c r="I189" s="85"/>
      <c r="J189" s="509">
        <f t="shared" si="69"/>
        <v>344900.833333334</v>
      </c>
      <c r="K189" s="85"/>
      <c r="L189" s="85">
        <v>15000</v>
      </c>
      <c r="M189" s="85"/>
      <c r="N189" s="85"/>
      <c r="O189" s="85"/>
      <c r="P189" s="686">
        <v>41146.5394666668</v>
      </c>
      <c r="Q189" s="687">
        <v>23592.0666666667</v>
      </c>
      <c r="R189" s="510">
        <f t="shared" si="60"/>
        <v>79738.6061333335</v>
      </c>
      <c r="S189" s="85">
        <v>265162.227200001</v>
      </c>
      <c r="T189" s="509">
        <f t="shared" si="70"/>
        <v>265162.227200001</v>
      </c>
    </row>
    <row r="190" customHeight="1" spans="1:20">
      <c r="A190" s="27">
        <v>29</v>
      </c>
      <c r="B190" s="18" t="s">
        <v>325</v>
      </c>
      <c r="C190" s="12" t="s">
        <v>324</v>
      </c>
      <c r="D190" s="15" t="s">
        <v>105</v>
      </c>
      <c r="E190" s="676">
        <v>294900.833333334</v>
      </c>
      <c r="F190" s="85"/>
      <c r="G190" s="220"/>
      <c r="H190" s="220">
        <f t="shared" si="68"/>
        <v>50000</v>
      </c>
      <c r="I190" s="85"/>
      <c r="J190" s="509">
        <f t="shared" si="69"/>
        <v>344900.833333334</v>
      </c>
      <c r="K190" s="85"/>
      <c r="L190" s="85">
        <v>20000</v>
      </c>
      <c r="M190" s="85">
        <v>40000</v>
      </c>
      <c r="N190" s="85"/>
      <c r="O190" s="85"/>
      <c r="P190" s="686">
        <v>41146.5394666668</v>
      </c>
      <c r="Q190" s="687">
        <v>23592.0666666667</v>
      </c>
      <c r="R190" s="510">
        <f t="shared" si="60"/>
        <v>124738.606133333</v>
      </c>
      <c r="S190" s="85">
        <v>220162.227200001</v>
      </c>
      <c r="T190" s="509">
        <f t="shared" si="70"/>
        <v>220162.227200001</v>
      </c>
    </row>
    <row r="191" s="1" customFormat="1" customHeight="1" spans="1:20">
      <c r="A191" s="27">
        <v>30</v>
      </c>
      <c r="B191" s="18" t="s">
        <v>326</v>
      </c>
      <c r="C191" s="12" t="s">
        <v>327</v>
      </c>
      <c r="D191" s="15" t="s">
        <v>108</v>
      </c>
      <c r="E191" s="85">
        <v>287890.916666667</v>
      </c>
      <c r="F191" s="85"/>
      <c r="G191" s="220"/>
      <c r="H191" s="220">
        <f t="shared" si="68"/>
        <v>50000</v>
      </c>
      <c r="I191" s="85"/>
      <c r="J191" s="510">
        <f t="shared" si="69"/>
        <v>337890.916666667</v>
      </c>
      <c r="K191" s="85"/>
      <c r="L191" s="686"/>
      <c r="M191" s="686"/>
      <c r="N191" s="686"/>
      <c r="O191" s="4"/>
      <c r="P191" s="686">
        <v>40063.0867466667</v>
      </c>
      <c r="Q191" s="687">
        <v>23031.2733333333</v>
      </c>
      <c r="R191" s="510">
        <f t="shared" si="60"/>
        <v>63094.36008</v>
      </c>
      <c r="S191" s="85">
        <v>274796.556586667</v>
      </c>
      <c r="T191" s="510">
        <f t="shared" si="70"/>
        <v>274796.556586667</v>
      </c>
    </row>
    <row r="192" s="1" customFormat="1" customHeight="1" spans="1:20">
      <c r="A192" s="27">
        <v>31</v>
      </c>
      <c r="B192" s="18" t="s">
        <v>328</v>
      </c>
      <c r="C192" s="12" t="s">
        <v>329</v>
      </c>
      <c r="D192" s="15" t="s">
        <v>108</v>
      </c>
      <c r="E192" s="85">
        <v>287890.916666667</v>
      </c>
      <c r="F192" s="85"/>
      <c r="G192" s="220"/>
      <c r="H192" s="220">
        <v>50000</v>
      </c>
      <c r="I192" s="85"/>
      <c r="J192" s="510">
        <f t="shared" si="69"/>
        <v>337890.916666667</v>
      </c>
      <c r="K192" s="85"/>
      <c r="L192" s="686"/>
      <c r="M192" s="686"/>
      <c r="N192" s="686"/>
      <c r="O192" s="4"/>
      <c r="P192" s="686">
        <v>40063.0867466667</v>
      </c>
      <c r="Q192" s="687">
        <v>23031.2733333333</v>
      </c>
      <c r="R192" s="510">
        <f t="shared" si="60"/>
        <v>63094.36008</v>
      </c>
      <c r="S192" s="85">
        <v>274796.556586667</v>
      </c>
      <c r="T192" s="510">
        <f t="shared" si="70"/>
        <v>274796.556586667</v>
      </c>
    </row>
    <row r="193" s="1" customFormat="1" customHeight="1" spans="1:20">
      <c r="A193" s="27">
        <v>32</v>
      </c>
      <c r="B193" s="18" t="s">
        <v>330</v>
      </c>
      <c r="C193" s="12" t="s">
        <v>329</v>
      </c>
      <c r="D193" s="15" t="s">
        <v>108</v>
      </c>
      <c r="E193" s="85">
        <v>287890.916666667</v>
      </c>
      <c r="F193" s="85"/>
      <c r="G193" s="220"/>
      <c r="H193" s="220">
        <v>50000</v>
      </c>
      <c r="I193" s="85"/>
      <c r="J193" s="510">
        <f t="shared" si="69"/>
        <v>337890.916666667</v>
      </c>
      <c r="K193" s="85"/>
      <c r="L193" s="686"/>
      <c r="M193" s="686"/>
      <c r="N193" s="686"/>
      <c r="O193" s="4"/>
      <c r="P193" s="686">
        <v>40063.0867466667</v>
      </c>
      <c r="Q193" s="687">
        <v>23031.2733333333</v>
      </c>
      <c r="R193" s="510">
        <f t="shared" si="60"/>
        <v>63094.36008</v>
      </c>
      <c r="S193" s="85">
        <v>274796.556586667</v>
      </c>
      <c r="T193" s="510">
        <f t="shared" si="70"/>
        <v>274796.556586667</v>
      </c>
    </row>
    <row r="194" customHeight="1" spans="1:20">
      <c r="A194" s="27">
        <v>33</v>
      </c>
      <c r="B194" s="11" t="s">
        <v>331</v>
      </c>
      <c r="C194" s="12" t="s">
        <v>332</v>
      </c>
      <c r="D194" s="15" t="s">
        <v>333</v>
      </c>
      <c r="E194" s="226">
        <v>237717.166666666</v>
      </c>
      <c r="F194" s="220"/>
      <c r="G194" s="220"/>
      <c r="H194" s="220">
        <f>30000</f>
        <v>30000</v>
      </c>
      <c r="I194" s="85">
        <f>4000</f>
        <v>4000</v>
      </c>
      <c r="J194" s="509">
        <f t="shared" ref="J194:J225" si="71">SUM(E194:I194)</f>
        <v>271717.166666666</v>
      </c>
      <c r="K194" s="85"/>
      <c r="L194" s="85">
        <v>50000</v>
      </c>
      <c r="M194" s="85">
        <v>67916.66</v>
      </c>
      <c r="N194" s="85">
        <v>12000</v>
      </c>
      <c r="O194" s="85">
        <v>3982.21458333333</v>
      </c>
      <c r="P194" s="85">
        <v>28951.2198966665</v>
      </c>
      <c r="Q194" s="85">
        <v>19017.3733333333</v>
      </c>
      <c r="R194" s="510">
        <f t="shared" si="60"/>
        <v>181867.467813333</v>
      </c>
      <c r="S194" s="85">
        <v>101849.698853333</v>
      </c>
      <c r="T194" s="509">
        <f t="shared" si="70"/>
        <v>89849.6988533329</v>
      </c>
    </row>
    <row r="195" customHeight="1" spans="1:20">
      <c r="A195" s="27">
        <v>34</v>
      </c>
      <c r="B195" s="11" t="s">
        <v>334</v>
      </c>
      <c r="C195" s="12" t="s">
        <v>332</v>
      </c>
      <c r="D195" s="15" t="s">
        <v>333</v>
      </c>
      <c r="E195" s="226">
        <v>237717.166666666</v>
      </c>
      <c r="F195" s="220"/>
      <c r="G195" s="220"/>
      <c r="H195" s="220">
        <f>30000</f>
        <v>30000</v>
      </c>
      <c r="I195" s="85">
        <f>7000</f>
        <v>7000</v>
      </c>
      <c r="J195" s="509">
        <f t="shared" si="71"/>
        <v>274717.166666666</v>
      </c>
      <c r="K195" s="85"/>
      <c r="L195" s="85">
        <v>25000</v>
      </c>
      <c r="M195" s="85">
        <f>14524.11</f>
        <v>14524.11</v>
      </c>
      <c r="N195" s="85"/>
      <c r="O195" s="85"/>
      <c r="P195" s="85">
        <v>30124.2319466666</v>
      </c>
      <c r="Q195" s="85">
        <v>19017.3733333333</v>
      </c>
      <c r="R195" s="510">
        <f t="shared" si="60"/>
        <v>88665.7152799999</v>
      </c>
      <c r="S195" s="85">
        <v>186051.451386666</v>
      </c>
      <c r="T195" s="509">
        <f t="shared" si="70"/>
        <v>186051.451386666</v>
      </c>
    </row>
    <row r="196" customHeight="1" spans="1:20">
      <c r="A196" s="27">
        <v>35</v>
      </c>
      <c r="B196" s="11" t="s">
        <v>335</v>
      </c>
      <c r="C196" s="12" t="s">
        <v>332</v>
      </c>
      <c r="D196" s="15" t="s">
        <v>333</v>
      </c>
      <c r="E196" s="226">
        <v>237717.166666666</v>
      </c>
      <c r="F196" s="220"/>
      <c r="G196" s="220"/>
      <c r="H196" s="220">
        <f>30000</f>
        <v>30000</v>
      </c>
      <c r="I196" s="85">
        <f>4000</f>
        <v>4000</v>
      </c>
      <c r="J196" s="509">
        <f t="shared" si="71"/>
        <v>271717.166666666</v>
      </c>
      <c r="K196" s="85"/>
      <c r="L196" s="85">
        <v>20000</v>
      </c>
      <c r="M196" s="85"/>
      <c r="N196" s="85"/>
      <c r="O196" s="85"/>
      <c r="P196" s="85">
        <v>29620.2319466666</v>
      </c>
      <c r="Q196" s="85">
        <v>19017.3733333333</v>
      </c>
      <c r="R196" s="510">
        <f t="shared" si="60"/>
        <v>68637.6052799999</v>
      </c>
      <c r="S196" s="85">
        <v>203079.561386666</v>
      </c>
      <c r="T196" s="509">
        <f t="shared" si="70"/>
        <v>203079.561386666</v>
      </c>
    </row>
    <row r="197" customHeight="1" spans="1:20">
      <c r="A197" s="27">
        <v>36</v>
      </c>
      <c r="B197" s="11" t="s">
        <v>336</v>
      </c>
      <c r="C197" s="12" t="s">
        <v>332</v>
      </c>
      <c r="D197" s="15" t="s">
        <v>333</v>
      </c>
      <c r="E197" s="226">
        <v>237717.166666666</v>
      </c>
      <c r="F197" s="220"/>
      <c r="G197" s="220"/>
      <c r="H197" s="220">
        <f>30000</f>
        <v>30000</v>
      </c>
      <c r="I197" s="85">
        <f>4000</f>
        <v>4000</v>
      </c>
      <c r="J197" s="509">
        <f t="shared" si="71"/>
        <v>271717.166666666</v>
      </c>
      <c r="K197" s="85"/>
      <c r="L197" s="85">
        <v>25000</v>
      </c>
      <c r="M197" s="85">
        <v>74038.17</v>
      </c>
      <c r="N197" s="85">
        <v>10000</v>
      </c>
      <c r="O197" s="85">
        <v>3982.21458333333</v>
      </c>
      <c r="P197" s="85">
        <v>28951.2198966665</v>
      </c>
      <c r="Q197" s="85">
        <v>19017.3733333333</v>
      </c>
      <c r="R197" s="510">
        <f t="shared" si="60"/>
        <v>160988.977813333</v>
      </c>
      <c r="S197" s="85">
        <v>108728.188853333</v>
      </c>
      <c r="T197" s="509">
        <f t="shared" si="70"/>
        <v>110728.188853333</v>
      </c>
    </row>
    <row r="198" customHeight="1" spans="1:20">
      <c r="A198" s="27">
        <v>37</v>
      </c>
      <c r="B198" s="11" t="s">
        <v>337</v>
      </c>
      <c r="C198" s="12" t="s">
        <v>332</v>
      </c>
      <c r="D198" s="15" t="s">
        <v>333</v>
      </c>
      <c r="E198" s="226">
        <v>237717.166666666</v>
      </c>
      <c r="F198" s="220"/>
      <c r="G198" s="220"/>
      <c r="H198" s="220">
        <f>30000</f>
        <v>30000</v>
      </c>
      <c r="I198" s="85">
        <f>4000</f>
        <v>4000</v>
      </c>
      <c r="J198" s="509">
        <f t="shared" si="71"/>
        <v>271717.166666666</v>
      </c>
      <c r="K198" s="85"/>
      <c r="L198" s="85">
        <v>30000</v>
      </c>
      <c r="M198" s="85">
        <f>53445.82</f>
        <v>53445.82</v>
      </c>
      <c r="N198" s="85">
        <v>10000</v>
      </c>
      <c r="O198" s="85"/>
      <c r="P198" s="85">
        <v>29620.2319466666</v>
      </c>
      <c r="Q198" s="85">
        <v>19017.3733333333</v>
      </c>
      <c r="R198" s="510">
        <f t="shared" si="60"/>
        <v>142083.42528</v>
      </c>
      <c r="S198" s="85">
        <v>127633.741386666</v>
      </c>
      <c r="T198" s="509">
        <f t="shared" ref="T198:T225" si="72">J198-R198</f>
        <v>129633.741386666</v>
      </c>
    </row>
    <row r="199" customHeight="1" spans="1:20">
      <c r="A199" s="27">
        <v>38</v>
      </c>
      <c r="B199" s="11" t="s">
        <v>338</v>
      </c>
      <c r="C199" s="12" t="s">
        <v>332</v>
      </c>
      <c r="D199" s="15" t="s">
        <v>339</v>
      </c>
      <c r="E199" s="226">
        <v>231733.833333334</v>
      </c>
      <c r="F199" s="220"/>
      <c r="G199" s="220"/>
      <c r="H199" s="220">
        <f>20000+10000</f>
        <v>30000</v>
      </c>
      <c r="I199" s="85">
        <f>7000</f>
        <v>7000</v>
      </c>
      <c r="J199" s="509">
        <f t="shared" si="71"/>
        <v>268733.833333334</v>
      </c>
      <c r="K199" s="85"/>
      <c r="L199" s="85">
        <v>40000</v>
      </c>
      <c r="M199" s="85">
        <f>26430.62</f>
        <v>26430.62</v>
      </c>
      <c r="N199" s="85">
        <v>10000</v>
      </c>
      <c r="O199" s="85"/>
      <c r="P199" s="85">
        <v>29199.4479466668</v>
      </c>
      <c r="Q199" s="85">
        <v>18538.7066666667</v>
      </c>
      <c r="R199" s="510">
        <f t="shared" si="60"/>
        <v>124168.774613333</v>
      </c>
      <c r="S199" s="85">
        <v>142565.058720001</v>
      </c>
      <c r="T199" s="509">
        <f t="shared" si="72"/>
        <v>144565.058720001</v>
      </c>
    </row>
    <row r="200" customHeight="1" spans="1:20">
      <c r="A200" s="27">
        <v>39</v>
      </c>
      <c r="B200" s="11" t="s">
        <v>340</v>
      </c>
      <c r="C200" s="12" t="s">
        <v>332</v>
      </c>
      <c r="D200" s="15" t="s">
        <v>339</v>
      </c>
      <c r="E200" s="226">
        <v>231733.833333334</v>
      </c>
      <c r="F200" s="220"/>
      <c r="G200" s="220"/>
      <c r="H200" s="220">
        <f t="shared" ref="H200:H204" si="73">20000+10000</f>
        <v>30000</v>
      </c>
      <c r="I200" s="85">
        <f>4000</f>
        <v>4000</v>
      </c>
      <c r="J200" s="509">
        <f t="shared" si="71"/>
        <v>265733.833333334</v>
      </c>
      <c r="K200" s="85"/>
      <c r="L200" s="85">
        <v>40000</v>
      </c>
      <c r="M200" s="85">
        <v>40555.56</v>
      </c>
      <c r="N200" s="85">
        <v>20000</v>
      </c>
      <c r="O200" s="85"/>
      <c r="P200" s="85">
        <v>28695.4479466668</v>
      </c>
      <c r="Q200" s="85">
        <v>18538.7066666667</v>
      </c>
      <c r="R200" s="510">
        <f t="shared" si="60"/>
        <v>147789.714613333</v>
      </c>
      <c r="S200" s="85">
        <v>115944.118720001</v>
      </c>
      <c r="T200" s="509">
        <f t="shared" si="72"/>
        <v>117944.118720001</v>
      </c>
    </row>
    <row r="201" customHeight="1" spans="1:20">
      <c r="A201" s="27">
        <v>40</v>
      </c>
      <c r="B201" s="14" t="s">
        <v>341</v>
      </c>
      <c r="C201" s="12" t="s">
        <v>332</v>
      </c>
      <c r="D201" s="15" t="s">
        <v>339</v>
      </c>
      <c r="E201" s="226">
        <v>231733.833333334</v>
      </c>
      <c r="F201" s="220"/>
      <c r="G201" s="220"/>
      <c r="H201" s="220">
        <f t="shared" si="73"/>
        <v>30000</v>
      </c>
      <c r="I201" s="85">
        <f>7000</f>
        <v>7000</v>
      </c>
      <c r="J201" s="509">
        <f t="shared" si="71"/>
        <v>268733.833333334</v>
      </c>
      <c r="K201" s="85"/>
      <c r="L201" s="85">
        <v>30000</v>
      </c>
      <c r="M201" s="85">
        <f>31719.9</f>
        <v>31719.9</v>
      </c>
      <c r="N201" s="85"/>
      <c r="O201" s="85"/>
      <c r="P201" s="85">
        <v>29199.4479466668</v>
      </c>
      <c r="Q201" s="85">
        <v>18538.7066666667</v>
      </c>
      <c r="R201" s="510">
        <f t="shared" si="60"/>
        <v>109458.054613334</v>
      </c>
      <c r="S201" s="85">
        <v>159275.77872</v>
      </c>
      <c r="T201" s="509">
        <f t="shared" si="72"/>
        <v>159275.77872</v>
      </c>
    </row>
    <row r="202" customHeight="1" spans="1:20">
      <c r="A202" s="27">
        <v>41</v>
      </c>
      <c r="B202" s="11" t="s">
        <v>342</v>
      </c>
      <c r="C202" s="12" t="s">
        <v>332</v>
      </c>
      <c r="D202" s="15" t="s">
        <v>339</v>
      </c>
      <c r="E202" s="226">
        <v>231733.833333334</v>
      </c>
      <c r="F202" s="220"/>
      <c r="G202" s="220"/>
      <c r="H202" s="220">
        <f t="shared" si="73"/>
        <v>30000</v>
      </c>
      <c r="I202" s="85">
        <f>4000</f>
        <v>4000</v>
      </c>
      <c r="J202" s="509">
        <f t="shared" si="71"/>
        <v>265733.833333334</v>
      </c>
      <c r="K202" s="85"/>
      <c r="L202" s="85">
        <v>30000</v>
      </c>
      <c r="M202" s="85">
        <f>13750</f>
        <v>13750</v>
      </c>
      <c r="N202" s="85"/>
      <c r="O202" s="85"/>
      <c r="P202" s="85">
        <v>28695.4479466668</v>
      </c>
      <c r="Q202" s="85">
        <v>18538.7066666667</v>
      </c>
      <c r="R202" s="510">
        <f t="shared" si="60"/>
        <v>90984.1546133335</v>
      </c>
      <c r="S202" s="85">
        <v>174749.678720001</v>
      </c>
      <c r="T202" s="509">
        <f t="shared" si="72"/>
        <v>174749.678720001</v>
      </c>
    </row>
    <row r="203" customHeight="1" spans="1:20">
      <c r="A203" s="27">
        <v>42</v>
      </c>
      <c r="B203" s="18" t="s">
        <v>343</v>
      </c>
      <c r="C203" s="12" t="s">
        <v>332</v>
      </c>
      <c r="D203" s="15" t="s">
        <v>339</v>
      </c>
      <c r="E203" s="226">
        <v>231733.833333334</v>
      </c>
      <c r="F203" s="220"/>
      <c r="G203" s="220"/>
      <c r="H203" s="220">
        <f t="shared" si="73"/>
        <v>30000</v>
      </c>
      <c r="I203" s="85">
        <f>4000</f>
        <v>4000</v>
      </c>
      <c r="J203" s="509">
        <f t="shared" si="71"/>
        <v>265733.833333334</v>
      </c>
      <c r="K203" s="85"/>
      <c r="L203" s="85">
        <v>30000</v>
      </c>
      <c r="M203" s="85">
        <f>25708.34</f>
        <v>25708.34</v>
      </c>
      <c r="N203" s="85">
        <v>10000</v>
      </c>
      <c r="O203" s="85"/>
      <c r="P203" s="85">
        <v>28695.4479466668</v>
      </c>
      <c r="Q203" s="85">
        <v>18538.7066666667</v>
      </c>
      <c r="R203" s="510">
        <f t="shared" si="60"/>
        <v>112942.494613333</v>
      </c>
      <c r="S203" s="85">
        <v>150791.338720001</v>
      </c>
      <c r="T203" s="509">
        <f t="shared" si="72"/>
        <v>152791.338720001</v>
      </c>
    </row>
    <row r="204" customHeight="1" spans="1:20">
      <c r="A204" s="27">
        <v>43</v>
      </c>
      <c r="B204" s="18" t="s">
        <v>344</v>
      </c>
      <c r="C204" s="12" t="s">
        <v>332</v>
      </c>
      <c r="D204" s="15" t="s">
        <v>339</v>
      </c>
      <c r="E204" s="226">
        <v>231733.833333334</v>
      </c>
      <c r="F204" s="220"/>
      <c r="G204" s="220"/>
      <c r="H204" s="220">
        <f t="shared" si="73"/>
        <v>30000</v>
      </c>
      <c r="I204" s="85">
        <f t="shared" ref="I204:I209" si="74">7000</f>
        <v>7000</v>
      </c>
      <c r="J204" s="509">
        <f t="shared" si="71"/>
        <v>268733.833333334</v>
      </c>
      <c r="K204" s="85"/>
      <c r="L204" s="85">
        <v>30000</v>
      </c>
      <c r="M204" s="85">
        <f>22361.11</f>
        <v>22361.11</v>
      </c>
      <c r="N204" s="85">
        <v>10000</v>
      </c>
      <c r="O204" s="85"/>
      <c r="P204" s="85">
        <v>29199.4479466668</v>
      </c>
      <c r="Q204" s="85">
        <v>18538.7066666667</v>
      </c>
      <c r="R204" s="510">
        <f t="shared" si="60"/>
        <v>110099.264613334</v>
      </c>
      <c r="S204" s="85">
        <v>156634.568720001</v>
      </c>
      <c r="T204" s="509">
        <f t="shared" si="72"/>
        <v>158634.568720001</v>
      </c>
    </row>
    <row r="205" customHeight="1" spans="1:20">
      <c r="A205" s="27">
        <v>44</v>
      </c>
      <c r="B205" s="11" t="s">
        <v>345</v>
      </c>
      <c r="C205" s="12" t="s">
        <v>346</v>
      </c>
      <c r="D205" s="15" t="s">
        <v>347</v>
      </c>
      <c r="E205" s="85">
        <v>219767.333333333</v>
      </c>
      <c r="F205" s="220"/>
      <c r="G205" s="220"/>
      <c r="H205" s="220">
        <f>30000</f>
        <v>30000</v>
      </c>
      <c r="I205" s="85">
        <f t="shared" si="74"/>
        <v>7000</v>
      </c>
      <c r="J205" s="509">
        <f t="shared" si="71"/>
        <v>256767.333333333</v>
      </c>
      <c r="K205" s="85"/>
      <c r="L205" s="85">
        <v>30000</v>
      </c>
      <c r="M205" s="85">
        <v>28524.31</v>
      </c>
      <c r="N205" s="85"/>
      <c r="O205" s="85"/>
      <c r="P205" s="85">
        <v>27349.9057066666</v>
      </c>
      <c r="Q205" s="85">
        <v>17581.3866666666</v>
      </c>
      <c r="R205" s="510">
        <f t="shared" si="60"/>
        <v>103455.602373333</v>
      </c>
      <c r="S205" s="85">
        <v>153311.73096</v>
      </c>
      <c r="T205" s="509">
        <f t="shared" si="72"/>
        <v>153311.73096</v>
      </c>
    </row>
    <row r="206" customHeight="1" spans="1:20">
      <c r="A206" s="27">
        <v>45</v>
      </c>
      <c r="B206" s="11" t="s">
        <v>348</v>
      </c>
      <c r="C206" s="12" t="s">
        <v>346</v>
      </c>
      <c r="D206" s="15" t="s">
        <v>347</v>
      </c>
      <c r="E206" s="85">
        <v>219767.333333333</v>
      </c>
      <c r="F206" s="220"/>
      <c r="G206" s="220"/>
      <c r="H206" s="220">
        <f>30000</f>
        <v>30000</v>
      </c>
      <c r="I206" s="85">
        <f t="shared" si="74"/>
        <v>7000</v>
      </c>
      <c r="J206" s="509">
        <f t="shared" si="71"/>
        <v>256767.333333333</v>
      </c>
      <c r="K206" s="85"/>
      <c r="L206" s="85">
        <v>30000</v>
      </c>
      <c r="M206" s="85">
        <v>43885.11</v>
      </c>
      <c r="N206" s="85"/>
      <c r="O206" s="85"/>
      <c r="P206" s="85">
        <v>27349.9057066666</v>
      </c>
      <c r="Q206" s="85">
        <v>17581.3866666666</v>
      </c>
      <c r="R206" s="510">
        <f t="shared" si="60"/>
        <v>118816.402373333</v>
      </c>
      <c r="S206" s="85">
        <v>137950.93096</v>
      </c>
      <c r="T206" s="509">
        <f t="shared" si="72"/>
        <v>137950.93096</v>
      </c>
    </row>
    <row r="207" customHeight="1" spans="1:20">
      <c r="A207" s="27">
        <v>46</v>
      </c>
      <c r="B207" s="18" t="s">
        <v>349</v>
      </c>
      <c r="C207" s="12" t="s">
        <v>346</v>
      </c>
      <c r="D207" s="15" t="s">
        <v>350</v>
      </c>
      <c r="E207" s="85">
        <v>225750.583333333</v>
      </c>
      <c r="F207" s="220"/>
      <c r="G207" s="220"/>
      <c r="H207" s="220">
        <f>30000</f>
        <v>30000</v>
      </c>
      <c r="I207" s="85">
        <f t="shared" si="74"/>
        <v>7000</v>
      </c>
      <c r="J207" s="509">
        <f t="shared" si="71"/>
        <v>262750.583333333</v>
      </c>
      <c r="K207" s="85"/>
      <c r="L207" s="85">
        <v>23000</v>
      </c>
      <c r="M207" s="85">
        <f>44000</f>
        <v>44000</v>
      </c>
      <c r="N207" s="85"/>
      <c r="O207" s="85"/>
      <c r="P207" s="85">
        <v>28274.6768266666</v>
      </c>
      <c r="Q207" s="85">
        <v>18060.0466666666</v>
      </c>
      <c r="R207" s="510">
        <f t="shared" ref="R207:R225" si="75">P207+O207+M207+N207+L207+K207+Q207</f>
        <v>113334.723493333</v>
      </c>
      <c r="S207" s="85">
        <v>149415.85984</v>
      </c>
      <c r="T207" s="509">
        <f t="shared" si="72"/>
        <v>149415.85984</v>
      </c>
    </row>
    <row r="208" customHeight="1" spans="1:20">
      <c r="A208" s="27">
        <v>47</v>
      </c>
      <c r="B208" s="11" t="s">
        <v>351</v>
      </c>
      <c r="C208" s="12" t="s">
        <v>352</v>
      </c>
      <c r="D208" s="15" t="s">
        <v>353</v>
      </c>
      <c r="E208" s="85">
        <v>213784</v>
      </c>
      <c r="F208" s="220"/>
      <c r="G208" s="220"/>
      <c r="H208" s="220">
        <f>20000</f>
        <v>20000</v>
      </c>
      <c r="I208" s="85">
        <f t="shared" si="74"/>
        <v>7000</v>
      </c>
      <c r="J208" s="509">
        <f t="shared" si="71"/>
        <v>240784</v>
      </c>
      <c r="K208" s="85"/>
      <c r="L208" s="85">
        <v>50000</v>
      </c>
      <c r="M208" s="85">
        <v>40000</v>
      </c>
      <c r="N208" s="85">
        <v>15000</v>
      </c>
      <c r="O208" s="85"/>
      <c r="P208" s="85">
        <v>24745.1217066667</v>
      </c>
      <c r="Q208" s="85">
        <v>17102.72</v>
      </c>
      <c r="R208" s="510">
        <f t="shared" si="75"/>
        <v>146847.841706667</v>
      </c>
      <c r="S208" s="85">
        <v>91936.1582933333</v>
      </c>
      <c r="T208" s="509">
        <f t="shared" si="72"/>
        <v>93936.1582933333</v>
      </c>
    </row>
    <row r="209" customHeight="1" spans="1:20">
      <c r="A209" s="27">
        <v>48</v>
      </c>
      <c r="B209" s="11" t="s">
        <v>354</v>
      </c>
      <c r="C209" s="12" t="s">
        <v>355</v>
      </c>
      <c r="D209" s="15" t="s">
        <v>356</v>
      </c>
      <c r="E209" s="85">
        <v>146356.75</v>
      </c>
      <c r="F209" s="220"/>
      <c r="G209" s="220"/>
      <c r="H209" s="220">
        <f t="shared" ref="H209:H215" si="76">20000</f>
        <v>20000</v>
      </c>
      <c r="I209" s="85">
        <f t="shared" si="74"/>
        <v>7000</v>
      </c>
      <c r="J209" s="509">
        <f t="shared" si="71"/>
        <v>173356.75</v>
      </c>
      <c r="K209" s="85"/>
      <c r="L209" s="85">
        <v>25000</v>
      </c>
      <c r="M209" s="85">
        <v>33000</v>
      </c>
      <c r="N209" s="85">
        <v>22000</v>
      </c>
      <c r="O209" s="85"/>
      <c r="P209" s="85">
        <v>14737.1945866667</v>
      </c>
      <c r="Q209" s="85">
        <v>11708.54</v>
      </c>
      <c r="R209" s="510">
        <f t="shared" si="75"/>
        <v>106445.734586667</v>
      </c>
      <c r="S209" s="85">
        <v>88911.0154133333</v>
      </c>
      <c r="T209" s="509">
        <f t="shared" si="72"/>
        <v>66911.0154133333</v>
      </c>
    </row>
    <row r="210" customHeight="1" spans="1:20">
      <c r="A210" s="27">
        <v>49</v>
      </c>
      <c r="B210" s="11" t="s">
        <v>357</v>
      </c>
      <c r="C210" s="12" t="s">
        <v>355</v>
      </c>
      <c r="D210" s="15" t="s">
        <v>356</v>
      </c>
      <c r="E210" s="85">
        <v>146356.75</v>
      </c>
      <c r="F210" s="220"/>
      <c r="G210" s="220"/>
      <c r="H210" s="220">
        <f t="shared" si="76"/>
        <v>20000</v>
      </c>
      <c r="I210" s="85">
        <f>4000</f>
        <v>4000</v>
      </c>
      <c r="J210" s="509">
        <f t="shared" si="71"/>
        <v>170356.75</v>
      </c>
      <c r="K210" s="85"/>
      <c r="L210" s="85">
        <v>40000</v>
      </c>
      <c r="M210" s="85">
        <f>25555.56</f>
        <v>25555.56</v>
      </c>
      <c r="N210" s="85"/>
      <c r="O210" s="85"/>
      <c r="P210" s="85">
        <v>14281.1945866667</v>
      </c>
      <c r="Q210" s="85">
        <v>11708.54</v>
      </c>
      <c r="R210" s="510">
        <f t="shared" si="75"/>
        <v>91545.2945866667</v>
      </c>
      <c r="S210" s="85">
        <v>78811.4554133333</v>
      </c>
      <c r="T210" s="509">
        <f t="shared" si="72"/>
        <v>78811.4554133333</v>
      </c>
    </row>
    <row r="211" customHeight="1" spans="1:20">
      <c r="A211" s="27">
        <v>50</v>
      </c>
      <c r="B211" s="11" t="s">
        <v>358</v>
      </c>
      <c r="C211" s="12" t="s">
        <v>355</v>
      </c>
      <c r="D211" s="15" t="s">
        <v>356</v>
      </c>
      <c r="E211" s="85">
        <v>146356.75</v>
      </c>
      <c r="F211" s="220"/>
      <c r="G211" s="220"/>
      <c r="H211" s="220">
        <f t="shared" si="76"/>
        <v>20000</v>
      </c>
      <c r="I211" s="85">
        <f>7000</f>
        <v>7000</v>
      </c>
      <c r="J211" s="509">
        <f t="shared" si="71"/>
        <v>173356.75</v>
      </c>
      <c r="K211" s="85"/>
      <c r="L211" s="85">
        <v>25000</v>
      </c>
      <c r="M211" s="85">
        <f>15972.22</f>
        <v>15972.22</v>
      </c>
      <c r="N211" s="85"/>
      <c r="O211" s="85"/>
      <c r="P211" s="85">
        <v>14737.1945866667</v>
      </c>
      <c r="Q211" s="85">
        <v>11708.54</v>
      </c>
      <c r="R211" s="510">
        <f t="shared" si="75"/>
        <v>67417.9545866667</v>
      </c>
      <c r="S211" s="85">
        <v>105938.795413333</v>
      </c>
      <c r="T211" s="509">
        <f t="shared" si="72"/>
        <v>105938.795413333</v>
      </c>
    </row>
    <row r="212" customHeight="1" spans="1:20">
      <c r="A212" s="27">
        <v>51</v>
      </c>
      <c r="B212" s="11" t="s">
        <v>359</v>
      </c>
      <c r="C212" s="12" t="s">
        <v>355</v>
      </c>
      <c r="D212" s="15" t="s">
        <v>356</v>
      </c>
      <c r="E212" s="85">
        <v>146356.75</v>
      </c>
      <c r="F212" s="220"/>
      <c r="G212" s="220"/>
      <c r="H212" s="220">
        <f t="shared" si="76"/>
        <v>20000</v>
      </c>
      <c r="I212" s="85">
        <f>4000</f>
        <v>4000</v>
      </c>
      <c r="J212" s="509">
        <f t="shared" si="71"/>
        <v>170356.75</v>
      </c>
      <c r="K212" s="85"/>
      <c r="L212" s="85">
        <v>30000</v>
      </c>
      <c r="M212" s="85">
        <v>17999.67</v>
      </c>
      <c r="N212" s="85"/>
      <c r="O212" s="85"/>
      <c r="P212" s="85">
        <v>14281.1945866667</v>
      </c>
      <c r="Q212" s="85">
        <v>11708.54</v>
      </c>
      <c r="R212" s="510">
        <f t="shared" si="75"/>
        <v>73989.4045866667</v>
      </c>
      <c r="S212" s="85">
        <v>96367.3454133333</v>
      </c>
      <c r="T212" s="509">
        <f t="shared" si="72"/>
        <v>96367.3454133333</v>
      </c>
    </row>
    <row r="213" customHeight="1" spans="1:20">
      <c r="A213" s="27">
        <v>52</v>
      </c>
      <c r="B213" s="11" t="s">
        <v>360</v>
      </c>
      <c r="C213" s="12" t="s">
        <v>355</v>
      </c>
      <c r="D213" s="15" t="s">
        <v>356</v>
      </c>
      <c r="E213" s="85">
        <v>146356.75</v>
      </c>
      <c r="F213" s="220"/>
      <c r="G213" s="220"/>
      <c r="H213" s="220">
        <f t="shared" si="76"/>
        <v>20000</v>
      </c>
      <c r="I213" s="85">
        <f>7000</f>
        <v>7000</v>
      </c>
      <c r="J213" s="509">
        <f t="shared" si="71"/>
        <v>173356.75</v>
      </c>
      <c r="K213" s="85"/>
      <c r="L213" s="85">
        <v>30000</v>
      </c>
      <c r="M213" s="85">
        <f>30000</f>
        <v>30000</v>
      </c>
      <c r="N213" s="85">
        <v>12000</v>
      </c>
      <c r="O213" s="85"/>
      <c r="P213" s="85">
        <v>14737.1945866667</v>
      </c>
      <c r="Q213" s="85">
        <v>11708.54</v>
      </c>
      <c r="R213" s="510">
        <f t="shared" si="75"/>
        <v>98445.7345866667</v>
      </c>
      <c r="S213" s="85">
        <v>86911.0154133333</v>
      </c>
      <c r="T213" s="509">
        <f t="shared" si="72"/>
        <v>74911.0154133333</v>
      </c>
    </row>
    <row r="214" customHeight="1" spans="1:20">
      <c r="A214" s="27">
        <v>53</v>
      </c>
      <c r="B214" s="18" t="s">
        <v>361</v>
      </c>
      <c r="C214" s="12" t="s">
        <v>355</v>
      </c>
      <c r="D214" s="15" t="s">
        <v>356</v>
      </c>
      <c r="E214" s="85">
        <v>146356.75</v>
      </c>
      <c r="F214" s="220"/>
      <c r="G214" s="220"/>
      <c r="H214" s="220">
        <f t="shared" si="76"/>
        <v>20000</v>
      </c>
      <c r="I214" s="85">
        <f>4000</f>
        <v>4000</v>
      </c>
      <c r="J214" s="509">
        <f t="shared" si="71"/>
        <v>170356.75</v>
      </c>
      <c r="K214" s="85"/>
      <c r="L214" s="85">
        <v>25000</v>
      </c>
      <c r="M214" s="85">
        <v>0</v>
      </c>
      <c r="N214" s="85"/>
      <c r="O214" s="85"/>
      <c r="P214" s="85">
        <v>14281.1945866667</v>
      </c>
      <c r="Q214" s="85">
        <v>11708.54</v>
      </c>
      <c r="R214" s="510">
        <f t="shared" si="75"/>
        <v>50989.7345866667</v>
      </c>
      <c r="S214" s="85">
        <v>119367.015413333</v>
      </c>
      <c r="T214" s="509">
        <f t="shared" si="72"/>
        <v>119367.015413333</v>
      </c>
    </row>
    <row r="215" customHeight="1" spans="1:20">
      <c r="A215" s="27">
        <v>54</v>
      </c>
      <c r="B215" s="18" t="s">
        <v>362</v>
      </c>
      <c r="C215" s="12" t="s">
        <v>355</v>
      </c>
      <c r="D215" s="15" t="s">
        <v>356</v>
      </c>
      <c r="E215" s="85">
        <v>146356.75</v>
      </c>
      <c r="F215" s="220"/>
      <c r="G215" s="220"/>
      <c r="H215" s="220">
        <f t="shared" si="76"/>
        <v>20000</v>
      </c>
      <c r="I215" s="85">
        <f>7000</f>
        <v>7000</v>
      </c>
      <c r="J215" s="509">
        <f t="shared" si="71"/>
        <v>173356.75</v>
      </c>
      <c r="K215" s="85"/>
      <c r="L215" s="85">
        <v>30000</v>
      </c>
      <c r="M215" s="85">
        <f>0</f>
        <v>0</v>
      </c>
      <c r="N215" s="85"/>
      <c r="O215" s="85"/>
      <c r="P215" s="85">
        <v>14737.1945866667</v>
      </c>
      <c r="Q215" s="85">
        <v>11708.54</v>
      </c>
      <c r="R215" s="510">
        <f t="shared" si="75"/>
        <v>56445.7345866667</v>
      </c>
      <c r="S215" s="85">
        <v>116911.015413333</v>
      </c>
      <c r="T215" s="509">
        <f t="shared" si="72"/>
        <v>116911.015413333</v>
      </c>
    </row>
    <row r="216" customHeight="1" spans="1:20">
      <c r="A216" s="27">
        <v>56</v>
      </c>
      <c r="B216" s="11" t="s">
        <v>363</v>
      </c>
      <c r="C216" s="12" t="s">
        <v>352</v>
      </c>
      <c r="D216" s="15" t="s">
        <v>356</v>
      </c>
      <c r="E216" s="85">
        <v>146356.75</v>
      </c>
      <c r="F216" s="220"/>
      <c r="G216" s="220"/>
      <c r="H216" s="220">
        <v>20000</v>
      </c>
      <c r="I216" s="85">
        <f>7000</f>
        <v>7000</v>
      </c>
      <c r="J216" s="509">
        <f t="shared" si="71"/>
        <v>173356.75</v>
      </c>
      <c r="K216" s="85"/>
      <c r="L216" s="85">
        <v>40000</v>
      </c>
      <c r="M216" s="85">
        <f>26222.06</f>
        <v>26222.06</v>
      </c>
      <c r="N216" s="85">
        <v>10000</v>
      </c>
      <c r="O216" s="85"/>
      <c r="P216" s="85">
        <v>14737.1945866667</v>
      </c>
      <c r="Q216" s="85">
        <v>11708.54</v>
      </c>
      <c r="R216" s="510">
        <f t="shared" si="75"/>
        <v>102667.794586667</v>
      </c>
      <c r="S216" s="85">
        <v>68688.9554133333</v>
      </c>
      <c r="T216" s="509">
        <f t="shared" si="72"/>
        <v>70688.9554133333</v>
      </c>
    </row>
    <row r="217" customHeight="1" spans="1:20">
      <c r="A217" s="27">
        <v>57</v>
      </c>
      <c r="B217" s="18" t="s">
        <v>364</v>
      </c>
      <c r="C217" s="12" t="s">
        <v>365</v>
      </c>
      <c r="D217" s="15" t="s">
        <v>366</v>
      </c>
      <c r="E217" s="85">
        <v>143495.666666667</v>
      </c>
      <c r="F217" s="220"/>
      <c r="G217" s="220"/>
      <c r="H217" s="220">
        <f>20000</f>
        <v>20000</v>
      </c>
      <c r="I217" s="85">
        <f>4000+3000</f>
        <v>7000</v>
      </c>
      <c r="J217" s="509">
        <f t="shared" si="71"/>
        <v>170495.666666667</v>
      </c>
      <c r="K217" s="85"/>
      <c r="L217" s="85">
        <v>20000</v>
      </c>
      <c r="M217" s="85">
        <v>0</v>
      </c>
      <c r="N217" s="85">
        <v>30000</v>
      </c>
      <c r="O217" s="85"/>
      <c r="P217" s="85">
        <v>14337.1006933334</v>
      </c>
      <c r="Q217" s="85">
        <v>11479.6533333333</v>
      </c>
      <c r="R217" s="510">
        <f t="shared" si="75"/>
        <v>75816.7540266667</v>
      </c>
      <c r="S217" s="85">
        <v>92678.9126400003</v>
      </c>
      <c r="T217" s="509">
        <f t="shared" si="72"/>
        <v>94678.9126400003</v>
      </c>
    </row>
    <row r="218" customHeight="1" spans="1:20">
      <c r="A218" s="27">
        <v>58</v>
      </c>
      <c r="B218" s="18" t="s">
        <v>367</v>
      </c>
      <c r="C218" s="12" t="s">
        <v>365</v>
      </c>
      <c r="D218" s="15" t="s">
        <v>368</v>
      </c>
      <c r="E218" s="85">
        <v>137773.5</v>
      </c>
      <c r="F218" s="220"/>
      <c r="G218" s="220"/>
      <c r="H218" s="220">
        <v>20000</v>
      </c>
      <c r="I218" s="85">
        <v>7000</v>
      </c>
      <c r="J218" s="509">
        <f>SUM(E218:I218)-30759.07</f>
        <v>134014.43</v>
      </c>
      <c r="K218" s="85"/>
      <c r="L218" s="85">
        <v>3000</v>
      </c>
      <c r="M218" s="85"/>
      <c r="N218" s="85"/>
      <c r="O218" s="85"/>
      <c r="P218" s="85">
        <v>9259.106</v>
      </c>
      <c r="Q218" s="85">
        <v>11021.88</v>
      </c>
      <c r="R218" s="510">
        <f t="shared" si="75"/>
        <v>23280.986</v>
      </c>
      <c r="S218" s="85">
        <v>110733.444</v>
      </c>
      <c r="T218" s="509">
        <f t="shared" si="72"/>
        <v>110733.444</v>
      </c>
    </row>
    <row r="219" customHeight="1" spans="1:20">
      <c r="A219" s="27">
        <v>59</v>
      </c>
      <c r="B219" s="18" t="s">
        <v>369</v>
      </c>
      <c r="C219" s="12" t="s">
        <v>365</v>
      </c>
      <c r="D219" s="15" t="s">
        <v>370</v>
      </c>
      <c r="E219" s="85">
        <v>134912.666666667</v>
      </c>
      <c r="F219" s="220"/>
      <c r="G219" s="220"/>
      <c r="H219" s="220">
        <f>15000</f>
        <v>15000</v>
      </c>
      <c r="I219" s="85">
        <f>7000</f>
        <v>7000</v>
      </c>
      <c r="J219" s="509">
        <f t="shared" ref="J219:J224" si="77">SUM(E219:I219)</f>
        <v>156912.666666667</v>
      </c>
      <c r="K219" s="85"/>
      <c r="L219" s="85">
        <v>30000</v>
      </c>
      <c r="M219" s="85">
        <v>18333.33</v>
      </c>
      <c r="N219" s="85">
        <v>10000</v>
      </c>
      <c r="O219" s="85"/>
      <c r="P219" s="85">
        <v>12376.8539733334</v>
      </c>
      <c r="Q219" s="85">
        <v>10793.0133333333</v>
      </c>
      <c r="R219" s="510">
        <f t="shared" si="75"/>
        <v>81503.1973066667</v>
      </c>
      <c r="S219" s="85">
        <v>73409.4693600003</v>
      </c>
      <c r="T219" s="509">
        <f t="shared" si="72"/>
        <v>75409.4693600003</v>
      </c>
    </row>
    <row r="220" customHeight="1" spans="1:20">
      <c r="A220" s="27">
        <v>60</v>
      </c>
      <c r="B220" s="18" t="s">
        <v>371</v>
      </c>
      <c r="C220" s="12" t="s">
        <v>372</v>
      </c>
      <c r="D220" s="15" t="s">
        <v>373</v>
      </c>
      <c r="E220" s="85">
        <v>129049.416666667</v>
      </c>
      <c r="F220" s="118"/>
      <c r="G220" s="4"/>
      <c r="H220" s="118">
        <v>15000</v>
      </c>
      <c r="I220" s="118">
        <v>4000</v>
      </c>
      <c r="J220" s="509">
        <f t="shared" si="77"/>
        <v>148049.416666667</v>
      </c>
      <c r="K220" s="85"/>
      <c r="L220" s="85">
        <v>10000</v>
      </c>
      <c r="M220" s="85"/>
      <c r="N220" s="85"/>
      <c r="O220" s="85"/>
      <c r="P220" s="85">
        <v>11100.9370933334</v>
      </c>
      <c r="Q220" s="85">
        <v>10323.9533333333</v>
      </c>
      <c r="R220" s="510">
        <f t="shared" si="75"/>
        <v>31424.8904266667</v>
      </c>
      <c r="S220" s="85">
        <v>116624.52624</v>
      </c>
      <c r="T220" s="509">
        <f t="shared" si="72"/>
        <v>116624.52624</v>
      </c>
    </row>
    <row r="221" customHeight="1" spans="1:20">
      <c r="A221" s="27">
        <v>61</v>
      </c>
      <c r="B221" s="18" t="s">
        <v>374</v>
      </c>
      <c r="C221" s="12" t="s">
        <v>372</v>
      </c>
      <c r="D221" s="15" t="s">
        <v>373</v>
      </c>
      <c r="E221" s="85">
        <v>129049.416666667</v>
      </c>
      <c r="F221" s="118"/>
      <c r="G221" s="4"/>
      <c r="H221" s="118">
        <v>15000</v>
      </c>
      <c r="I221" s="118">
        <v>4000</v>
      </c>
      <c r="J221" s="509">
        <f t="shared" si="77"/>
        <v>148049.416666667</v>
      </c>
      <c r="K221" s="85"/>
      <c r="L221" s="85">
        <v>10000</v>
      </c>
      <c r="M221" s="85">
        <v>22916.67</v>
      </c>
      <c r="N221" s="85"/>
      <c r="O221" s="85"/>
      <c r="P221" s="85">
        <v>11100.9370933334</v>
      </c>
      <c r="Q221" s="85">
        <v>10323.9533333333</v>
      </c>
      <c r="R221" s="510">
        <f t="shared" si="75"/>
        <v>54341.5604266667</v>
      </c>
      <c r="S221" s="85">
        <v>93707.8562400003</v>
      </c>
      <c r="T221" s="509">
        <f t="shared" si="72"/>
        <v>93707.8562400003</v>
      </c>
    </row>
    <row r="222" customHeight="1" spans="1:20">
      <c r="A222" s="27">
        <v>62</v>
      </c>
      <c r="B222" s="18" t="s">
        <v>375</v>
      </c>
      <c r="C222" s="12" t="s">
        <v>372</v>
      </c>
      <c r="D222" s="15" t="s">
        <v>373</v>
      </c>
      <c r="E222" s="85">
        <v>129049.416666667</v>
      </c>
      <c r="F222" s="118"/>
      <c r="G222" s="4"/>
      <c r="H222" s="118">
        <v>15000</v>
      </c>
      <c r="I222" s="118">
        <v>4000</v>
      </c>
      <c r="J222" s="509">
        <f t="shared" si="77"/>
        <v>148049.416666667</v>
      </c>
      <c r="K222" s="85"/>
      <c r="L222" s="85">
        <v>10000</v>
      </c>
      <c r="M222" s="85">
        <f>8750</f>
        <v>8750</v>
      </c>
      <c r="N222" s="85"/>
      <c r="O222" s="85"/>
      <c r="P222" s="85">
        <v>11100.9370933334</v>
      </c>
      <c r="Q222" s="85">
        <v>10323.9533333333</v>
      </c>
      <c r="R222" s="510">
        <f t="shared" si="75"/>
        <v>40174.8904266667</v>
      </c>
      <c r="S222" s="85">
        <v>107874.52624</v>
      </c>
      <c r="T222" s="509">
        <f t="shared" si="72"/>
        <v>107874.52624</v>
      </c>
    </row>
    <row r="223" customHeight="1" spans="1:20">
      <c r="A223" s="27">
        <v>63</v>
      </c>
      <c r="B223" s="18" t="s">
        <v>376</v>
      </c>
      <c r="C223" s="12" t="s">
        <v>377</v>
      </c>
      <c r="D223" s="15" t="s">
        <v>378</v>
      </c>
      <c r="E223" s="85">
        <v>140634.666666667</v>
      </c>
      <c r="F223" s="118"/>
      <c r="G223" s="220"/>
      <c r="H223" s="220">
        <f>15000</f>
        <v>15000</v>
      </c>
      <c r="I223" s="85">
        <v>7000</v>
      </c>
      <c r="J223" s="509">
        <f t="shared" si="77"/>
        <v>162634.666666667</v>
      </c>
      <c r="K223" s="85"/>
      <c r="L223" s="85">
        <v>30000</v>
      </c>
      <c r="M223" s="85"/>
      <c r="N223" s="85">
        <v>10000</v>
      </c>
      <c r="O223" s="85"/>
      <c r="P223" s="85">
        <v>13177.0184533334</v>
      </c>
      <c r="Q223" s="85">
        <v>11250.7733333333</v>
      </c>
      <c r="R223" s="510">
        <f t="shared" si="75"/>
        <v>64427.7917866667</v>
      </c>
      <c r="S223" s="85">
        <v>87456.8748800003</v>
      </c>
      <c r="T223" s="509">
        <f t="shared" si="72"/>
        <v>98206.8748800003</v>
      </c>
    </row>
    <row r="224" customHeight="1" spans="1:20">
      <c r="A224" s="27">
        <v>64</v>
      </c>
      <c r="B224" s="18" t="s">
        <v>379</v>
      </c>
      <c r="C224" s="12" t="s">
        <v>377</v>
      </c>
      <c r="D224" s="15" t="s">
        <v>378</v>
      </c>
      <c r="E224" s="85">
        <v>140634.666666667</v>
      </c>
      <c r="F224" s="118"/>
      <c r="G224" s="220"/>
      <c r="H224" s="220">
        <f>15000</f>
        <v>15000</v>
      </c>
      <c r="I224" s="85">
        <v>7000</v>
      </c>
      <c r="J224" s="509">
        <f t="shared" si="77"/>
        <v>162634.666666667</v>
      </c>
      <c r="K224" s="85"/>
      <c r="L224" s="85">
        <v>25000</v>
      </c>
      <c r="M224" s="85">
        <v>6125</v>
      </c>
      <c r="N224" s="85">
        <v>12000</v>
      </c>
      <c r="O224" s="85"/>
      <c r="P224" s="85">
        <v>13177.0184533334</v>
      </c>
      <c r="Q224" s="85">
        <v>11250.7733333333</v>
      </c>
      <c r="R224" s="510">
        <f t="shared" si="75"/>
        <v>67552.7917866667</v>
      </c>
      <c r="S224" s="85">
        <v>107081.87488</v>
      </c>
      <c r="T224" s="509">
        <f t="shared" si="72"/>
        <v>95081.8748800003</v>
      </c>
    </row>
    <row r="225" ht="30.75" customHeight="1" spans="1:20">
      <c r="A225" s="27"/>
      <c r="B225" s="8" t="s">
        <v>111</v>
      </c>
      <c r="C225" s="28" t="s">
        <v>380</v>
      </c>
      <c r="D225" s="29"/>
      <c r="E225" s="93">
        <f>SUM(E161:E224)</f>
        <v>20743144.3333334</v>
      </c>
      <c r="F225" s="93">
        <f>SUM(F161:F224)</f>
        <v>0</v>
      </c>
      <c r="G225" s="93">
        <f t="shared" ref="G225:S225" si="78">SUM(G161:G224)</f>
        <v>0</v>
      </c>
      <c r="H225" s="93">
        <f t="shared" si="78"/>
        <v>2810000</v>
      </c>
      <c r="I225" s="93">
        <f t="shared" si="78"/>
        <v>228000</v>
      </c>
      <c r="J225" s="93">
        <f t="shared" si="78"/>
        <v>23750385.2633334</v>
      </c>
      <c r="K225" s="93">
        <f t="shared" si="78"/>
        <v>0</v>
      </c>
      <c r="L225" s="93">
        <f t="shared" si="78"/>
        <v>1573500</v>
      </c>
      <c r="M225" s="93">
        <f t="shared" si="78"/>
        <v>2659312.15</v>
      </c>
      <c r="N225" s="93">
        <f t="shared" si="78"/>
        <v>658000</v>
      </c>
      <c r="O225" s="93">
        <f t="shared" si="78"/>
        <v>158706.745833333</v>
      </c>
      <c r="P225" s="93">
        <f t="shared" si="78"/>
        <v>2989476.84960667</v>
      </c>
      <c r="Q225" s="93">
        <f t="shared" si="78"/>
        <v>1669811.01333333</v>
      </c>
      <c r="R225" s="93">
        <f t="shared" si="78"/>
        <v>9708806.75877334</v>
      </c>
      <c r="S225" s="93">
        <v>14246857.12581</v>
      </c>
      <c r="T225" s="93">
        <f>SUM(T161:T224)</f>
        <v>14041578.50456</v>
      </c>
    </row>
    <row r="226" ht="30" customHeight="1" spans="1:20">
      <c r="A226" s="4"/>
      <c r="B226" s="30" t="s">
        <v>381</v>
      </c>
      <c r="C226" s="31">
        <f>C44+C53+C67+C72+C85+C97+C111+C120+C130+C144+C158+C225</f>
        <v>177</v>
      </c>
      <c r="D226" s="32"/>
      <c r="E226" s="227">
        <f>E225+E158+E144+E138+E130+E120+E111+E97+E85+E72+E67+E53+E44</f>
        <v>89221493.0000001</v>
      </c>
      <c r="F226" s="227">
        <f>F225+F158+F144+F138+F130+F120+F111+F97+F85+F72+F67+F53+F44</f>
        <v>42371.3300000008</v>
      </c>
      <c r="G226" s="227">
        <f t="shared" ref="G226:R226" si="79">G225+G158+G144+G138+G130+G120+G111+G97+G85+G72+G67+G53+G44</f>
        <v>8610000</v>
      </c>
      <c r="H226" s="227">
        <f t="shared" si="79"/>
        <v>6280000</v>
      </c>
      <c r="I226" s="227">
        <f t="shared" si="79"/>
        <v>3009187.88833333</v>
      </c>
      <c r="J226" s="227">
        <f t="shared" si="79"/>
        <v>107132293.148333</v>
      </c>
      <c r="K226" s="227">
        <f t="shared" si="79"/>
        <v>0</v>
      </c>
      <c r="L226" s="227">
        <f t="shared" si="79"/>
        <v>6778500</v>
      </c>
      <c r="M226" s="227">
        <f t="shared" si="79"/>
        <v>9340785.72</v>
      </c>
      <c r="N226" s="227">
        <f t="shared" si="79"/>
        <v>2294000</v>
      </c>
      <c r="O226" s="227">
        <f t="shared" si="79"/>
        <v>534448.495416666</v>
      </c>
      <c r="P226" s="227">
        <f t="shared" si="79"/>
        <v>15457718.5154733</v>
      </c>
      <c r="Q226" s="227">
        <f t="shared" si="79"/>
        <v>6913755.74666666</v>
      </c>
      <c r="R226" s="227">
        <f t="shared" si="79"/>
        <v>41319208.4775567</v>
      </c>
      <c r="S226" s="227">
        <v>68876985.5400067</v>
      </c>
      <c r="T226" s="227">
        <f>T225+T158+T144+T138+T130+T120+T111+T97+T85+T72+T67+T53+T44</f>
        <v>65813084.6707766</v>
      </c>
    </row>
    <row r="227" ht="38.25" customHeight="1" spans="2:20">
      <c r="B227" s="33"/>
      <c r="D227" s="34"/>
      <c r="E227" s="34"/>
      <c r="F227" s="34"/>
      <c r="G227" s="228"/>
      <c r="H227" s="228"/>
      <c r="I227" s="228"/>
      <c r="J227" s="228"/>
      <c r="K227" s="228"/>
      <c r="L227" s="228"/>
      <c r="M227" s="228"/>
      <c r="N227" s="228"/>
      <c r="O227" s="228"/>
      <c r="P227" s="229"/>
      <c r="Q227" s="229"/>
      <c r="R227" s="229"/>
      <c r="S227" s="229"/>
      <c r="T227" s="229"/>
    </row>
    <row r="228" ht="36.75" customHeight="1" spans="2:20">
      <c r="B228" s="33"/>
      <c r="C228" s="34"/>
      <c r="D228" s="34"/>
      <c r="E228" s="34"/>
      <c r="F228" s="34"/>
      <c r="G228" s="228"/>
      <c r="H228" s="228"/>
      <c r="J228" s="228" t="s">
        <v>382</v>
      </c>
      <c r="K228" s="228"/>
      <c r="L228" s="228"/>
      <c r="M228" s="228"/>
      <c r="N228" s="228"/>
      <c r="O228" s="228"/>
      <c r="P228" s="229"/>
      <c r="Q228" s="229"/>
      <c r="R228" s="229"/>
      <c r="S228" s="229"/>
      <c r="T228" s="35"/>
    </row>
    <row r="229" customHeight="1" spans="9:20">
      <c r="I229" s="985"/>
      <c r="R229" s="35"/>
      <c r="T229" s="335"/>
    </row>
    <row r="230" customHeight="1" spans="20:20">
      <c r="T230" s="35"/>
    </row>
    <row r="231" customHeight="1" spans="10:10">
      <c r="J231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7" max="19" man="1"/>
    <brk id="145" max="19" man="1"/>
    <brk id="18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"/>
  <sheetViews>
    <sheetView tabSelected="1" zoomScale="91" zoomScaleNormal="91" topLeftCell="A53" workbookViewId="0">
      <selection activeCell="H66" sqref="H66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0" customHeight="1" spans="2:8">
      <c r="B1" s="952"/>
      <c r="C1" s="952"/>
      <c r="D1" s="952"/>
      <c r="E1" s="952"/>
      <c r="F1" s="952"/>
      <c r="G1" s="952"/>
      <c r="H1" s="952"/>
    </row>
    <row r="2" ht="23" customHeight="1" spans="1:8">
      <c r="A2" s="953" t="s">
        <v>0</v>
      </c>
      <c r="B2" s="953"/>
      <c r="C2" s="953"/>
      <c r="D2" s="953"/>
      <c r="E2" s="953"/>
      <c r="F2" s="953"/>
      <c r="G2" s="953"/>
      <c r="H2" s="953"/>
    </row>
    <row r="3" ht="21" customHeight="1" spans="1:8">
      <c r="A3" s="953" t="s">
        <v>383</v>
      </c>
      <c r="B3" s="953"/>
      <c r="C3" s="953"/>
      <c r="D3" s="953"/>
      <c r="E3" s="953"/>
      <c r="F3" s="953"/>
      <c r="G3" s="953"/>
      <c r="H3" s="953"/>
    </row>
    <row r="4" ht="15.6" hidden="1" customHeight="1" spans="1:8">
      <c r="A4" s="954" t="s">
        <v>384</v>
      </c>
      <c r="B4" s="954"/>
      <c r="C4" s="954"/>
      <c r="D4" s="954"/>
      <c r="E4" s="954"/>
      <c r="F4" s="954"/>
      <c r="G4" s="955"/>
      <c r="H4" s="955"/>
    </row>
    <row r="5" ht="9.6" hidden="1" customHeight="1" spans="1:8">
      <c r="A5" s="954" t="s">
        <v>385</v>
      </c>
      <c r="B5" s="954"/>
      <c r="C5" s="954"/>
      <c r="D5" s="954"/>
      <c r="E5" s="954"/>
      <c r="F5" s="954"/>
      <c r="G5" s="955"/>
      <c r="H5" s="955"/>
    </row>
    <row r="6" ht="29.25" hidden="1" customHeight="1" spans="1:8">
      <c r="A6" s="954" t="s">
        <v>386</v>
      </c>
      <c r="B6" s="954"/>
      <c r="C6" s="954"/>
      <c r="D6" s="954"/>
      <c r="E6" s="954"/>
      <c r="F6" s="954"/>
      <c r="G6" s="955"/>
      <c r="H6" s="955"/>
    </row>
    <row r="7" ht="25.15" hidden="1" customHeight="1" spans="1:8">
      <c r="A7" s="954" t="s">
        <v>387</v>
      </c>
      <c r="B7" s="954"/>
      <c r="C7" s="954"/>
      <c r="D7" s="954"/>
      <c r="E7" s="954"/>
      <c r="F7" s="955"/>
      <c r="G7" s="955"/>
      <c r="H7" s="955"/>
    </row>
    <row r="8" ht="24.75" hidden="1" customHeight="1" spans="1:8">
      <c r="A8" s="955"/>
      <c r="B8" s="955"/>
      <c r="C8" s="955"/>
      <c r="D8" s="955"/>
      <c r="E8" s="955"/>
      <c r="F8" s="955"/>
      <c r="G8" s="955"/>
      <c r="H8" s="955"/>
    </row>
    <row r="9" ht="24" hidden="1" customHeight="1" spans="1:8">
      <c r="A9" s="956" t="s">
        <v>388</v>
      </c>
      <c r="B9" s="956"/>
      <c r="C9" s="956"/>
      <c r="D9" s="956"/>
      <c r="E9" s="956"/>
      <c r="F9" s="956"/>
      <c r="G9" s="955"/>
      <c r="H9" s="955"/>
    </row>
    <row r="10" ht="13.15" hidden="1" customHeight="1" spans="1:8">
      <c r="A10" s="954" t="s">
        <v>389</v>
      </c>
      <c r="B10" s="954"/>
      <c r="C10" s="954"/>
      <c r="D10" s="954"/>
      <c r="E10" s="954"/>
      <c r="F10" s="954"/>
      <c r="G10" s="954"/>
      <c r="H10" s="954"/>
    </row>
    <row r="11" ht="18" hidden="1" customHeight="1" spans="1:8">
      <c r="A11" s="957"/>
      <c r="B11" s="955"/>
      <c r="C11" s="955"/>
      <c r="D11" s="955"/>
      <c r="E11" s="955"/>
      <c r="F11" s="955"/>
      <c r="G11" s="955"/>
      <c r="H11" s="955"/>
    </row>
    <row r="12" ht="18.75" hidden="1" customHeight="1" spans="1:8">
      <c r="A12" s="957"/>
      <c r="B12" s="955"/>
      <c r="C12" s="955"/>
      <c r="D12" s="955"/>
      <c r="E12" s="955"/>
      <c r="F12" s="955"/>
      <c r="G12" s="955"/>
      <c r="H12" s="955"/>
    </row>
    <row r="13" ht="19.5" customHeight="1" spans="1:8">
      <c r="A13" s="181" t="s">
        <v>390</v>
      </c>
      <c r="B13" s="181"/>
      <c r="C13" s="181" t="s">
        <v>391</v>
      </c>
      <c r="D13" s="181"/>
      <c r="E13" s="181"/>
      <c r="F13" s="874"/>
      <c r="G13" s="958"/>
      <c r="H13" s="955"/>
    </row>
    <row r="14" ht="20.25" customHeight="1" spans="1:8">
      <c r="A14" s="181" t="s">
        <v>392</v>
      </c>
      <c r="B14" s="874"/>
      <c r="C14" s="181" t="s">
        <v>393</v>
      </c>
      <c r="D14" s="181"/>
      <c r="E14" s="181"/>
      <c r="F14" s="181"/>
      <c r="G14" s="46"/>
      <c r="H14" s="955"/>
    </row>
    <row r="15" ht="21" customHeight="1" spans="1:8">
      <c r="A15" s="181" t="s">
        <v>394</v>
      </c>
      <c r="B15" s="181"/>
      <c r="C15" s="181" t="s">
        <v>395</v>
      </c>
      <c r="D15" s="181"/>
      <c r="E15" s="181"/>
      <c r="F15" s="181"/>
      <c r="G15" s="46"/>
      <c r="H15" s="955"/>
    </row>
    <row r="16" ht="21" customHeight="1" spans="1:8">
      <c r="A16" s="181" t="s">
        <v>396</v>
      </c>
      <c r="B16" s="181"/>
      <c r="C16" s="181" t="s">
        <v>397</v>
      </c>
      <c r="D16" s="181"/>
      <c r="E16" s="874"/>
      <c r="F16" s="874"/>
      <c r="G16" s="958"/>
      <c r="H16" s="955"/>
    </row>
    <row r="17" ht="5" customHeight="1" spans="1:8">
      <c r="A17" s="46"/>
      <c r="B17" s="46"/>
      <c r="C17" s="46"/>
      <c r="D17" s="46"/>
      <c r="E17" s="958"/>
      <c r="F17" s="958"/>
      <c r="G17" s="958"/>
      <c r="H17" s="955"/>
    </row>
    <row r="18" ht="24" customHeight="1" spans="1:8">
      <c r="A18" s="258" t="s">
        <v>398</v>
      </c>
      <c r="B18" s="258"/>
      <c r="C18" s="959"/>
      <c r="D18" s="959"/>
      <c r="E18" s="959"/>
      <c r="F18" s="959"/>
      <c r="G18" s="958"/>
      <c r="H18" s="955"/>
    </row>
    <row r="19" ht="26" customHeight="1" spans="1:8">
      <c r="A19" s="46" t="s">
        <v>399</v>
      </c>
      <c r="B19" s="46"/>
      <c r="C19" s="958"/>
      <c r="D19" s="958"/>
      <c r="E19" s="958"/>
      <c r="F19" s="958"/>
      <c r="G19" s="623" t="s">
        <v>400</v>
      </c>
      <c r="H19" s="623" t="s">
        <v>400</v>
      </c>
    </row>
    <row r="20" ht="21" customHeight="1" spans="1:10">
      <c r="A20" s="960" t="s">
        <v>401</v>
      </c>
      <c r="B20" s="960"/>
      <c r="C20" s="960"/>
      <c r="D20" s="960"/>
      <c r="E20" s="960"/>
      <c r="F20" s="960"/>
      <c r="G20" s="960"/>
      <c r="H20" s="961">
        <f>'AUGUST 2025'!J226</f>
        <v>107132293.148333</v>
      </c>
      <c r="J20" s="409"/>
    </row>
    <row r="21" ht="2" customHeight="1" spans="1:10">
      <c r="A21" s="960"/>
      <c r="B21" s="960"/>
      <c r="C21" s="960"/>
      <c r="D21" s="960"/>
      <c r="E21" s="960"/>
      <c r="F21" s="960"/>
      <c r="G21" s="960"/>
      <c r="H21" s="961"/>
      <c r="J21" s="409"/>
    </row>
    <row r="22" ht="21.75" customHeight="1" spans="1:9">
      <c r="A22" s="106" t="s">
        <v>402</v>
      </c>
      <c r="B22" s="106"/>
      <c r="C22" s="106"/>
      <c r="D22" s="106"/>
      <c r="E22" s="106"/>
      <c r="F22" s="106"/>
      <c r="G22" s="962"/>
      <c r="H22" s="46"/>
      <c r="I22" s="409"/>
    </row>
    <row r="23" ht="18.75" customHeight="1" spans="1:10">
      <c r="A23" s="963" t="s">
        <v>403</v>
      </c>
      <c r="B23" s="963"/>
      <c r="C23" s="963"/>
      <c r="D23" s="963"/>
      <c r="E23" s="963"/>
      <c r="F23" s="963"/>
      <c r="G23" s="156">
        <f>'AUGUST 2025'!L226</f>
        <v>6778500</v>
      </c>
      <c r="H23" s="46"/>
      <c r="J23" s="409"/>
    </row>
    <row r="24" ht="19.5" customHeight="1" spans="1:8">
      <c r="A24" s="963" t="s">
        <v>404</v>
      </c>
      <c r="B24" s="963"/>
      <c r="C24" s="963"/>
      <c r="D24" s="963"/>
      <c r="E24" s="963"/>
      <c r="F24" s="963"/>
      <c r="G24" s="156">
        <f>'AUGUST 2025'!M226</f>
        <v>9340785.72</v>
      </c>
      <c r="H24" s="46"/>
    </row>
    <row r="25" ht="19.5" customHeight="1" spans="1:8">
      <c r="A25" s="963" t="s">
        <v>405</v>
      </c>
      <c r="B25" s="963"/>
      <c r="C25" s="963"/>
      <c r="D25" s="963"/>
      <c r="E25" s="963"/>
      <c r="F25" s="963"/>
      <c r="G25" s="156">
        <f>'AUGUST 2025'!N226</f>
        <v>2294000</v>
      </c>
      <c r="H25" s="46"/>
    </row>
    <row r="26" ht="20.25" customHeight="1" spans="1:8">
      <c r="A26" s="964" t="s">
        <v>406</v>
      </c>
      <c r="B26" s="964"/>
      <c r="C26" s="964"/>
      <c r="D26" s="964"/>
      <c r="E26" s="964"/>
      <c r="F26" s="964"/>
      <c r="G26" s="156">
        <f>'AUGUST 2025'!O226</f>
        <v>534448.495416666</v>
      </c>
      <c r="H26" s="46"/>
    </row>
    <row r="27" ht="20.25" customHeight="1" spans="1:8">
      <c r="A27" s="963" t="s">
        <v>407</v>
      </c>
      <c r="B27" s="963"/>
      <c r="C27" s="963"/>
      <c r="D27" s="963"/>
      <c r="E27" s="963"/>
      <c r="F27" s="963"/>
      <c r="G27" s="156">
        <f>'AUGUST 2025'!P226</f>
        <v>15457718.5154733</v>
      </c>
      <c r="H27" s="46"/>
    </row>
    <row r="28" ht="21" customHeight="1" spans="1:8">
      <c r="A28" s="963" t="s">
        <v>408</v>
      </c>
      <c r="B28" s="963"/>
      <c r="C28" s="963"/>
      <c r="D28" s="963"/>
      <c r="E28" s="963"/>
      <c r="F28" s="963"/>
      <c r="G28" s="965">
        <f>'AUGUST 2025'!Q226</f>
        <v>6913755.74666666</v>
      </c>
      <c r="H28" s="46"/>
    </row>
    <row r="29" ht="28.5" customHeight="1" spans="1:9">
      <c r="A29" s="963" t="s">
        <v>409</v>
      </c>
      <c r="B29" s="963"/>
      <c r="C29" s="963"/>
      <c r="D29" s="963"/>
      <c r="E29" s="963"/>
      <c r="F29" s="963"/>
      <c r="G29" s="156"/>
      <c r="H29" s="966">
        <f>G23+G24+G25+G27+G26+G28</f>
        <v>41319208.4775567</v>
      </c>
      <c r="I29" s="411"/>
    </row>
    <row r="30" ht="20.25" customHeight="1" spans="1:10">
      <c r="A30" s="963" t="s">
        <v>410</v>
      </c>
      <c r="B30" s="963"/>
      <c r="C30" s="963"/>
      <c r="D30" s="963"/>
      <c r="E30" s="963"/>
      <c r="F30" s="963"/>
      <c r="G30" s="258"/>
      <c r="H30" s="150">
        <f>H20-H29</f>
        <v>65813084.6707768</v>
      </c>
      <c r="I30" s="213"/>
      <c r="J30" s="213"/>
    </row>
    <row r="31" ht="21" customHeight="1" spans="1:8">
      <c r="A31" s="963" t="s">
        <v>411</v>
      </c>
      <c r="B31" s="963"/>
      <c r="C31" s="963"/>
      <c r="D31" s="963"/>
      <c r="E31" s="963"/>
      <c r="F31" s="963"/>
      <c r="G31" s="258"/>
      <c r="H31" s="697">
        <f>'AUGUST 2025'!S226</f>
        <v>68876985.5400067</v>
      </c>
    </row>
    <row r="32" ht="21" customHeight="1" spans="1:8">
      <c r="A32" s="963" t="s">
        <v>412</v>
      </c>
      <c r="B32" s="963"/>
      <c r="C32" s="963"/>
      <c r="D32" s="963"/>
      <c r="E32" s="963"/>
      <c r="F32" s="963"/>
      <c r="G32" s="258"/>
      <c r="H32" s="967">
        <f>H30-H31</f>
        <v>-3063900.86922994</v>
      </c>
    </row>
    <row r="33" ht="24" customHeight="1" spans="1:8">
      <c r="A33" s="960" t="s">
        <v>413</v>
      </c>
      <c r="B33" s="960"/>
      <c r="C33" s="960"/>
      <c r="D33" s="960"/>
      <c r="E33" s="960"/>
      <c r="F33" s="960"/>
      <c r="G33" s="960"/>
      <c r="H33" s="46"/>
    </row>
    <row r="34" ht="21.75" customHeight="1" spans="1:10">
      <c r="A34" s="963" t="s">
        <v>414</v>
      </c>
      <c r="B34" s="963"/>
      <c r="C34" s="963"/>
      <c r="D34" s="963"/>
      <c r="E34" s="963"/>
      <c r="F34" s="963"/>
      <c r="G34" s="963"/>
      <c r="H34" s="968">
        <v>-46750</v>
      </c>
      <c r="I34" s="407"/>
      <c r="J34" s="411"/>
    </row>
    <row r="35" ht="21.75" customHeight="1" spans="1:10">
      <c r="A35" s="963" t="s">
        <v>415</v>
      </c>
      <c r="B35" s="963"/>
      <c r="C35" s="963"/>
      <c r="D35" s="963"/>
      <c r="E35" s="963"/>
      <c r="F35" s="963"/>
      <c r="G35" s="963"/>
      <c r="H35" s="968">
        <v>280000</v>
      </c>
      <c r="I35" s="407"/>
      <c r="J35" s="411"/>
    </row>
    <row r="36" ht="21.75" customHeight="1" spans="1:10">
      <c r="A36" s="963" t="s">
        <v>416</v>
      </c>
      <c r="B36" s="963"/>
      <c r="C36" s="963"/>
      <c r="D36" s="963"/>
      <c r="E36" s="963"/>
      <c r="F36" s="963"/>
      <c r="G36" s="963"/>
      <c r="H36" s="968">
        <f>2029184.6</f>
        <v>2029184.6</v>
      </c>
      <c r="J36" s="411"/>
    </row>
    <row r="37" ht="21.75" customHeight="1" spans="1:10">
      <c r="A37" s="963" t="s">
        <v>417</v>
      </c>
      <c r="B37" s="963"/>
      <c r="C37" s="963"/>
      <c r="D37" s="963"/>
      <c r="E37" s="963"/>
      <c r="F37" s="963"/>
      <c r="G37" s="963"/>
      <c r="H37" s="968">
        <f>857219.6+307282.34</f>
        <v>1164501.94</v>
      </c>
      <c r="J37" s="411"/>
    </row>
    <row r="38" ht="21.75" customHeight="1" spans="1:10">
      <c r="A38" s="963" t="s">
        <v>418</v>
      </c>
      <c r="B38" s="963"/>
      <c r="C38" s="963"/>
      <c r="D38" s="963"/>
      <c r="E38" s="963"/>
      <c r="F38" s="963"/>
      <c r="G38" s="963"/>
      <c r="H38" s="968">
        <f>84994.6</f>
        <v>84994.6</v>
      </c>
      <c r="J38" s="411"/>
    </row>
    <row r="39" ht="21.75" customHeight="1" spans="1:10">
      <c r="A39" s="963" t="s">
        <v>419</v>
      </c>
      <c r="B39" s="963"/>
      <c r="C39" s="963"/>
      <c r="D39" s="963"/>
      <c r="E39" s="963"/>
      <c r="F39" s="963"/>
      <c r="G39" s="963"/>
      <c r="H39" s="968">
        <f>76850.56+8080</f>
        <v>84930.56</v>
      </c>
      <c r="I39" s="411"/>
      <c r="J39" s="411"/>
    </row>
    <row r="40" ht="21.75" customHeight="1" spans="1:10">
      <c r="A40" s="963" t="s">
        <v>420</v>
      </c>
      <c r="B40" s="963"/>
      <c r="C40" s="963"/>
      <c r="D40" s="963"/>
      <c r="E40" s="963"/>
      <c r="F40" s="963"/>
      <c r="G40" s="963"/>
      <c r="H40" s="968">
        <f>-46303.96</f>
        <v>-46303.96</v>
      </c>
      <c r="I40" s="411"/>
      <c r="J40" s="411"/>
    </row>
    <row r="41" ht="21.75" customHeight="1" spans="1:10">
      <c r="A41" s="963" t="s">
        <v>421</v>
      </c>
      <c r="B41" s="963"/>
      <c r="C41" s="963"/>
      <c r="D41" s="963"/>
      <c r="E41" s="963"/>
      <c r="F41" s="963"/>
      <c r="G41" s="963"/>
      <c r="H41" s="968">
        <v>7024.05</v>
      </c>
      <c r="I41" s="411"/>
      <c r="J41" s="411"/>
    </row>
    <row r="42" ht="21.75" customHeight="1" spans="1:10">
      <c r="A42" s="963" t="s">
        <v>422</v>
      </c>
      <c r="B42" s="963"/>
      <c r="C42" s="963"/>
      <c r="D42" s="963"/>
      <c r="E42" s="963"/>
      <c r="F42" s="963"/>
      <c r="G42" s="963"/>
      <c r="H42" s="968">
        <v>-493680.92</v>
      </c>
      <c r="I42" s="411"/>
      <c r="J42" s="411"/>
    </row>
    <row r="43" ht="24" customHeight="1" spans="8:17">
      <c r="H43" s="969">
        <f>SUM(H34:H42)</f>
        <v>3063900.87</v>
      </c>
      <c r="I43" s="411"/>
      <c r="J43" s="407"/>
      <c r="K43" s="409"/>
      <c r="L43" s="407"/>
      <c r="M43" s="407"/>
      <c r="N43" s="409"/>
      <c r="P43" s="974"/>
      <c r="Q43" s="409"/>
    </row>
    <row r="44" ht="9" hidden="1" customHeight="1" spans="8:17">
      <c r="H44" s="970"/>
      <c r="I44" s="411"/>
      <c r="J44" s="407"/>
      <c r="K44" s="409"/>
      <c r="L44" s="407"/>
      <c r="M44" s="407"/>
      <c r="N44" s="409"/>
      <c r="P44" s="974"/>
      <c r="Q44" s="409"/>
    </row>
    <row r="45" ht="18.75" hidden="1" customHeight="1" spans="1:17">
      <c r="A45" s="963"/>
      <c r="B45" s="963"/>
      <c r="C45" s="963"/>
      <c r="D45" s="963"/>
      <c r="E45" s="963"/>
      <c r="F45" s="963"/>
      <c r="G45" s="963"/>
      <c r="H45" s="970"/>
      <c r="I45" s="411"/>
      <c r="J45" s="407"/>
      <c r="K45" s="409"/>
      <c r="L45" s="407"/>
      <c r="M45" s="407"/>
      <c r="N45" s="409"/>
      <c r="P45" s="974"/>
      <c r="Q45" s="409"/>
    </row>
    <row r="46" ht="23" customHeight="1" spans="1:11">
      <c r="A46" s="46"/>
      <c r="B46" s="46"/>
      <c r="C46" s="46"/>
      <c r="D46" s="46"/>
      <c r="E46" s="971" t="s">
        <v>18</v>
      </c>
      <c r="F46" s="68"/>
      <c r="G46" s="68" t="s">
        <v>19</v>
      </c>
      <c r="H46" s="68"/>
      <c r="I46" s="411"/>
      <c r="J46" s="411"/>
      <c r="K46" s="409"/>
    </row>
    <row r="47" ht="18.6" customHeight="1" spans="1:10">
      <c r="A47" s="46"/>
      <c r="B47" s="46"/>
      <c r="C47" s="46"/>
      <c r="D47" s="46"/>
      <c r="E47" s="68" t="s">
        <v>423</v>
      </c>
      <c r="F47" s="114" t="s">
        <v>20</v>
      </c>
      <c r="G47" s="68" t="s">
        <v>423</v>
      </c>
      <c r="H47" s="114" t="s">
        <v>20</v>
      </c>
      <c r="I47" s="411"/>
      <c r="J47" s="411"/>
    </row>
    <row r="48" ht="28.5" customHeight="1" spans="1:10">
      <c r="A48" s="50">
        <v>1</v>
      </c>
      <c r="B48" s="171" t="s">
        <v>424</v>
      </c>
      <c r="C48" s="963"/>
      <c r="D48" s="963"/>
      <c r="E48" s="49">
        <v>32</v>
      </c>
      <c r="F48" s="51">
        <f>'AUGUST 2025'!S44</f>
        <v>16679081.4246367</v>
      </c>
      <c r="G48" s="49">
        <f>'AUGUST 2025'!C44</f>
        <v>37</v>
      </c>
      <c r="H48" s="51">
        <f>'AUGUST 2025'!T44</f>
        <v>16493584.12597</v>
      </c>
      <c r="I48" s="411"/>
      <c r="J48" s="411"/>
    </row>
    <row r="49" ht="21.75" customHeight="1" spans="1:10">
      <c r="A49" s="50">
        <v>2</v>
      </c>
      <c r="B49" s="171" t="s">
        <v>425</v>
      </c>
      <c r="C49" s="963"/>
      <c r="D49" s="963"/>
      <c r="E49" s="49">
        <v>3</v>
      </c>
      <c r="F49" s="51">
        <f>'AUGUST 2025'!S53</f>
        <v>1912660.45770666</v>
      </c>
      <c r="G49" s="49">
        <f>'AUGUST 2025'!C53</f>
        <v>6</v>
      </c>
      <c r="H49" s="51">
        <f>'AUGUST 2025'!T53</f>
        <v>1944660.45770666</v>
      </c>
      <c r="I49" s="411"/>
      <c r="J49" s="411"/>
    </row>
    <row r="50" ht="24.75" customHeight="1" spans="1:10">
      <c r="A50" s="50">
        <v>3</v>
      </c>
      <c r="B50" s="963" t="s">
        <v>426</v>
      </c>
      <c r="C50" s="963"/>
      <c r="D50" s="963"/>
      <c r="E50" s="49">
        <v>11</v>
      </c>
      <c r="F50" s="51">
        <f>'AUGUST 2025'!S67</f>
        <v>7633637.86186666</v>
      </c>
      <c r="G50" s="49">
        <f>'AUGUST 2025'!C67</f>
        <v>11</v>
      </c>
      <c r="H50" s="51">
        <f>'AUGUST 2025'!T67</f>
        <v>5610453.26272666</v>
      </c>
      <c r="I50" s="411"/>
      <c r="J50" s="411"/>
    </row>
    <row r="51" ht="23.25" customHeight="1" spans="1:10">
      <c r="A51" s="50">
        <v>4</v>
      </c>
      <c r="B51" s="963" t="s">
        <v>427</v>
      </c>
      <c r="C51" s="963"/>
      <c r="D51" s="972"/>
      <c r="E51" s="49">
        <v>2</v>
      </c>
      <c r="F51" s="51">
        <f>'AUGUST 2025'!S72</f>
        <v>974050.115279995</v>
      </c>
      <c r="G51" s="49">
        <f>'AUGUST 2025'!C72</f>
        <v>2</v>
      </c>
      <c r="H51" s="51">
        <f>'AUGUST 2025'!T72</f>
        <v>976050.115279995</v>
      </c>
      <c r="I51" s="411"/>
      <c r="J51" s="411"/>
    </row>
    <row r="52" ht="24" customHeight="1" spans="1:10">
      <c r="A52" s="50">
        <v>5</v>
      </c>
      <c r="B52" s="963" t="s">
        <v>428</v>
      </c>
      <c r="C52" s="963"/>
      <c r="D52" s="972"/>
      <c r="E52" s="49">
        <v>12</v>
      </c>
      <c r="F52" s="51">
        <f>'AUGUST 2025'!S85</f>
        <v>3666548.07528</v>
      </c>
      <c r="G52" s="49">
        <f>'AUGUST 2025'!C85</f>
        <v>10</v>
      </c>
      <c r="H52" s="51">
        <f>'AUGUST 2025'!T85</f>
        <v>3726548.07528</v>
      </c>
      <c r="I52" s="411"/>
      <c r="J52" s="411"/>
    </row>
    <row r="53" ht="21" customHeight="1" spans="1:10">
      <c r="A53" s="50">
        <v>6</v>
      </c>
      <c r="B53" s="963" t="s">
        <v>429</v>
      </c>
      <c r="C53" s="963"/>
      <c r="D53" s="972"/>
      <c r="E53" s="49">
        <v>6</v>
      </c>
      <c r="F53" s="51">
        <f>'AUGUST 2025'!S97</f>
        <v>4094177.37453333</v>
      </c>
      <c r="G53" s="49">
        <f>'AUGUST 2025'!C97</f>
        <v>9</v>
      </c>
      <c r="H53" s="51">
        <f>'AUGUST 2025'!T97</f>
        <v>4130575.95914666</v>
      </c>
      <c r="I53" s="411"/>
      <c r="J53" s="411"/>
    </row>
    <row r="54" ht="23.25" customHeight="1" spans="1:10">
      <c r="A54" s="50">
        <v>7</v>
      </c>
      <c r="B54" s="963" t="s">
        <v>430</v>
      </c>
      <c r="C54" s="963"/>
      <c r="D54" s="963"/>
      <c r="E54" s="49">
        <v>11</v>
      </c>
      <c r="F54" s="51">
        <f>'AUGUST 2025'!S111</f>
        <v>6189811.78451</v>
      </c>
      <c r="G54" s="49">
        <f>'AUGUST 2025'!C111</f>
        <v>11</v>
      </c>
      <c r="H54" s="51">
        <f>'AUGUST 2025'!T111</f>
        <v>6186787.72615333</v>
      </c>
      <c r="I54" s="411"/>
      <c r="J54" s="411"/>
    </row>
    <row r="55" ht="25.5" customHeight="1" spans="1:10">
      <c r="A55" s="50">
        <v>8</v>
      </c>
      <c r="B55" s="963" t="s">
        <v>431</v>
      </c>
      <c r="C55" s="963"/>
      <c r="D55" s="963"/>
      <c r="E55" s="49">
        <v>4</v>
      </c>
      <c r="F55" s="51">
        <f>'AUGUST 2025'!S120</f>
        <v>2406629.40863667</v>
      </c>
      <c r="G55" s="49">
        <f>'AUGUST 2025'!C120</f>
        <v>6</v>
      </c>
      <c r="H55" s="51">
        <f>'AUGUST 2025'!T120</f>
        <v>2367629.40863667</v>
      </c>
      <c r="I55" s="411"/>
      <c r="J55" s="411"/>
    </row>
    <row r="56" ht="21.75" customHeight="1" spans="1:10">
      <c r="A56" s="50">
        <v>9</v>
      </c>
      <c r="B56" s="963" t="s">
        <v>432</v>
      </c>
      <c r="C56" s="963"/>
      <c r="D56" s="963"/>
      <c r="E56" s="49">
        <v>7</v>
      </c>
      <c r="F56" s="51">
        <f>'AUGUST 2025'!S130</f>
        <v>4129195.62881</v>
      </c>
      <c r="G56" s="49">
        <f>'AUGUST 2025'!C130</f>
        <v>7</v>
      </c>
      <c r="H56" s="51">
        <f>'AUGUST 2025'!T130</f>
        <v>4090569.03104666</v>
      </c>
      <c r="I56" s="411"/>
      <c r="J56" s="411"/>
    </row>
    <row r="57" ht="21.75" customHeight="1" spans="1:10">
      <c r="A57" s="50">
        <v>10</v>
      </c>
      <c r="B57" s="963" t="s">
        <v>433</v>
      </c>
      <c r="C57" s="963"/>
      <c r="D57" s="963"/>
      <c r="E57" s="49">
        <v>2</v>
      </c>
      <c r="F57" s="51">
        <f>'AUGUST 2025'!S138</f>
        <v>1454720.88328</v>
      </c>
      <c r="G57" s="49">
        <f>'AUGUST 2025'!C138</f>
        <v>6</v>
      </c>
      <c r="H57" s="51">
        <f>'AUGUST 2025'!T138</f>
        <v>1442720.88328</v>
      </c>
      <c r="I57" s="411"/>
      <c r="J57" s="411"/>
    </row>
    <row r="58" ht="21.75" customHeight="1" spans="1:10">
      <c r="A58" s="50">
        <v>11</v>
      </c>
      <c r="B58" s="963" t="s">
        <v>434</v>
      </c>
      <c r="C58" s="963"/>
      <c r="D58" s="963"/>
      <c r="E58" s="49">
        <v>3</v>
      </c>
      <c r="F58" s="51">
        <f>'AUGUST 2025'!S144</f>
        <v>1430208.83597333</v>
      </c>
      <c r="G58" s="49">
        <v>3</v>
      </c>
      <c r="H58" s="51">
        <f>'AUGUST 2025'!T144</f>
        <v>865017.855973334</v>
      </c>
      <c r="I58" s="411"/>
      <c r="J58" s="411"/>
    </row>
    <row r="59" ht="24.75" customHeight="1" spans="1:10">
      <c r="A59" s="50">
        <v>12</v>
      </c>
      <c r="B59" s="963" t="s">
        <v>435</v>
      </c>
      <c r="C59" s="963"/>
      <c r="D59" s="963"/>
      <c r="E59" s="49">
        <v>10</v>
      </c>
      <c r="F59" s="51">
        <f>'AUGUST 2025'!S158</f>
        <v>4059406.56368333</v>
      </c>
      <c r="G59" s="973" t="str">
        <f>'AUGUST 2025'!C158</f>
        <v>11</v>
      </c>
      <c r="H59" s="51">
        <f>'AUGUST 2025'!T158</f>
        <v>3936909.26501667</v>
      </c>
      <c r="I59" s="411"/>
      <c r="J59" s="411"/>
    </row>
    <row r="60" ht="24.75" customHeight="1" spans="1:10">
      <c r="A60" s="50">
        <v>13</v>
      </c>
      <c r="B60" s="963" t="s">
        <v>436</v>
      </c>
      <c r="C60" s="963"/>
      <c r="D60" s="963"/>
      <c r="E60" s="49">
        <v>61</v>
      </c>
      <c r="F60" s="51">
        <f>'AUGUST 2025'!S225</f>
        <v>14246857.12581</v>
      </c>
      <c r="G60" s="973" t="str">
        <f>'AUGUST 2025'!C225</f>
        <v>64</v>
      </c>
      <c r="H60" s="51">
        <f>'AUGUST 2025'!T225</f>
        <v>14041578.50456</v>
      </c>
      <c r="I60" s="411"/>
      <c r="J60" s="411"/>
    </row>
    <row r="61" ht="24" customHeight="1" spans="1:10">
      <c r="A61" s="46"/>
      <c r="B61" s="46"/>
      <c r="C61" s="46"/>
      <c r="D61" s="46"/>
      <c r="E61" s="68">
        <f>SUM(E48:E60)</f>
        <v>164</v>
      </c>
      <c r="F61" s="56">
        <f>SUM(F48:F60)</f>
        <v>68876985.5400067</v>
      </c>
      <c r="G61" s="68">
        <v>155</v>
      </c>
      <c r="H61" s="56">
        <f>SUM(H48:H60)</f>
        <v>65813084.6707766</v>
      </c>
      <c r="I61" s="411"/>
      <c r="J61" s="411"/>
    </row>
    <row r="62" ht="0.75" customHeight="1" spans="1:10">
      <c r="A62" s="46"/>
      <c r="B62" s="46"/>
      <c r="C62" s="46"/>
      <c r="D62" s="46"/>
      <c r="E62" s="41"/>
      <c r="F62" s="961"/>
      <c r="G62" s="41"/>
      <c r="H62" s="961"/>
      <c r="I62" s="411"/>
      <c r="J62" s="411"/>
    </row>
    <row r="63" ht="71" customHeight="1" spans="1:14">
      <c r="A63" s="964" t="s">
        <v>437</v>
      </c>
      <c r="B63" s="964"/>
      <c r="C63" s="964"/>
      <c r="D63" s="964"/>
      <c r="E63" s="964"/>
      <c r="F63" s="964"/>
      <c r="G63" s="964"/>
      <c r="H63" s="964"/>
      <c r="I63" s="46"/>
      <c r="J63" s="156"/>
      <c r="K63" s="156"/>
      <c r="L63" s="46"/>
      <c r="M63" s="46"/>
      <c r="N63" s="46"/>
    </row>
    <row r="64" ht="4.5" customHeight="1" spans="1:14">
      <c r="A64" s="964"/>
      <c r="B64" s="964"/>
      <c r="C64" s="964"/>
      <c r="D64" s="964"/>
      <c r="E64" s="964"/>
      <c r="F64" s="964"/>
      <c r="G64" s="964"/>
      <c r="H64" s="964"/>
      <c r="I64" s="46"/>
      <c r="J64" s="46"/>
      <c r="K64" s="46"/>
      <c r="L64" s="46"/>
      <c r="M64" s="46"/>
      <c r="N64" s="46"/>
    </row>
    <row r="65" ht="2.25" hidden="1" customHeight="1" spans="1:14">
      <c r="A65" s="964"/>
      <c r="B65" s="964"/>
      <c r="C65" s="964"/>
      <c r="D65" s="964"/>
      <c r="E65" s="964"/>
      <c r="F65" s="964"/>
      <c r="G65" s="964"/>
      <c r="H65" s="964"/>
      <c r="I65" s="46"/>
      <c r="J65" s="46"/>
      <c r="K65" s="46"/>
      <c r="L65" s="46"/>
      <c r="M65" s="46"/>
      <c r="N65" s="46"/>
    </row>
    <row r="66" ht="43" customHeight="1" spans="6:8">
      <c r="F66" s="46"/>
      <c r="G66" s="46"/>
      <c r="H66" s="46"/>
    </row>
    <row r="67" ht="17.25" customHeight="1" spans="1:11">
      <c r="A67" s="960" t="s">
        <v>255</v>
      </c>
      <c r="B67" s="960"/>
      <c r="C67" s="960"/>
      <c r="D67" s="960"/>
      <c r="E67" s="960"/>
      <c r="F67" s="46"/>
      <c r="G67" s="46"/>
      <c r="H67" s="46"/>
      <c r="I67" s="411"/>
      <c r="K67" s="407"/>
    </row>
    <row r="68" ht="13" spans="1:11">
      <c r="A68" s="263"/>
      <c r="B68" s="263"/>
      <c r="C68" s="263"/>
      <c r="D68" s="263" t="s">
        <v>438</v>
      </c>
      <c r="E68" s="263"/>
      <c r="F68" s="263"/>
      <c r="G68" s="263"/>
      <c r="H68" s="263"/>
      <c r="I68" s="213"/>
      <c r="K68" s="407"/>
    </row>
    <row r="69" spans="11:11">
      <c r="K69" s="407"/>
    </row>
    <row r="70" spans="11:11">
      <c r="K70" s="407"/>
    </row>
    <row r="73" spans="3:3">
      <c r="C73" t="s">
        <v>439</v>
      </c>
    </row>
    <row r="171" spans="3:3">
      <c r="C171">
        <f>10000</f>
        <v>10000</v>
      </c>
    </row>
  </sheetData>
  <mergeCells count="30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G33"/>
    <mergeCell ref="E46:F46"/>
    <mergeCell ref="G46:H46"/>
    <mergeCell ref="B48:D48"/>
    <mergeCell ref="B50:D50"/>
    <mergeCell ref="B51:D51"/>
    <mergeCell ref="B52:D52"/>
    <mergeCell ref="B53:D53"/>
    <mergeCell ref="B60:D60"/>
    <mergeCell ref="A63:H63"/>
    <mergeCell ref="A67:E6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D1"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84" t="s">
        <v>5</v>
      </c>
      <c r="E1" s="684" t="s">
        <v>6</v>
      </c>
      <c r="F1" s="684" t="s">
        <v>7</v>
      </c>
      <c r="G1" s="684" t="s">
        <v>7</v>
      </c>
      <c r="H1" s="684" t="s">
        <v>8</v>
      </c>
      <c r="I1" s="694" t="s">
        <v>9</v>
      </c>
      <c r="J1" s="684" t="s">
        <v>14</v>
      </c>
      <c r="K1" s="946" t="s">
        <v>15</v>
      </c>
      <c r="L1" s="684" t="s">
        <v>16</v>
      </c>
      <c r="M1" s="695"/>
      <c r="N1" s="694" t="s">
        <v>440</v>
      </c>
      <c r="O1" s="696" t="s">
        <v>441</v>
      </c>
    </row>
    <row r="2" s="1" customFormat="1" ht="17.25" customHeight="1" spans="2:15">
      <c r="B2" s="8"/>
      <c r="C2" s="8"/>
      <c r="D2" s="82" t="s">
        <v>20</v>
      </c>
      <c r="E2" s="82" t="s">
        <v>20</v>
      </c>
      <c r="F2" s="82" t="s">
        <v>20</v>
      </c>
      <c r="G2" s="82" t="s">
        <v>20</v>
      </c>
      <c r="H2" s="82" t="s">
        <v>20</v>
      </c>
      <c r="I2" s="507" t="s">
        <v>20</v>
      </c>
      <c r="J2" s="82" t="s">
        <v>20</v>
      </c>
      <c r="K2" s="82" t="s">
        <v>20</v>
      </c>
      <c r="L2" s="82" t="s">
        <v>20</v>
      </c>
      <c r="M2" s="508"/>
      <c r="N2" s="82"/>
      <c r="O2" s="507"/>
    </row>
    <row r="3" s="769" customFormat="1" ht="37" customHeight="1" spans="1:15">
      <c r="A3" s="775" t="s">
        <v>228</v>
      </c>
      <c r="B3" s="776" t="s">
        <v>442</v>
      </c>
      <c r="C3" s="739" t="s">
        <v>52</v>
      </c>
      <c r="D3" s="741">
        <v>541351.333333333</v>
      </c>
      <c r="E3" s="741"/>
      <c r="F3" s="742">
        <f>120000</f>
        <v>120000</v>
      </c>
      <c r="G3" s="742"/>
      <c r="H3" s="741">
        <v>59548.6466666666</v>
      </c>
      <c r="I3" s="746">
        <f>SUM(D3:H3)</f>
        <v>720899.98</v>
      </c>
      <c r="J3" s="741">
        <v>8443.27083333333</v>
      </c>
      <c r="K3" s="741">
        <v>107143.198346667</v>
      </c>
      <c r="L3" s="741">
        <v>43308.1066666666</v>
      </c>
      <c r="M3" s="750">
        <f>SUM(J3:L3)</f>
        <v>158894.575846667</v>
      </c>
      <c r="N3" s="741">
        <f>I3-M3</f>
        <v>562005.404153333</v>
      </c>
      <c r="O3" s="746"/>
    </row>
    <row r="4" s="1" customFormat="1" ht="41" customHeight="1" spans="1:15">
      <c r="A4" s="775" t="s">
        <v>228</v>
      </c>
      <c r="B4" s="776" t="s">
        <v>443</v>
      </c>
      <c r="C4" s="739" t="s">
        <v>230</v>
      </c>
      <c r="D4" s="741">
        <v>542419.5</v>
      </c>
      <c r="E4" s="741"/>
      <c r="F4" s="742">
        <f>140000</f>
        <v>140000</v>
      </c>
      <c r="G4" s="742"/>
      <c r="H4" s="741">
        <v>59666.145</v>
      </c>
      <c r="I4" s="746">
        <f>SUM(D4:H4)</f>
        <v>742085.645</v>
      </c>
      <c r="J4" s="213">
        <f>338365.25*0.025</f>
        <v>8459.13125</v>
      </c>
      <c r="K4" s="741">
        <v>112831.954026667</v>
      </c>
      <c r="L4" s="741">
        <f>D4*0.08</f>
        <v>43393.56</v>
      </c>
      <c r="M4" s="750">
        <f>SUM(J4:L4)</f>
        <v>164684.645276667</v>
      </c>
      <c r="N4" s="741">
        <f>I4-M4</f>
        <v>577400.999723333</v>
      </c>
      <c r="O4" s="746"/>
    </row>
    <row r="5" ht="18" customHeight="1" spans="1:15">
      <c r="A5" t="s">
        <v>444</v>
      </c>
      <c r="D5" s="411">
        <f t="shared" ref="D5:L5" si="0">D4-D3</f>
        <v>1068.16666666698</v>
      </c>
      <c r="E5" s="411">
        <f t="shared" si="0"/>
        <v>0</v>
      </c>
      <c r="F5" s="411">
        <f t="shared" si="0"/>
        <v>20000</v>
      </c>
      <c r="G5" s="411">
        <f t="shared" si="0"/>
        <v>0</v>
      </c>
      <c r="H5" s="411">
        <f t="shared" si="0"/>
        <v>117.498333333395</v>
      </c>
      <c r="I5" s="411">
        <f t="shared" si="0"/>
        <v>21185.6650000004</v>
      </c>
      <c r="J5" s="411">
        <f t="shared" si="0"/>
        <v>15.8604166666701</v>
      </c>
      <c r="K5" s="411">
        <f t="shared" si="0"/>
        <v>5688.75567999999</v>
      </c>
      <c r="L5" s="411">
        <f t="shared" si="0"/>
        <v>85.4533333333966</v>
      </c>
      <c r="M5" s="750">
        <f>SUM(J5:L5)</f>
        <v>5790.06943000005</v>
      </c>
      <c r="N5" s="741">
        <f>I5-M5</f>
        <v>15395.5955700003</v>
      </c>
      <c r="O5" s="411">
        <f>I5*2</f>
        <v>42371.3300000008</v>
      </c>
    </row>
    <row r="6" spans="9:11">
      <c r="I6" s="411">
        <f>I5*2</f>
        <v>42371.3300000008</v>
      </c>
      <c r="K6" s="411">
        <f>K5*2</f>
        <v>11377.51136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445</v>
      </c>
      <c r="F1" s="218" t="s">
        <v>446</v>
      </c>
      <c r="G1" s="218" t="s">
        <v>447</v>
      </c>
      <c r="H1" s="218" t="s">
        <v>448</v>
      </c>
    </row>
    <row r="2" s="1" customFormat="1" ht="17.25" customHeight="1" spans="3:8">
      <c r="C2" s="8"/>
      <c r="D2" s="8"/>
      <c r="E2" s="82" t="s">
        <v>20</v>
      </c>
      <c r="F2" s="82" t="s">
        <v>20</v>
      </c>
      <c r="G2" s="82" t="s">
        <v>20</v>
      </c>
      <c r="H2" s="82" t="s">
        <v>20</v>
      </c>
    </row>
    <row r="4" s="1" customFormat="1" ht="20.1" customHeight="1" spans="1:8">
      <c r="A4" s="4">
        <v>1</v>
      </c>
      <c r="B4" s="11" t="s">
        <v>228</v>
      </c>
      <c r="C4" s="4" t="s">
        <v>442</v>
      </c>
      <c r="D4" s="10" t="s">
        <v>52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231</v>
      </c>
      <c r="C5" s="4" t="s">
        <v>442</v>
      </c>
      <c r="D5" s="10" t="s">
        <v>230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232</v>
      </c>
      <c r="C6" s="4" t="s">
        <v>233</v>
      </c>
      <c r="D6" s="15" t="s">
        <v>234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235</v>
      </c>
      <c r="C7" s="4" t="s">
        <v>233</v>
      </c>
      <c r="D7" s="10" t="s">
        <v>96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236</v>
      </c>
      <c r="C8" s="4" t="s">
        <v>233</v>
      </c>
      <c r="D8" s="15" t="s">
        <v>208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2:8">
      <c r="B9" s="951" t="s">
        <v>111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6"/>
      <c r="B1" s="691" t="s">
        <v>2</v>
      </c>
      <c r="C1" s="692" t="s">
        <v>3</v>
      </c>
      <c r="D1" s="693" t="s">
        <v>4</v>
      </c>
      <c r="E1" s="684" t="s">
        <v>5</v>
      </c>
      <c r="F1" s="684" t="s">
        <v>6</v>
      </c>
      <c r="G1" s="684" t="s">
        <v>7</v>
      </c>
      <c r="H1" s="684" t="s">
        <v>7</v>
      </c>
      <c r="I1" s="684" t="s">
        <v>8</v>
      </c>
      <c r="J1" s="694" t="s">
        <v>9</v>
      </c>
      <c r="K1" s="684" t="s">
        <v>10</v>
      </c>
      <c r="L1" s="684" t="s">
        <v>449</v>
      </c>
      <c r="M1" s="684" t="s">
        <v>12</v>
      </c>
      <c r="N1" s="684" t="s">
        <v>14</v>
      </c>
      <c r="O1" s="946" t="s">
        <v>15</v>
      </c>
      <c r="P1" s="684" t="s">
        <v>16</v>
      </c>
      <c r="Q1" s="695" t="s">
        <v>17</v>
      </c>
      <c r="R1" s="696" t="s">
        <v>18</v>
      </c>
    </row>
    <row r="2" s="1" customFormat="1" ht="17.25" customHeight="1" spans="1:18">
      <c r="A2" s="769"/>
      <c r="B2" s="769"/>
      <c r="C2" s="738"/>
      <c r="D2" s="738"/>
      <c r="E2" s="941" t="s">
        <v>20</v>
      </c>
      <c r="F2" s="941" t="s">
        <v>20</v>
      </c>
      <c r="G2" s="941" t="s">
        <v>20</v>
      </c>
      <c r="H2" s="941" t="s">
        <v>20</v>
      </c>
      <c r="I2" s="941" t="s">
        <v>20</v>
      </c>
      <c r="J2" s="947" t="s">
        <v>20</v>
      </c>
      <c r="K2" s="941" t="s">
        <v>20</v>
      </c>
      <c r="L2" s="941" t="s">
        <v>20</v>
      </c>
      <c r="M2" s="941" t="s">
        <v>20</v>
      </c>
      <c r="N2" s="941" t="s">
        <v>20</v>
      </c>
      <c r="O2" s="941" t="s">
        <v>20</v>
      </c>
      <c r="P2" s="941" t="s">
        <v>20</v>
      </c>
      <c r="Q2" s="949" t="s">
        <v>20</v>
      </c>
      <c r="R2" s="947" t="s">
        <v>20</v>
      </c>
    </row>
    <row r="3" s="769" customFormat="1" ht="39" customHeight="1" spans="1:18">
      <c r="A3" s="739">
        <v>1</v>
      </c>
      <c r="B3" s="775" t="s">
        <v>126</v>
      </c>
      <c r="C3" s="776" t="s">
        <v>450</v>
      </c>
      <c r="D3" s="739" t="s">
        <v>128</v>
      </c>
      <c r="E3" s="741">
        <v>1647612</v>
      </c>
      <c r="F3" s="741"/>
      <c r="G3" s="742">
        <f>200000</f>
        <v>200000</v>
      </c>
      <c r="H3" s="742"/>
      <c r="I3" s="741"/>
      <c r="J3" s="746">
        <f>SUM(E3:I3)</f>
        <v>1847612</v>
      </c>
      <c r="K3" s="741"/>
      <c r="L3" s="741"/>
      <c r="M3" s="741"/>
      <c r="N3" s="741"/>
      <c r="O3" s="741">
        <v>303177.162346667</v>
      </c>
      <c r="P3" s="741">
        <v>131808.96</v>
      </c>
      <c r="Q3" s="750">
        <f>O3+N3+M3+L3+K3+P3</f>
        <v>434986.122346667</v>
      </c>
      <c r="R3" s="746">
        <f>J3-Q3</f>
        <v>1412625.87765333</v>
      </c>
    </row>
    <row r="4" s="1" customFormat="1" ht="37" customHeight="1" spans="1:18">
      <c r="A4" s="739">
        <v>1</v>
      </c>
      <c r="B4" s="775" t="s">
        <v>126</v>
      </c>
      <c r="C4" s="776" t="s">
        <v>127</v>
      </c>
      <c r="D4" s="739" t="s">
        <v>154</v>
      </c>
      <c r="E4" s="741">
        <v>905306.75</v>
      </c>
      <c r="F4" s="741"/>
      <c r="G4" s="742">
        <f>180000</f>
        <v>180000</v>
      </c>
      <c r="H4" s="742"/>
      <c r="I4" s="741">
        <v>100000</v>
      </c>
      <c r="J4" s="746">
        <f>SUM(E4:I4)</f>
        <v>1185306.75</v>
      </c>
      <c r="K4" s="741"/>
      <c r="L4" s="741"/>
      <c r="M4" s="741"/>
      <c r="N4" s="741"/>
      <c r="O4" s="741">
        <v>192340.050986667</v>
      </c>
      <c r="P4" s="741">
        <v>72424.54</v>
      </c>
      <c r="Q4" s="750">
        <f>O4+N4+M4+L4+K4+P4</f>
        <v>264764.590986667</v>
      </c>
      <c r="R4" s="746">
        <f>J4-Q4</f>
        <v>920542.159013333</v>
      </c>
    </row>
    <row r="5" ht="24" customHeight="1" spans="1:18">
      <c r="A5" s="263"/>
      <c r="B5" s="271" t="s">
        <v>451</v>
      </c>
      <c r="C5" s="271"/>
      <c r="D5" s="271"/>
      <c r="E5" s="271"/>
      <c r="F5" s="271"/>
      <c r="G5" s="271"/>
      <c r="H5" s="271"/>
      <c r="I5" s="271"/>
      <c r="J5" s="948">
        <f>J3-J4</f>
        <v>662305.25</v>
      </c>
      <c r="K5" s="948"/>
      <c r="L5" s="948"/>
      <c r="M5" s="948"/>
      <c r="N5" s="948"/>
      <c r="O5" s="948">
        <f>O3-O4</f>
        <v>110837.11136</v>
      </c>
      <c r="P5" s="948">
        <f>P3-P4</f>
        <v>59384.42</v>
      </c>
      <c r="Q5" s="948">
        <f>Q3-Q4</f>
        <v>170221.53136</v>
      </c>
      <c r="R5" s="948">
        <f>R3-R4</f>
        <v>492083.71864</v>
      </c>
    </row>
    <row r="6" ht="18" customHeight="1" spans="1:18">
      <c r="A6" s="263"/>
      <c r="B6" s="271" t="s">
        <v>452</v>
      </c>
      <c r="C6" s="271"/>
      <c r="D6" s="271"/>
      <c r="E6" s="271"/>
      <c r="F6" s="271"/>
      <c r="G6" s="271"/>
      <c r="H6" s="271"/>
      <c r="I6" s="271"/>
      <c r="J6" s="948">
        <f>J5*3.65</f>
        <v>2417414.1625</v>
      </c>
      <c r="K6" s="271"/>
      <c r="L6" s="271"/>
      <c r="M6" s="271"/>
      <c r="N6" s="271"/>
      <c r="O6" s="948">
        <f>O5*3.65</f>
        <v>404555.456464</v>
      </c>
      <c r="P6" s="271"/>
      <c r="Q6" s="948">
        <f>O6</f>
        <v>404555.456464</v>
      </c>
      <c r="R6" s="948">
        <f>J6-Q6</f>
        <v>2012858.706036</v>
      </c>
    </row>
    <row r="7" ht="13" spans="18:18">
      <c r="R7" s="214">
        <f>SUM(R5:R6)</f>
        <v>2504942.424676</v>
      </c>
    </row>
    <row r="9" s="769" customFormat="1" ht="43" customHeight="1" spans="1:18">
      <c r="A9" s="739" t="s">
        <v>453</v>
      </c>
      <c r="B9" s="942" t="s">
        <v>454</v>
      </c>
      <c r="C9" s="943" t="s">
        <v>289</v>
      </c>
      <c r="D9" s="739" t="s">
        <v>137</v>
      </c>
      <c r="E9" s="741">
        <f>353512.5</f>
        <v>353512.5</v>
      </c>
      <c r="F9" s="741"/>
      <c r="G9" s="742"/>
      <c r="H9" s="742">
        <v>60000</v>
      </c>
      <c r="I9" s="741"/>
      <c r="J9" s="750">
        <f>E9+F9+G9+H9+I9</f>
        <v>413512.5</v>
      </c>
      <c r="K9" s="741"/>
      <c r="L9" s="741"/>
      <c r="M9" s="741"/>
      <c r="N9" s="741"/>
      <c r="O9" s="741">
        <v>52068.58</v>
      </c>
      <c r="P9" s="741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455</v>
      </c>
      <c r="B10" s="942" t="s">
        <v>454</v>
      </c>
      <c r="C10" s="943" t="s">
        <v>289</v>
      </c>
      <c r="D10" s="779" t="s">
        <v>137</v>
      </c>
      <c r="E10" s="742">
        <v>441159</v>
      </c>
      <c r="F10" s="741"/>
      <c r="G10" s="742"/>
      <c r="H10" s="742">
        <f>60000</f>
        <v>60000</v>
      </c>
      <c r="I10" s="741"/>
      <c r="J10" s="746">
        <f>SUM(E10:I10)</f>
        <v>501159</v>
      </c>
      <c r="K10" s="741"/>
      <c r="L10" s="741"/>
      <c r="M10" s="741"/>
      <c r="N10" s="741"/>
      <c r="O10" s="741">
        <v>68112.9924266667</v>
      </c>
      <c r="P10" s="641">
        <v>35292.72</v>
      </c>
      <c r="Q10" s="750">
        <f>O10+N10+M10+L10+K10+P10</f>
        <v>103405.712426667</v>
      </c>
      <c r="R10" s="746">
        <f>J10-Q10</f>
        <v>397753.287573333</v>
      </c>
    </row>
    <row r="11" ht="21" customHeight="1" spans="2:18">
      <c r="B11" s="942" t="s">
        <v>456</v>
      </c>
      <c r="C11" s="384"/>
      <c r="D11" s="384"/>
      <c r="E11" s="944">
        <f>E10-E9</f>
        <v>87646.5</v>
      </c>
      <c r="F11" s="944"/>
      <c r="G11" s="944"/>
      <c r="H11" s="944"/>
      <c r="I11" s="944"/>
      <c r="J11" s="944">
        <f>J10-J9</f>
        <v>87646.5</v>
      </c>
      <c r="K11" s="944"/>
      <c r="L11" s="944"/>
      <c r="M11" s="944"/>
      <c r="N11" s="944"/>
      <c r="O11" s="944">
        <f>O10-O9</f>
        <v>16044.4124266667</v>
      </c>
      <c r="P11" s="944"/>
      <c r="Q11" s="944">
        <f>Q10-Q9</f>
        <v>23056.1324266667</v>
      </c>
      <c r="R11" s="950">
        <f>R10-R9</f>
        <v>64590.3675733333</v>
      </c>
    </row>
    <row r="12" ht="29" customHeight="1" spans="2:18">
      <c r="B12" s="942" t="s">
        <v>457</v>
      </c>
      <c r="C12" s="384"/>
      <c r="D12" s="384"/>
      <c r="E12" s="944">
        <f>J12</f>
        <v>350586</v>
      </c>
      <c r="F12" s="944"/>
      <c r="G12" s="944"/>
      <c r="H12" s="944"/>
      <c r="I12" s="944"/>
      <c r="J12" s="944">
        <f>J11*4</f>
        <v>350586</v>
      </c>
      <c r="K12" s="944"/>
      <c r="L12" s="944"/>
      <c r="M12" s="944"/>
      <c r="N12" s="944"/>
      <c r="O12" s="944">
        <f>O11*4</f>
        <v>64177.6497066668</v>
      </c>
      <c r="P12" s="944"/>
      <c r="Q12" s="944">
        <f>O12</f>
        <v>64177.6497066668</v>
      </c>
      <c r="R12" s="950">
        <f>J12-Q12</f>
        <v>286408.350293333</v>
      </c>
    </row>
    <row r="13" ht="17" customHeight="1" spans="18:18">
      <c r="R13" s="411">
        <f>R10+R12</f>
        <v>684161.637866667</v>
      </c>
    </row>
    <row r="15" s="769" customFormat="1" ht="28" customHeight="1" spans="1:18">
      <c r="A15" s="945" t="s">
        <v>455</v>
      </c>
      <c r="B15" s="777" t="s">
        <v>246</v>
      </c>
      <c r="C15" s="776" t="s">
        <v>247</v>
      </c>
      <c r="D15" s="739" t="s">
        <v>96</v>
      </c>
      <c r="E15" s="741">
        <v>330407.083333333</v>
      </c>
      <c r="F15" s="741"/>
      <c r="G15" s="742"/>
      <c r="H15" s="742">
        <f>60000</f>
        <v>60000</v>
      </c>
      <c r="I15" s="741"/>
      <c r="J15" s="750">
        <f>E15+F15+G15+H15+I15</f>
        <v>390407.083333333</v>
      </c>
      <c r="K15" s="741"/>
      <c r="L15" s="741"/>
      <c r="M15" s="741"/>
      <c r="N15" s="741"/>
      <c r="O15" s="741">
        <v>48549.7738666667</v>
      </c>
      <c r="P15" s="741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39" t="s">
        <v>453</v>
      </c>
      <c r="B16" s="777" t="s">
        <v>246</v>
      </c>
      <c r="C16" s="776" t="s">
        <v>247</v>
      </c>
      <c r="D16" s="739" t="s">
        <v>96</v>
      </c>
      <c r="E16" s="741">
        <f>255849</f>
        <v>255849</v>
      </c>
      <c r="F16" s="741"/>
      <c r="G16" s="742"/>
      <c r="H16" s="742">
        <v>60000</v>
      </c>
      <c r="I16" s="741"/>
      <c r="J16" s="750">
        <f>E16+F16+G16+H16+I16</f>
        <v>315849</v>
      </c>
      <c r="K16" s="741"/>
      <c r="L16" s="741"/>
      <c r="M16" s="741"/>
      <c r="N16" s="741"/>
      <c r="O16" s="741">
        <v>36790.6881066667</v>
      </c>
      <c r="P16" s="741"/>
      <c r="Q16" s="750">
        <f>O16+N16+M16+L16+K16+P16</f>
        <v>36790.6881066667</v>
      </c>
      <c r="R16" s="750">
        <f>J16-Q16</f>
        <v>279058.311893333</v>
      </c>
    </row>
    <row r="17" ht="21" customHeight="1" spans="5:18">
      <c r="E17" s="411">
        <f>E15-E16</f>
        <v>74558.083333333</v>
      </c>
      <c r="F17" s="411"/>
      <c r="G17" s="411"/>
      <c r="H17" s="411"/>
      <c r="I17" s="411"/>
      <c r="J17" s="411">
        <f>J15-J16</f>
        <v>74558.083333333</v>
      </c>
      <c r="K17" s="411"/>
      <c r="L17" s="411"/>
      <c r="M17" s="411"/>
      <c r="N17" s="411"/>
      <c r="O17" s="411">
        <f>O15-O16</f>
        <v>11759.08576</v>
      </c>
      <c r="P17" s="411"/>
      <c r="Q17" s="411">
        <f>Q15-Q16</f>
        <v>38191.6524266667</v>
      </c>
      <c r="R17" s="411">
        <f>R15-R16</f>
        <v>36366.4309066663</v>
      </c>
    </row>
    <row r="18" spans="2:18">
      <c r="B18" t="s">
        <v>458</v>
      </c>
      <c r="E18" s="411">
        <f>E17*9</f>
        <v>671022.749999997</v>
      </c>
      <c r="F18" s="411"/>
      <c r="G18" s="411"/>
      <c r="H18" s="411"/>
      <c r="I18" s="411"/>
      <c r="J18" s="411">
        <f>J17*9</f>
        <v>671022.749999997</v>
      </c>
      <c r="K18" s="411"/>
      <c r="L18" s="411"/>
      <c r="M18" s="411"/>
      <c r="N18" s="411"/>
      <c r="O18" s="411">
        <f>O17*9</f>
        <v>105831.77184</v>
      </c>
      <c r="P18" s="411">
        <f>P17*9</f>
        <v>0</v>
      </c>
      <c r="Q18" s="411">
        <f>O18</f>
        <v>105831.77184</v>
      </c>
      <c r="R18" s="411">
        <f>R17*9</f>
        <v>327297.878159997</v>
      </c>
    </row>
    <row r="19" spans="18:18">
      <c r="R19" s="411">
        <f>R15+R18</f>
        <v>642722.620959997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459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3:5">
      <c r="C5" s="8"/>
      <c r="D5" s="8"/>
      <c r="E5" s="82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</row>
    <row r="13" customHeight="1" spans="1:5">
      <c r="A13" s="10">
        <v>7</v>
      </c>
      <c r="B13" s="11" t="s">
        <v>39</v>
      </c>
      <c r="C13" s="4" t="s">
        <v>40</v>
      </c>
      <c r="D13" s="15" t="s">
        <v>41</v>
      </c>
      <c r="E13" s="85">
        <v>589657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49</v>
      </c>
      <c r="E16" s="85">
        <v>700713.916666666</v>
      </c>
    </row>
    <row r="17" customHeight="1" spans="1:5">
      <c r="A17" s="10">
        <v>11</v>
      </c>
      <c r="B17" s="11" t="s">
        <v>50</v>
      </c>
      <c r="C17" s="12" t="s">
        <v>51</v>
      </c>
      <c r="D17" s="15" t="s">
        <v>52</v>
      </c>
      <c r="E17" s="85">
        <v>541351.333333333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460</v>
      </c>
      <c r="E18" s="85">
        <v>526725.083333334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58</v>
      </c>
      <c r="E19" s="676">
        <v>497472.75</v>
      </c>
    </row>
    <row r="20" customHeight="1" spans="1:5">
      <c r="A20" s="10">
        <v>14</v>
      </c>
      <c r="B20" s="18" t="s">
        <v>59</v>
      </c>
      <c r="C20" s="4" t="s">
        <v>51</v>
      </c>
      <c r="D20" s="15" t="s">
        <v>58</v>
      </c>
      <c r="E20" s="676">
        <v>497472.75</v>
      </c>
    </row>
    <row r="21" customHeight="1" spans="1:5">
      <c r="A21" s="10">
        <v>15</v>
      </c>
      <c r="B21" s="11" t="s">
        <v>60</v>
      </c>
      <c r="C21" s="12" t="s">
        <v>61</v>
      </c>
      <c r="D21" s="15" t="s">
        <v>62</v>
      </c>
      <c r="E21" s="85">
        <v>496497.166666667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65</v>
      </c>
      <c r="E22" s="85">
        <v>482662.666666667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68</v>
      </c>
      <c r="E23" s="85">
        <v>454993.583333333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68</v>
      </c>
      <c r="E24" s="85">
        <v>454993.583333333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85">
        <v>381140.666666666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76</v>
      </c>
      <c r="E26" s="85">
        <v>381140.666666666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79</v>
      </c>
      <c r="E27" s="85">
        <v>355320.666666667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79</v>
      </c>
      <c r="E28" s="85">
        <v>355320.666666667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79</v>
      </c>
      <c r="E29" s="85">
        <v>355320.666666667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5">
        <v>338711.666666667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79</v>
      </c>
      <c r="E33" s="85">
        <v>355320.666666667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87</v>
      </c>
      <c r="E34" s="85">
        <v>338711.666666667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87</v>
      </c>
      <c r="E35" s="85">
        <v>338711.666666667</v>
      </c>
    </row>
    <row r="36" s="1" customFormat="1" ht="18.75" customHeight="1" spans="1:5">
      <c r="A36" s="10">
        <v>30</v>
      </c>
      <c r="B36" s="18" t="s">
        <v>94</v>
      </c>
      <c r="C36" s="4" t="s">
        <v>95</v>
      </c>
      <c r="D36" s="10" t="s">
        <v>96</v>
      </c>
      <c r="E36" s="85">
        <v>330407.083333333</v>
      </c>
    </row>
    <row r="37" s="1" customFormat="1" ht="18.75" customHeight="1" spans="1:5">
      <c r="A37" s="10">
        <v>31</v>
      </c>
      <c r="B37" s="18" t="s">
        <v>97</v>
      </c>
      <c r="C37" s="4" t="s">
        <v>95</v>
      </c>
      <c r="D37" s="10" t="s">
        <v>96</v>
      </c>
      <c r="E37" s="85">
        <v>330408.083333333</v>
      </c>
    </row>
    <row r="38" s="1" customFormat="1" ht="18.75" customHeight="1" spans="1:5">
      <c r="A38" s="10">
        <v>32</v>
      </c>
      <c r="B38" s="18" t="s">
        <v>98</v>
      </c>
      <c r="C38" s="4" t="s">
        <v>83</v>
      </c>
      <c r="D38" s="10" t="s">
        <v>96</v>
      </c>
      <c r="E38" s="85">
        <v>330409.083333333</v>
      </c>
    </row>
    <row r="39" s="1" customFormat="1" ht="18.75" customHeight="1" spans="1:5">
      <c r="A39" s="10">
        <v>33</v>
      </c>
      <c r="B39" s="18" t="s">
        <v>99</v>
      </c>
      <c r="C39" s="4" t="s">
        <v>78</v>
      </c>
      <c r="D39" s="10" t="s">
        <v>96</v>
      </c>
      <c r="E39" s="85">
        <v>330409.083333333</v>
      </c>
    </row>
    <row r="40" ht="18.75" customHeight="1" spans="1:5">
      <c r="A40" s="10">
        <v>34</v>
      </c>
      <c r="B40" s="18" t="s">
        <v>100</v>
      </c>
      <c r="C40" s="12" t="s">
        <v>101</v>
      </c>
      <c r="D40" s="15" t="s">
        <v>102</v>
      </c>
      <c r="E40" s="85">
        <v>301910.75</v>
      </c>
    </row>
    <row r="41" ht="18.75" customHeight="1" spans="1:5">
      <c r="A41" s="10">
        <v>35</v>
      </c>
      <c r="B41" s="18" t="s">
        <v>103</v>
      </c>
      <c r="C41" s="12" t="s">
        <v>104</v>
      </c>
      <c r="D41" s="15" t="s">
        <v>105</v>
      </c>
      <c r="E41" s="676">
        <v>294900.833333334</v>
      </c>
    </row>
    <row r="42" s="1" customFormat="1" customHeight="1" spans="1:5">
      <c r="A42" s="10">
        <v>36</v>
      </c>
      <c r="B42" s="18" t="s">
        <v>106</v>
      </c>
      <c r="C42" s="12" t="s">
        <v>107</v>
      </c>
      <c r="D42" s="15" t="s">
        <v>108</v>
      </c>
      <c r="E42" s="85">
        <v>287890.916666667</v>
      </c>
    </row>
    <row r="43" s="1" customFormat="1" customHeight="1" spans="1:5">
      <c r="A43" s="10">
        <v>37</v>
      </c>
      <c r="B43" s="18" t="s">
        <v>109</v>
      </c>
      <c r="C43" s="12" t="s">
        <v>110</v>
      </c>
      <c r="D43" s="15" t="s">
        <v>108</v>
      </c>
      <c r="E43" s="85">
        <v>287891.916666667</v>
      </c>
    </row>
    <row r="44" ht="26.25" customHeight="1" spans="1:5">
      <c r="A44" s="10"/>
      <c r="B44" s="20" t="s">
        <v>111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112</v>
      </c>
      <c r="C46" s="4"/>
      <c r="D46" s="15"/>
      <c r="E46" s="85"/>
    </row>
    <row r="47" ht="18.75" customHeight="1" spans="1:5">
      <c r="A47" s="10">
        <v>1</v>
      </c>
      <c r="B47" s="18" t="s">
        <v>113</v>
      </c>
      <c r="C47" s="4" t="s">
        <v>114</v>
      </c>
      <c r="D47" s="10" t="s">
        <v>115</v>
      </c>
      <c r="E47" s="85">
        <v>1747106.41666666</v>
      </c>
    </row>
    <row r="48" ht="18.75" customHeight="1" spans="1:5">
      <c r="A48" s="10">
        <v>2</v>
      </c>
      <c r="B48" s="18" t="s">
        <v>116</v>
      </c>
      <c r="C48" s="4" t="s">
        <v>117</v>
      </c>
      <c r="D48" s="10" t="s">
        <v>76</v>
      </c>
      <c r="E48" s="85">
        <v>381140.666666666</v>
      </c>
    </row>
    <row r="49" ht="18.75" customHeight="1" spans="1:5">
      <c r="A49" s="10">
        <v>3</v>
      </c>
      <c r="B49" s="11" t="s">
        <v>118</v>
      </c>
      <c r="C49" s="4" t="s">
        <v>117</v>
      </c>
      <c r="D49" s="15" t="s">
        <v>119</v>
      </c>
      <c r="E49" s="85">
        <v>390135.833333334</v>
      </c>
    </row>
    <row r="50" s="1" customFormat="1" customHeight="1" spans="1:5">
      <c r="A50" s="10">
        <v>4</v>
      </c>
      <c r="B50" s="18" t="s">
        <v>120</v>
      </c>
      <c r="C50" s="4" t="s">
        <v>117</v>
      </c>
      <c r="D50" s="15" t="s">
        <v>73</v>
      </c>
      <c r="E50" s="85">
        <v>372145.333333333</v>
      </c>
    </row>
    <row r="51" ht="18.75" customHeight="1" spans="1:5">
      <c r="A51" s="10">
        <v>5</v>
      </c>
      <c r="B51" s="11" t="s">
        <v>121</v>
      </c>
      <c r="C51" s="4" t="s">
        <v>122</v>
      </c>
      <c r="D51" s="15" t="s">
        <v>87</v>
      </c>
      <c r="E51" s="676">
        <v>338711.666666667</v>
      </c>
    </row>
    <row r="52" s="1" customFormat="1" customHeight="1" spans="1:5">
      <c r="A52" s="10">
        <v>6</v>
      </c>
      <c r="B52" s="18" t="s">
        <v>123</v>
      </c>
      <c r="C52" s="12" t="s">
        <v>124</v>
      </c>
      <c r="D52" s="15" t="s">
        <v>108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125</v>
      </c>
      <c r="C55" s="5"/>
      <c r="D55" s="24"/>
      <c r="E55" s="221"/>
    </row>
    <row r="56" customHeight="1" spans="1:5">
      <c r="A56" s="10">
        <v>1</v>
      </c>
      <c r="B56" s="11" t="s">
        <v>126</v>
      </c>
      <c r="C56" s="4" t="s">
        <v>127</v>
      </c>
      <c r="D56" s="10" t="s">
        <v>128</v>
      </c>
      <c r="E56" s="85">
        <v>1647612</v>
      </c>
    </row>
    <row r="57" customHeight="1" spans="1:5">
      <c r="A57" s="10">
        <v>2</v>
      </c>
      <c r="B57" s="11" t="s">
        <v>129</v>
      </c>
      <c r="C57" s="4" t="s">
        <v>130</v>
      </c>
      <c r="D57" s="10" t="s">
        <v>131</v>
      </c>
      <c r="E57" s="85">
        <v>744477</v>
      </c>
    </row>
    <row r="58" customHeight="1" spans="1:5">
      <c r="A58" s="10">
        <v>3</v>
      </c>
      <c r="B58" s="11" t="s">
        <v>132</v>
      </c>
      <c r="C58" s="4" t="s">
        <v>130</v>
      </c>
      <c r="D58" s="10" t="s">
        <v>131</v>
      </c>
      <c r="E58" s="85">
        <v>744477</v>
      </c>
    </row>
    <row r="59" customHeight="1" spans="1:5">
      <c r="A59" s="10">
        <v>4</v>
      </c>
      <c r="B59" s="11" t="s">
        <v>133</v>
      </c>
      <c r="C59" s="4" t="s">
        <v>130</v>
      </c>
      <c r="D59" s="10" t="s">
        <v>38</v>
      </c>
      <c r="E59" s="85">
        <v>722595.5</v>
      </c>
    </row>
    <row r="60" customHeight="1" spans="1:5">
      <c r="A60" s="10">
        <v>5</v>
      </c>
      <c r="B60" s="14" t="s">
        <v>134</v>
      </c>
      <c r="C60" s="4" t="s">
        <v>130</v>
      </c>
      <c r="D60" s="10" t="s">
        <v>49</v>
      </c>
      <c r="E60" s="85">
        <v>700713.916666666</v>
      </c>
    </row>
    <row r="61" s="1" customFormat="1" customHeight="1" spans="1:5">
      <c r="A61" s="10">
        <v>6</v>
      </c>
      <c r="B61" s="18" t="s">
        <v>135</v>
      </c>
      <c r="C61" s="4" t="s">
        <v>136</v>
      </c>
      <c r="D61" s="15" t="s">
        <v>137</v>
      </c>
      <c r="E61" s="220">
        <v>441159</v>
      </c>
    </row>
    <row r="62" customHeight="1" spans="1:5">
      <c r="A62" s="10">
        <v>7</v>
      </c>
      <c r="B62" s="11" t="s">
        <v>138</v>
      </c>
      <c r="C62" s="4" t="s">
        <v>139</v>
      </c>
      <c r="D62" s="10" t="s">
        <v>119</v>
      </c>
      <c r="E62" s="85">
        <v>390135.833333334</v>
      </c>
    </row>
    <row r="63" s="1" customFormat="1" customHeight="1" spans="1:5">
      <c r="A63" s="10">
        <v>8</v>
      </c>
      <c r="B63" s="11" t="s">
        <v>140</v>
      </c>
      <c r="C63" s="4" t="s">
        <v>141</v>
      </c>
      <c r="D63" s="10" t="s">
        <v>73</v>
      </c>
      <c r="E63" s="85">
        <v>372145.333333333</v>
      </c>
    </row>
    <row r="64" customHeight="1" spans="1:5">
      <c r="A64" s="10">
        <v>9</v>
      </c>
      <c r="B64" s="11" t="s">
        <v>142</v>
      </c>
      <c r="C64" s="4" t="s">
        <v>139</v>
      </c>
      <c r="D64" s="10" t="s">
        <v>84</v>
      </c>
      <c r="E64" s="85">
        <v>347016.166666666</v>
      </c>
    </row>
    <row r="65" customHeight="1" spans="1:5">
      <c r="A65" s="10">
        <v>10</v>
      </c>
      <c r="B65" s="11" t="s">
        <v>143</v>
      </c>
      <c r="C65" s="4" t="s">
        <v>139</v>
      </c>
      <c r="D65" s="10" t="s">
        <v>84</v>
      </c>
      <c r="E65" s="85">
        <v>347016.166666666</v>
      </c>
    </row>
    <row r="66" s="1" customFormat="1" ht="18.75" customHeight="1" spans="1:5">
      <c r="A66" s="10">
        <v>11</v>
      </c>
      <c r="B66" s="18" t="s">
        <v>144</v>
      </c>
      <c r="C66" s="4" t="s">
        <v>139</v>
      </c>
      <c r="D66" s="10" t="s">
        <v>96</v>
      </c>
      <c r="E66" s="85">
        <v>330407.083333333</v>
      </c>
    </row>
    <row r="67" ht="25.5" customHeight="1" spans="1:5">
      <c r="A67" s="10"/>
      <c r="B67" s="20" t="s">
        <v>111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46"/>
    </row>
    <row r="69" customHeight="1" spans="1:5">
      <c r="A69" s="10"/>
      <c r="B69" s="20" t="s">
        <v>145</v>
      </c>
      <c r="C69" s="21"/>
      <c r="D69" s="21"/>
      <c r="E69" s="146"/>
    </row>
    <row r="70" customHeight="1" spans="1:5">
      <c r="A70" s="10">
        <v>1</v>
      </c>
      <c r="B70" s="11" t="s">
        <v>146</v>
      </c>
      <c r="C70" s="12" t="s">
        <v>147</v>
      </c>
      <c r="D70" s="15" t="s">
        <v>115</v>
      </c>
      <c r="E70" s="85">
        <v>1747106.41666666</v>
      </c>
    </row>
    <row r="71" customHeight="1" spans="1:5">
      <c r="A71" s="10">
        <v>2</v>
      </c>
      <c r="B71" s="11" t="s">
        <v>148</v>
      </c>
      <c r="C71" s="12" t="s">
        <v>149</v>
      </c>
      <c r="D71" s="15" t="s">
        <v>150</v>
      </c>
      <c r="E71" s="85">
        <v>744477</v>
      </c>
    </row>
    <row r="72" customHeight="1" spans="1:5">
      <c r="A72" s="10"/>
      <c r="B72" s="20" t="s">
        <v>111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46"/>
    </row>
    <row r="74" customHeight="1" spans="1:5">
      <c r="A74" s="10"/>
      <c r="B74" s="20" t="s">
        <v>151</v>
      </c>
      <c r="C74" s="21"/>
      <c r="D74" s="21"/>
      <c r="E74" s="146"/>
    </row>
    <row r="75" customHeight="1" spans="1:5">
      <c r="A75" s="10">
        <v>1</v>
      </c>
      <c r="B75" s="14" t="s">
        <v>152</v>
      </c>
      <c r="C75" s="4" t="s">
        <v>153</v>
      </c>
      <c r="D75" s="10" t="s">
        <v>154</v>
      </c>
      <c r="E75" s="85">
        <v>905306.75</v>
      </c>
    </row>
    <row r="76" customHeight="1" spans="1:5">
      <c r="A76" s="10">
        <v>2</v>
      </c>
      <c r="B76" s="11" t="s">
        <v>155</v>
      </c>
      <c r="C76" s="4" t="s">
        <v>156</v>
      </c>
      <c r="D76" s="10" t="s">
        <v>46</v>
      </c>
      <c r="E76" s="85">
        <v>558165.25</v>
      </c>
    </row>
    <row r="77" s="1" customFormat="1" customHeight="1" spans="1:5">
      <c r="A77" s="10">
        <v>3</v>
      </c>
      <c r="B77" s="18" t="s">
        <v>157</v>
      </c>
      <c r="C77" s="17" t="s">
        <v>158</v>
      </c>
      <c r="D77" s="15" t="s">
        <v>159</v>
      </c>
      <c r="E77" s="85">
        <v>482846.583333333</v>
      </c>
    </row>
    <row r="78" s="1" customFormat="1" customHeight="1" spans="1:5">
      <c r="A78" s="10">
        <v>4</v>
      </c>
      <c r="B78" s="18" t="s">
        <v>160</v>
      </c>
      <c r="C78" s="17" t="s">
        <v>158</v>
      </c>
      <c r="D78" s="15" t="s">
        <v>159</v>
      </c>
      <c r="E78" s="85">
        <v>482846.583333333</v>
      </c>
    </row>
    <row r="79" customHeight="1" spans="1:5">
      <c r="A79" s="10">
        <v>5</v>
      </c>
      <c r="B79" s="11" t="s">
        <v>161</v>
      </c>
      <c r="C79" s="4" t="s">
        <v>139</v>
      </c>
      <c r="D79" s="10" t="s">
        <v>162</v>
      </c>
      <c r="E79" s="85">
        <v>468828.166666667</v>
      </c>
    </row>
    <row r="80" customHeight="1" spans="1:5">
      <c r="A80" s="10">
        <v>6</v>
      </c>
      <c r="B80" s="11" t="s">
        <v>163</v>
      </c>
      <c r="C80" s="17" t="s">
        <v>70</v>
      </c>
      <c r="D80" s="10" t="s">
        <v>162</v>
      </c>
      <c r="E80" s="85">
        <v>468828.166666667</v>
      </c>
    </row>
    <row r="81" customHeight="1" spans="1:5">
      <c r="A81" s="10">
        <v>7</v>
      </c>
      <c r="B81" s="11" t="s">
        <v>164</v>
      </c>
      <c r="C81" s="17" t="s">
        <v>70</v>
      </c>
      <c r="D81" s="10" t="s">
        <v>162</v>
      </c>
      <c r="E81" s="85">
        <v>468828.166666667</v>
      </c>
    </row>
    <row r="82" customHeight="1" spans="1:5">
      <c r="A82" s="10">
        <v>8</v>
      </c>
      <c r="B82" s="11" t="s">
        <v>165</v>
      </c>
      <c r="C82" s="4" t="s">
        <v>166</v>
      </c>
      <c r="D82" s="10" t="s">
        <v>65</v>
      </c>
      <c r="E82" s="457">
        <v>482662.666666667</v>
      </c>
    </row>
    <row r="83" s="1" customFormat="1" customHeight="1" spans="1:5">
      <c r="A83" s="10">
        <v>9</v>
      </c>
      <c r="B83" s="14" t="s">
        <v>167</v>
      </c>
      <c r="C83" s="17" t="s">
        <v>64</v>
      </c>
      <c r="D83" s="10" t="s">
        <v>137</v>
      </c>
      <c r="E83" s="85">
        <v>441159</v>
      </c>
    </row>
    <row r="84" ht="21.6" customHeight="1" spans="1:5">
      <c r="A84" s="10">
        <v>10</v>
      </c>
      <c r="B84" s="11" t="s">
        <v>168</v>
      </c>
      <c r="C84" s="4" t="s">
        <v>139</v>
      </c>
      <c r="D84" s="10" t="s">
        <v>119</v>
      </c>
      <c r="E84" s="220">
        <v>390135.833333334</v>
      </c>
    </row>
    <row r="85" ht="27" customHeight="1" spans="1:5">
      <c r="A85" s="10"/>
      <c r="B85" s="20" t="s">
        <v>111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46"/>
    </row>
    <row r="87" customHeight="1" spans="1:5">
      <c r="A87" s="10"/>
      <c r="B87" s="20" t="s">
        <v>169</v>
      </c>
      <c r="C87" s="21"/>
      <c r="D87" s="21"/>
      <c r="E87" s="146"/>
    </row>
    <row r="88" customHeight="1" spans="1:5">
      <c r="A88" s="10">
        <v>1</v>
      </c>
      <c r="B88" s="11" t="s">
        <v>170</v>
      </c>
      <c r="C88" s="4" t="s">
        <v>171</v>
      </c>
      <c r="D88" s="10" t="s">
        <v>115</v>
      </c>
      <c r="E88" s="85">
        <v>1747106.41666666</v>
      </c>
    </row>
    <row r="89" customHeight="1" spans="1:5">
      <c r="A89" s="10">
        <v>2</v>
      </c>
      <c r="B89" s="11" t="s">
        <v>174</v>
      </c>
      <c r="C89" s="4" t="s">
        <v>175</v>
      </c>
      <c r="D89" s="10" t="s">
        <v>49</v>
      </c>
      <c r="E89" s="85">
        <v>722595.5</v>
      </c>
    </row>
    <row r="90" customHeight="1" spans="1:5">
      <c r="A90" s="10">
        <v>3</v>
      </c>
      <c r="B90" s="11" t="s">
        <v>176</v>
      </c>
      <c r="C90" s="4" t="s">
        <v>177</v>
      </c>
      <c r="D90" s="15" t="s">
        <v>178</v>
      </c>
      <c r="E90" s="85">
        <v>573911.083333334</v>
      </c>
    </row>
    <row r="91" customHeight="1" spans="1:5">
      <c r="A91" s="10">
        <v>3</v>
      </c>
      <c r="B91" s="11" t="s">
        <v>179</v>
      </c>
      <c r="C91" s="12" t="s">
        <v>180</v>
      </c>
      <c r="D91" s="15" t="s">
        <v>159</v>
      </c>
      <c r="E91" s="85">
        <v>482846.583333334</v>
      </c>
    </row>
    <row r="92" s="1" customFormat="1" customHeight="1" spans="1:5">
      <c r="A92" s="10">
        <v>4</v>
      </c>
      <c r="B92" s="11" t="s">
        <v>181</v>
      </c>
      <c r="C92" s="4" t="s">
        <v>182</v>
      </c>
      <c r="D92" s="15" t="s">
        <v>159</v>
      </c>
      <c r="E92" s="85">
        <v>482846.583333333</v>
      </c>
    </row>
    <row r="93" customHeight="1" spans="1:5">
      <c r="A93" s="10">
        <v>5</v>
      </c>
      <c r="B93" s="11" t="s">
        <v>183</v>
      </c>
      <c r="C93" s="4" t="s">
        <v>184</v>
      </c>
      <c r="D93" s="10" t="s">
        <v>68</v>
      </c>
      <c r="E93" s="85">
        <v>454993.583333333</v>
      </c>
    </row>
    <row r="94" customHeight="1" spans="1:5">
      <c r="A94" s="10">
        <v>6</v>
      </c>
      <c r="B94" s="11" t="s">
        <v>185</v>
      </c>
      <c r="C94" s="4" t="s">
        <v>186</v>
      </c>
      <c r="D94" s="10" t="s">
        <v>87</v>
      </c>
      <c r="E94" s="85">
        <v>347016.166666666</v>
      </c>
    </row>
    <row r="95" customHeight="1" spans="1:5">
      <c r="A95" s="10">
        <v>7</v>
      </c>
      <c r="B95" s="11" t="s">
        <v>187</v>
      </c>
      <c r="C95" s="4" t="s">
        <v>188</v>
      </c>
      <c r="D95" s="10" t="s">
        <v>102</v>
      </c>
      <c r="E95" s="85">
        <v>301910.75</v>
      </c>
    </row>
    <row r="96" customHeight="1" spans="1:5">
      <c r="A96" s="10"/>
      <c r="B96" s="20" t="s">
        <v>111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46"/>
    </row>
    <row r="98" customHeight="1" spans="1:5">
      <c r="A98" s="10"/>
      <c r="B98" s="20" t="s">
        <v>189</v>
      </c>
      <c r="C98" s="25"/>
      <c r="D98" s="21"/>
      <c r="E98" s="146"/>
    </row>
    <row r="99" customHeight="1" spans="1:5">
      <c r="A99" s="10">
        <v>1</v>
      </c>
      <c r="B99" s="11" t="s">
        <v>190</v>
      </c>
      <c r="C99" s="4" t="s">
        <v>191</v>
      </c>
      <c r="D99" s="10" t="s">
        <v>128</v>
      </c>
      <c r="E99" s="85">
        <v>1647612</v>
      </c>
    </row>
    <row r="100" customHeight="1" spans="1:5">
      <c r="A100" s="10">
        <v>2</v>
      </c>
      <c r="B100" s="11" t="s">
        <v>192</v>
      </c>
      <c r="C100" s="4" t="s">
        <v>193</v>
      </c>
      <c r="D100" s="10" t="s">
        <v>194</v>
      </c>
      <c r="E100" s="85">
        <v>852711.083333333</v>
      </c>
    </row>
    <row r="101" customHeight="1" spans="1:5">
      <c r="A101" s="10">
        <v>3</v>
      </c>
      <c r="B101" s="11" t="s">
        <v>195</v>
      </c>
      <c r="C101" s="4" t="s">
        <v>130</v>
      </c>
      <c r="D101" s="10" t="s">
        <v>38</v>
      </c>
      <c r="E101" s="85">
        <v>722595.5</v>
      </c>
    </row>
    <row r="102" ht="21.6" customHeight="1" spans="1:5">
      <c r="A102" s="10">
        <v>4</v>
      </c>
      <c r="B102" s="11" t="s">
        <v>196</v>
      </c>
      <c r="C102" s="4" t="s">
        <v>156</v>
      </c>
      <c r="D102" s="15" t="s">
        <v>46</v>
      </c>
      <c r="E102" s="85">
        <v>558165.25</v>
      </c>
    </row>
    <row r="103" ht="21.6" customHeight="1" spans="1:5">
      <c r="A103" s="10">
        <v>5</v>
      </c>
      <c r="B103" s="11" t="s">
        <v>197</v>
      </c>
      <c r="C103" s="4" t="s">
        <v>156</v>
      </c>
      <c r="D103" s="15" t="s">
        <v>46</v>
      </c>
      <c r="E103" s="85">
        <v>558166.25</v>
      </c>
    </row>
    <row r="104" ht="21.6" customHeight="1" spans="1:5">
      <c r="A104" s="10">
        <v>6</v>
      </c>
      <c r="B104" s="11" t="s">
        <v>198</v>
      </c>
      <c r="C104" s="12" t="s">
        <v>156</v>
      </c>
      <c r="D104" s="15" t="s">
        <v>199</v>
      </c>
      <c r="E104" s="85">
        <v>542419.5</v>
      </c>
    </row>
    <row r="105" ht="21.6" customHeight="1" spans="1:5">
      <c r="A105" s="10">
        <v>7</v>
      </c>
      <c r="B105" s="11" t="s">
        <v>200</v>
      </c>
      <c r="C105" s="17" t="s">
        <v>70</v>
      </c>
      <c r="D105" s="15" t="s">
        <v>162</v>
      </c>
      <c r="E105" s="85">
        <v>468828.166666667</v>
      </c>
    </row>
    <row r="106" ht="21.6" customHeight="1" spans="1:5">
      <c r="A106" s="10">
        <v>8</v>
      </c>
      <c r="B106" s="11" t="s">
        <v>201</v>
      </c>
      <c r="C106" s="17" t="s">
        <v>158</v>
      </c>
      <c r="D106" s="15" t="s">
        <v>202</v>
      </c>
      <c r="E106" s="85">
        <v>497472.75</v>
      </c>
    </row>
    <row r="107" s="1" customFormat="1" customHeight="1" spans="1:5">
      <c r="A107" s="10">
        <v>9</v>
      </c>
      <c r="B107" s="18" t="s">
        <v>203</v>
      </c>
      <c r="C107" s="4" t="s">
        <v>136</v>
      </c>
      <c r="D107" s="15" t="s">
        <v>137</v>
      </c>
      <c r="E107" s="220">
        <v>441159</v>
      </c>
    </row>
    <row r="108" ht="21.6" customHeight="1" spans="1:5">
      <c r="A108" s="10">
        <v>10</v>
      </c>
      <c r="B108" s="11" t="s">
        <v>204</v>
      </c>
      <c r="C108" s="4" t="s">
        <v>205</v>
      </c>
      <c r="D108" s="10" t="s">
        <v>119</v>
      </c>
      <c r="E108" s="220">
        <v>390135.833333334</v>
      </c>
    </row>
    <row r="109" ht="21.6" customHeight="1" spans="1:5">
      <c r="A109" s="10">
        <v>11</v>
      </c>
      <c r="B109" s="11" t="s">
        <v>206</v>
      </c>
      <c r="C109" s="17" t="s">
        <v>207</v>
      </c>
      <c r="D109" s="15" t="s">
        <v>208</v>
      </c>
      <c r="E109" s="220">
        <v>308920.666666667</v>
      </c>
    </row>
    <row r="110" customHeight="1" spans="1:5">
      <c r="A110" s="10"/>
      <c r="B110" s="20" t="s">
        <v>111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46"/>
    </row>
    <row r="112" customHeight="1" spans="1:5">
      <c r="A112" s="10"/>
      <c r="B112" s="20" t="s">
        <v>209</v>
      </c>
      <c r="C112" s="21"/>
      <c r="D112" s="21"/>
      <c r="E112" s="146"/>
    </row>
    <row r="113" customHeight="1" spans="1:5">
      <c r="A113" s="10">
        <v>1</v>
      </c>
      <c r="B113" s="14" t="s">
        <v>210</v>
      </c>
      <c r="C113" s="4" t="s">
        <v>211</v>
      </c>
      <c r="D113" s="16" t="s">
        <v>212</v>
      </c>
      <c r="E113" s="85">
        <v>1697359.33333333</v>
      </c>
    </row>
    <row r="114" customHeight="1" spans="1:5">
      <c r="A114" s="10">
        <v>2</v>
      </c>
      <c r="B114" s="11" t="s">
        <v>213</v>
      </c>
      <c r="C114" s="4" t="s">
        <v>214</v>
      </c>
      <c r="D114" s="15" t="s">
        <v>178</v>
      </c>
      <c r="E114" s="85">
        <v>573911.083333334</v>
      </c>
    </row>
    <row r="115" customHeight="1" spans="1:5">
      <c r="A115" s="10">
        <v>3</v>
      </c>
      <c r="B115" s="11" t="s">
        <v>215</v>
      </c>
      <c r="C115" s="12" t="s">
        <v>216</v>
      </c>
      <c r="D115" s="15" t="s">
        <v>202</v>
      </c>
      <c r="E115" s="85">
        <v>497472.75</v>
      </c>
    </row>
    <row r="116" s="1" customFormat="1" customHeight="1" spans="1:5">
      <c r="A116" s="10">
        <v>4</v>
      </c>
      <c r="B116" s="11" t="s">
        <v>217</v>
      </c>
      <c r="C116" s="4" t="s">
        <v>218</v>
      </c>
      <c r="D116" s="15" t="s">
        <v>159</v>
      </c>
      <c r="E116" s="62">
        <v>482846.583333333</v>
      </c>
    </row>
    <row r="117" customHeight="1" spans="1:5">
      <c r="A117" s="10">
        <v>5</v>
      </c>
      <c r="B117" s="11" t="s">
        <v>219</v>
      </c>
      <c r="C117" s="4" t="s">
        <v>220</v>
      </c>
      <c r="D117" s="15" t="s">
        <v>65</v>
      </c>
      <c r="E117" s="85">
        <v>482662.666666667</v>
      </c>
    </row>
    <row r="118" customHeight="1" spans="1:5">
      <c r="A118" s="10">
        <v>6</v>
      </c>
      <c r="B118" s="11" t="s">
        <v>221</v>
      </c>
      <c r="C118" s="4" t="s">
        <v>222</v>
      </c>
      <c r="D118" s="15" t="s">
        <v>119</v>
      </c>
      <c r="E118" s="220">
        <v>390135.833333334</v>
      </c>
    </row>
    <row r="119" customHeight="1" spans="1:5">
      <c r="A119" s="4"/>
      <c r="B119" s="20" t="s">
        <v>111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46"/>
    </row>
    <row r="121" customHeight="1" spans="1:5">
      <c r="A121" s="4"/>
      <c r="B121" s="20" t="s">
        <v>223</v>
      </c>
      <c r="C121" s="4"/>
      <c r="D121" s="4"/>
      <c r="E121" s="4"/>
    </row>
    <row r="122" customHeight="1" spans="1:5">
      <c r="A122" s="4">
        <v>1</v>
      </c>
      <c r="B122" s="11" t="s">
        <v>224</v>
      </c>
      <c r="C122" s="12" t="s">
        <v>225</v>
      </c>
      <c r="D122" s="15" t="s">
        <v>115</v>
      </c>
      <c r="E122" s="85">
        <v>1747106.41666666</v>
      </c>
    </row>
    <row r="123" customHeight="1" spans="1:5">
      <c r="A123" s="4">
        <v>2</v>
      </c>
      <c r="B123" s="11" t="s">
        <v>226</v>
      </c>
      <c r="C123" s="4" t="s">
        <v>227</v>
      </c>
      <c r="D123" s="16" t="s">
        <v>154</v>
      </c>
      <c r="E123" s="85">
        <v>905306.75</v>
      </c>
    </row>
    <row r="124" customHeight="1" spans="1:5">
      <c r="A124" s="4">
        <v>3</v>
      </c>
      <c r="B124" s="11" t="s">
        <v>228</v>
      </c>
      <c r="C124" s="4" t="s">
        <v>442</v>
      </c>
      <c r="D124" s="10" t="s">
        <v>52</v>
      </c>
      <c r="E124" s="85">
        <v>541351.333333333</v>
      </c>
    </row>
    <row r="125" customHeight="1" spans="1:5">
      <c r="A125" s="4">
        <v>4</v>
      </c>
      <c r="B125" s="11" t="s">
        <v>231</v>
      </c>
      <c r="C125" s="4" t="s">
        <v>442</v>
      </c>
      <c r="D125" s="10" t="s">
        <v>230</v>
      </c>
      <c r="E125" s="85">
        <v>542419.5</v>
      </c>
    </row>
    <row r="126" customHeight="1" spans="1:5">
      <c r="A126" s="4">
        <v>5</v>
      </c>
      <c r="B126" s="11" t="s">
        <v>232</v>
      </c>
      <c r="C126" s="4" t="s">
        <v>233</v>
      </c>
      <c r="D126" s="15" t="s">
        <v>234</v>
      </c>
      <c r="E126" s="220">
        <v>329950.416666667</v>
      </c>
    </row>
    <row r="127" customHeight="1" spans="1:5">
      <c r="A127" s="4">
        <v>6</v>
      </c>
      <c r="B127" s="18" t="s">
        <v>235</v>
      </c>
      <c r="C127" s="4" t="s">
        <v>233</v>
      </c>
      <c r="D127" s="10" t="s">
        <v>96</v>
      </c>
      <c r="E127" s="220">
        <v>330407.083333333</v>
      </c>
    </row>
    <row r="128" customHeight="1" spans="1:5">
      <c r="A128" s="4">
        <v>7</v>
      </c>
      <c r="B128" s="18" t="s">
        <v>236</v>
      </c>
      <c r="C128" s="4" t="s">
        <v>233</v>
      </c>
      <c r="D128" s="15" t="s">
        <v>208</v>
      </c>
      <c r="E128" s="220">
        <v>308920.666666667</v>
      </c>
    </row>
    <row r="129" ht="25.5" customHeight="1" spans="1:5">
      <c r="A129" s="4"/>
      <c r="B129" s="20" t="s">
        <v>111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237</v>
      </c>
      <c r="C131" s="21"/>
      <c r="D131" s="21"/>
      <c r="E131" s="146"/>
    </row>
    <row r="132" ht="18.75" customHeight="1" spans="1:5">
      <c r="A132" s="10">
        <v>1</v>
      </c>
      <c r="B132" s="11" t="s">
        <v>238</v>
      </c>
      <c r="C132" s="4" t="s">
        <v>239</v>
      </c>
      <c r="D132" s="15" t="s">
        <v>65</v>
      </c>
      <c r="E132" s="85">
        <v>482662.666666667</v>
      </c>
    </row>
    <row r="133" ht="18.75" customHeight="1" spans="1:5">
      <c r="A133" s="10">
        <v>2</v>
      </c>
      <c r="B133" s="11" t="s">
        <v>240</v>
      </c>
      <c r="C133" s="4" t="s">
        <v>70</v>
      </c>
      <c r="D133" s="15" t="s">
        <v>162</v>
      </c>
      <c r="E133" s="85">
        <v>468828.166666667</v>
      </c>
    </row>
    <row r="134" s="1" customFormat="1" ht="18.75" customHeight="1" spans="1:5">
      <c r="A134" s="10">
        <v>4</v>
      </c>
      <c r="B134" s="18" t="s">
        <v>241</v>
      </c>
      <c r="C134" s="4" t="s">
        <v>139</v>
      </c>
      <c r="D134" s="10" t="s">
        <v>96</v>
      </c>
      <c r="E134" s="85">
        <v>330407.083333333</v>
      </c>
    </row>
    <row r="135" s="1" customFormat="1" ht="18.75" customHeight="1" spans="1:5">
      <c r="A135" s="10">
        <v>5</v>
      </c>
      <c r="B135" s="18" t="s">
        <v>242</v>
      </c>
      <c r="C135" s="4" t="s">
        <v>139</v>
      </c>
      <c r="D135" s="10" t="s">
        <v>96</v>
      </c>
      <c r="E135" s="85">
        <v>330407.083333333</v>
      </c>
    </row>
    <row r="136" s="1" customFormat="1" customHeight="1" spans="1:5">
      <c r="A136" s="10">
        <v>6</v>
      </c>
      <c r="B136" s="18" t="s">
        <v>243</v>
      </c>
      <c r="C136" s="12" t="s">
        <v>244</v>
      </c>
      <c r="D136" s="15" t="s">
        <v>108</v>
      </c>
      <c r="E136" s="85">
        <v>287890.916666667</v>
      </c>
    </row>
    <row r="137" ht="24.75" customHeight="1" spans="1:5">
      <c r="A137" s="4"/>
      <c r="B137" s="20" t="s">
        <v>111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245</v>
      </c>
      <c r="C139" s="21"/>
      <c r="D139" s="21"/>
      <c r="E139" s="146"/>
    </row>
    <row r="140" s="1" customFormat="1" ht="18.75" customHeight="1" spans="1:5">
      <c r="A140" s="27">
        <v>1</v>
      </c>
      <c r="B140" s="18" t="s">
        <v>246</v>
      </c>
      <c r="C140" s="4" t="s">
        <v>247</v>
      </c>
      <c r="D140" s="10" t="s">
        <v>96</v>
      </c>
      <c r="E140" s="85">
        <v>330407.083333333</v>
      </c>
    </row>
    <row r="141" ht="24.75" customHeight="1" spans="1:5">
      <c r="A141" s="10">
        <v>2</v>
      </c>
      <c r="B141" s="11" t="s">
        <v>248</v>
      </c>
      <c r="C141" s="4" t="s">
        <v>249</v>
      </c>
      <c r="D141" s="10" t="s">
        <v>108</v>
      </c>
      <c r="E141" s="85">
        <v>287890.916666667</v>
      </c>
    </row>
    <row r="142" ht="24.75" customHeight="1" spans="1:5">
      <c r="A142" s="10">
        <v>3</v>
      </c>
      <c r="B142" s="11" t="s">
        <v>250</v>
      </c>
      <c r="C142" s="4" t="s">
        <v>251</v>
      </c>
      <c r="D142" s="10" t="s">
        <v>108</v>
      </c>
      <c r="E142" s="85">
        <v>287890.916666667</v>
      </c>
    </row>
    <row r="143" customHeight="1" spans="1:5">
      <c r="A143" s="4"/>
      <c r="B143" s="20" t="s">
        <v>111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5">
      <c r="A145" s="4"/>
      <c r="B145" s="20" t="s">
        <v>252</v>
      </c>
      <c r="C145" s="21"/>
      <c r="D145" s="21"/>
      <c r="E145" s="146"/>
    </row>
    <row r="146" customHeight="1" spans="1:5">
      <c r="A146" s="4">
        <v>1</v>
      </c>
      <c r="B146" s="11" t="s">
        <v>253</v>
      </c>
      <c r="C146" s="12" t="s">
        <v>254</v>
      </c>
      <c r="D146" s="15" t="s">
        <v>115</v>
      </c>
      <c r="E146" s="85">
        <v>1747106.41666666</v>
      </c>
    </row>
    <row r="147" customHeight="1" spans="1:5">
      <c r="A147" s="4">
        <v>2</v>
      </c>
      <c r="B147" s="11" t="s">
        <v>255</v>
      </c>
      <c r="C147" s="12" t="s">
        <v>256</v>
      </c>
      <c r="D147" s="15" t="s">
        <v>154</v>
      </c>
      <c r="E147" s="85">
        <v>905306.75</v>
      </c>
    </row>
    <row r="148" customHeight="1" spans="1:6">
      <c r="A148" s="4">
        <v>3</v>
      </c>
      <c r="B148" s="14" t="s">
        <v>257</v>
      </c>
      <c r="C148" s="12" t="s">
        <v>258</v>
      </c>
      <c r="D148" s="15" t="s">
        <v>35</v>
      </c>
      <c r="E148" s="85">
        <v>879008.916666667</v>
      </c>
      <c r="F148" s="13"/>
    </row>
    <row r="149" customHeight="1" spans="1:5">
      <c r="A149" s="4">
        <v>4</v>
      </c>
      <c r="B149" s="11" t="s">
        <v>259</v>
      </c>
      <c r="C149" s="12" t="s">
        <v>260</v>
      </c>
      <c r="D149" s="15" t="s">
        <v>41</v>
      </c>
      <c r="E149" s="85">
        <v>589657</v>
      </c>
    </row>
    <row r="150" customHeight="1" spans="1:5">
      <c r="A150" s="4">
        <v>5</v>
      </c>
      <c r="B150" s="11" t="s">
        <v>261</v>
      </c>
      <c r="C150" s="12" t="s">
        <v>260</v>
      </c>
      <c r="D150" s="15" t="s">
        <v>46</v>
      </c>
      <c r="E150" s="85">
        <v>558165.25</v>
      </c>
    </row>
    <row r="151" customHeight="1" spans="1:5">
      <c r="A151" s="4">
        <v>6</v>
      </c>
      <c r="B151" s="11" t="s">
        <v>262</v>
      </c>
      <c r="C151" s="12" t="s">
        <v>260</v>
      </c>
      <c r="D151" s="15" t="s">
        <v>178</v>
      </c>
      <c r="E151" s="85">
        <v>573911.083333334</v>
      </c>
    </row>
    <row r="152" s="1" customFormat="1" customHeight="1" spans="1:5">
      <c r="A152" s="4">
        <v>7</v>
      </c>
      <c r="B152" s="18" t="s">
        <v>263</v>
      </c>
      <c r="C152" s="12" t="s">
        <v>264</v>
      </c>
      <c r="D152" s="15" t="s">
        <v>73</v>
      </c>
      <c r="E152" s="85">
        <v>372145.333333333</v>
      </c>
    </row>
    <row r="153" customHeight="1" spans="1:5">
      <c r="A153" s="4">
        <v>8</v>
      </c>
      <c r="B153" s="11" t="s">
        <v>265</v>
      </c>
      <c r="C153" s="12" t="s">
        <v>266</v>
      </c>
      <c r="D153" s="10" t="s">
        <v>79</v>
      </c>
      <c r="E153" s="85">
        <v>355320.666666667</v>
      </c>
    </row>
    <row r="154" customHeight="1" spans="1:5">
      <c r="A154" s="4">
        <v>9</v>
      </c>
      <c r="B154" s="18" t="s">
        <v>267</v>
      </c>
      <c r="C154" s="12" t="s">
        <v>268</v>
      </c>
      <c r="D154" s="15" t="s">
        <v>102</v>
      </c>
      <c r="E154" s="85">
        <v>301910.75</v>
      </c>
    </row>
    <row r="155" customHeight="1" spans="1:5">
      <c r="A155" s="4">
        <v>10</v>
      </c>
      <c r="B155" s="18" t="s">
        <v>269</v>
      </c>
      <c r="C155" s="12" t="s">
        <v>264</v>
      </c>
      <c r="D155" s="15" t="s">
        <v>102</v>
      </c>
      <c r="E155" s="85">
        <v>301910.75</v>
      </c>
    </row>
    <row r="156" customHeight="1" spans="1:5">
      <c r="A156" s="4">
        <v>11</v>
      </c>
      <c r="B156" s="18" t="s">
        <v>270</v>
      </c>
      <c r="C156" s="12" t="s">
        <v>268</v>
      </c>
      <c r="D156" s="15" t="s">
        <v>105</v>
      </c>
      <c r="E156" s="939">
        <v>294900.833333334</v>
      </c>
    </row>
    <row r="157" ht="28.5" customHeight="1" spans="1:5">
      <c r="A157" s="4"/>
      <c r="B157" s="20" t="s">
        <v>111</v>
      </c>
      <c r="C157" s="26" t="s">
        <v>271</v>
      </c>
      <c r="D157" s="15"/>
      <c r="E157" s="221">
        <f>SUM(E146:E156)</f>
        <v>6879343.74999999</v>
      </c>
    </row>
    <row r="158" customHeight="1" spans="1:5">
      <c r="A158" s="4"/>
      <c r="B158" s="22"/>
      <c r="C158" s="26"/>
      <c r="D158" s="15"/>
      <c r="E158" s="146"/>
    </row>
    <row r="159" customHeight="1" spans="1:5">
      <c r="A159" s="4"/>
      <c r="B159" s="20" t="s">
        <v>272</v>
      </c>
      <c r="C159" s="12"/>
      <c r="D159" s="15"/>
      <c r="E159" s="85"/>
    </row>
    <row r="160" customHeight="1" spans="1:5">
      <c r="A160" s="27">
        <v>1</v>
      </c>
      <c r="B160" s="14" t="s">
        <v>273</v>
      </c>
      <c r="C160" s="4" t="s">
        <v>274</v>
      </c>
      <c r="D160" s="10" t="s">
        <v>275</v>
      </c>
      <c r="E160" s="85">
        <v>1647612</v>
      </c>
    </row>
    <row r="161" customHeight="1" spans="1:5">
      <c r="A161" s="27">
        <v>2</v>
      </c>
      <c r="B161" s="14" t="s">
        <v>276</v>
      </c>
      <c r="C161" s="4" t="s">
        <v>277</v>
      </c>
      <c r="D161" s="16" t="s">
        <v>154</v>
      </c>
      <c r="E161" s="85">
        <v>905306.75</v>
      </c>
    </row>
    <row r="162" customHeight="1" spans="1:5">
      <c r="A162" s="27">
        <v>3</v>
      </c>
      <c r="B162" s="11" t="s">
        <v>278</v>
      </c>
      <c r="C162" s="12" t="s">
        <v>279</v>
      </c>
      <c r="D162" s="15" t="s">
        <v>49</v>
      </c>
      <c r="E162" s="85">
        <v>700713.916666666</v>
      </c>
    </row>
    <row r="163" customHeight="1" spans="1:5">
      <c r="A163" s="27">
        <v>4</v>
      </c>
      <c r="B163" s="11" t="s">
        <v>280</v>
      </c>
      <c r="C163" s="4" t="s">
        <v>281</v>
      </c>
      <c r="D163" s="15" t="s">
        <v>49</v>
      </c>
      <c r="E163" s="85">
        <v>700713.916666666</v>
      </c>
    </row>
    <row r="164" customHeight="1" spans="1:5">
      <c r="A164" s="27">
        <v>5</v>
      </c>
      <c r="B164" s="11" t="s">
        <v>282</v>
      </c>
      <c r="C164" s="4" t="s">
        <v>281</v>
      </c>
      <c r="D164" s="15" t="s">
        <v>49</v>
      </c>
      <c r="E164" s="85">
        <v>700713.916666666</v>
      </c>
    </row>
    <row r="165" customHeight="1" spans="1:5">
      <c r="A165" s="27">
        <v>6</v>
      </c>
      <c r="B165" s="11" t="s">
        <v>283</v>
      </c>
      <c r="C165" s="12" t="s">
        <v>216</v>
      </c>
      <c r="D165" s="15" t="s">
        <v>159</v>
      </c>
      <c r="E165" s="85">
        <v>482846.583333334</v>
      </c>
    </row>
    <row r="166" customHeight="1" spans="1:5">
      <c r="A166" s="27">
        <v>7</v>
      </c>
      <c r="B166" s="11" t="s">
        <v>284</v>
      </c>
      <c r="C166" s="4" t="s">
        <v>285</v>
      </c>
      <c r="D166" s="15" t="s">
        <v>159</v>
      </c>
      <c r="E166" s="85">
        <v>482846.583333334</v>
      </c>
    </row>
    <row r="167" customHeight="1" spans="1:5">
      <c r="A167" s="27">
        <v>8</v>
      </c>
      <c r="B167" s="11" t="s">
        <v>286</v>
      </c>
      <c r="C167" s="12" t="s">
        <v>287</v>
      </c>
      <c r="D167" s="15" t="s">
        <v>65</v>
      </c>
      <c r="E167" s="85">
        <v>482662.666666667</v>
      </c>
    </row>
    <row r="168" customHeight="1" spans="1:5">
      <c r="A168" s="27">
        <v>9</v>
      </c>
      <c r="B168" s="11" t="s">
        <v>288</v>
      </c>
      <c r="C168" s="12" t="s">
        <v>289</v>
      </c>
      <c r="D168" s="15" t="s">
        <v>162</v>
      </c>
      <c r="E168" s="85">
        <v>468828.166666667</v>
      </c>
    </row>
    <row r="169" customHeight="1" spans="1:5">
      <c r="A169" s="27">
        <v>10</v>
      </c>
      <c r="B169" s="18" t="s">
        <v>290</v>
      </c>
      <c r="C169" s="4" t="s">
        <v>291</v>
      </c>
      <c r="D169" s="15" t="s">
        <v>68</v>
      </c>
      <c r="E169" s="220">
        <v>454993.583333333</v>
      </c>
    </row>
    <row r="170" customHeight="1" spans="1:5">
      <c r="A170" s="27">
        <v>11</v>
      </c>
      <c r="B170" s="11" t="s">
        <v>292</v>
      </c>
      <c r="C170" s="4" t="s">
        <v>291</v>
      </c>
      <c r="D170" s="15" t="s">
        <v>137</v>
      </c>
      <c r="E170" s="220">
        <v>441159</v>
      </c>
    </row>
    <row r="171" customHeight="1" spans="1:5">
      <c r="A171" s="27">
        <v>12</v>
      </c>
      <c r="B171" s="11" t="s">
        <v>293</v>
      </c>
      <c r="C171" s="4" t="s">
        <v>291</v>
      </c>
      <c r="D171" s="15" t="s">
        <v>137</v>
      </c>
      <c r="E171" s="220">
        <v>441159</v>
      </c>
    </row>
    <row r="172" customHeight="1" spans="1:5">
      <c r="A172" s="27">
        <v>12</v>
      </c>
      <c r="B172" s="11" t="s">
        <v>294</v>
      </c>
      <c r="C172" s="4" t="s">
        <v>291</v>
      </c>
      <c r="D172" s="15" t="s">
        <v>137</v>
      </c>
      <c r="E172" s="220">
        <v>441159</v>
      </c>
    </row>
    <row r="173" customHeight="1" spans="1:5">
      <c r="A173" s="27">
        <v>13</v>
      </c>
      <c r="B173" s="301" t="s">
        <v>295</v>
      </c>
      <c r="C173" s="4" t="s">
        <v>291</v>
      </c>
      <c r="D173" s="15" t="s">
        <v>68</v>
      </c>
      <c r="E173" s="220">
        <v>454993.583333333</v>
      </c>
    </row>
    <row r="174" customHeight="1" spans="1:5">
      <c r="A174" s="27">
        <v>14</v>
      </c>
      <c r="B174" s="11" t="s">
        <v>296</v>
      </c>
      <c r="C174" s="12" t="s">
        <v>297</v>
      </c>
      <c r="D174" s="15" t="s">
        <v>119</v>
      </c>
      <c r="E174" s="220">
        <v>390135.833333334</v>
      </c>
    </row>
    <row r="175" customHeight="1" spans="1:5">
      <c r="A175" s="27">
        <v>15</v>
      </c>
      <c r="B175" s="11" t="s">
        <v>298</v>
      </c>
      <c r="C175" s="12" t="s">
        <v>299</v>
      </c>
      <c r="D175" s="10" t="s">
        <v>84</v>
      </c>
      <c r="E175" s="85">
        <v>347016.166666666</v>
      </c>
    </row>
    <row r="176" customHeight="1" spans="1:5">
      <c r="A176" s="27">
        <v>16</v>
      </c>
      <c r="B176" s="11" t="s">
        <v>300</v>
      </c>
      <c r="C176" s="12" t="s">
        <v>301</v>
      </c>
      <c r="D176" s="15" t="s">
        <v>302</v>
      </c>
      <c r="E176" s="220">
        <v>399131.166666667</v>
      </c>
    </row>
    <row r="177" customHeight="1" spans="1:5">
      <c r="A177" s="27">
        <v>17</v>
      </c>
      <c r="B177" s="11" t="s">
        <v>303</v>
      </c>
      <c r="C177" s="12" t="s">
        <v>304</v>
      </c>
      <c r="D177" s="15" t="s">
        <v>79</v>
      </c>
      <c r="E177" s="220">
        <v>355320.666666667</v>
      </c>
    </row>
    <row r="178" customHeight="1" spans="1:5">
      <c r="A178" s="27">
        <v>18</v>
      </c>
      <c r="B178" s="11" t="s">
        <v>305</v>
      </c>
      <c r="C178" s="12" t="s">
        <v>306</v>
      </c>
      <c r="D178" s="15" t="s">
        <v>302</v>
      </c>
      <c r="E178" s="220">
        <v>399131.166666667</v>
      </c>
    </row>
    <row r="179" customHeight="1" spans="1:5">
      <c r="A179" s="27">
        <v>19</v>
      </c>
      <c r="B179" s="11" t="s">
        <v>307</v>
      </c>
      <c r="C179" s="12" t="s">
        <v>308</v>
      </c>
      <c r="D179" s="15" t="s">
        <v>79</v>
      </c>
      <c r="E179" s="220">
        <v>355320.666666667</v>
      </c>
    </row>
    <row r="180" customHeight="1" spans="1:5">
      <c r="A180" s="27">
        <v>20</v>
      </c>
      <c r="B180" s="18" t="s">
        <v>309</v>
      </c>
      <c r="C180" s="12" t="s">
        <v>310</v>
      </c>
      <c r="D180" s="15" t="s">
        <v>87</v>
      </c>
      <c r="E180" s="220">
        <v>338711.666666667</v>
      </c>
    </row>
    <row r="181" customHeight="1" spans="1:5">
      <c r="A181" s="27">
        <v>21</v>
      </c>
      <c r="B181" s="18" t="s">
        <v>311</v>
      </c>
      <c r="C181" s="12" t="s">
        <v>310</v>
      </c>
      <c r="D181" s="15" t="s">
        <v>87</v>
      </c>
      <c r="E181" s="220">
        <v>338711.666666667</v>
      </c>
    </row>
    <row r="182" s="1" customFormat="1" ht="18.75" customHeight="1" spans="1:5">
      <c r="A182" s="27">
        <v>22</v>
      </c>
      <c r="B182" s="18" t="s">
        <v>312</v>
      </c>
      <c r="C182" s="4" t="s">
        <v>313</v>
      </c>
      <c r="D182" s="10" t="s">
        <v>96</v>
      </c>
      <c r="E182" s="85">
        <v>330407.083333333</v>
      </c>
    </row>
    <row r="183" customHeight="1" spans="1:5">
      <c r="A183" s="27">
        <v>23</v>
      </c>
      <c r="B183" s="18" t="s">
        <v>314</v>
      </c>
      <c r="C183" s="12" t="s">
        <v>315</v>
      </c>
      <c r="D183" s="15" t="s">
        <v>102</v>
      </c>
      <c r="E183" s="85">
        <v>301910.75</v>
      </c>
    </row>
    <row r="184" customHeight="1" spans="1:5">
      <c r="A184" s="27">
        <v>24</v>
      </c>
      <c r="B184" s="18" t="s">
        <v>316</v>
      </c>
      <c r="C184" s="12" t="s">
        <v>317</v>
      </c>
      <c r="D184" s="15" t="s">
        <v>102</v>
      </c>
      <c r="E184" s="85">
        <v>301910.75</v>
      </c>
    </row>
    <row r="185" customHeight="1" spans="1:5">
      <c r="A185" s="27">
        <v>25</v>
      </c>
      <c r="B185" s="18" t="s">
        <v>318</v>
      </c>
      <c r="C185" s="12" t="s">
        <v>319</v>
      </c>
      <c r="D185" s="15" t="s">
        <v>102</v>
      </c>
      <c r="E185" s="85">
        <v>301910.75</v>
      </c>
    </row>
    <row r="186" customHeight="1" spans="1:5">
      <c r="A186" s="27">
        <v>26</v>
      </c>
      <c r="B186" s="18" t="s">
        <v>320</v>
      </c>
      <c r="C186" s="12" t="s">
        <v>321</v>
      </c>
      <c r="D186" s="15" t="s">
        <v>208</v>
      </c>
      <c r="E186" s="85">
        <v>308920.666666667</v>
      </c>
    </row>
    <row r="187" customHeight="1" spans="1:5">
      <c r="A187" s="27">
        <v>27</v>
      </c>
      <c r="B187" s="18" t="s">
        <v>322</v>
      </c>
      <c r="C187" s="12" t="s">
        <v>317</v>
      </c>
      <c r="D187" s="15" t="s">
        <v>102</v>
      </c>
      <c r="E187" s="85">
        <v>301910.75</v>
      </c>
    </row>
    <row r="188" customHeight="1" spans="1:5">
      <c r="A188" s="27">
        <v>28</v>
      </c>
      <c r="B188" s="18" t="s">
        <v>323</v>
      </c>
      <c r="C188" s="12" t="s">
        <v>324</v>
      </c>
      <c r="D188" s="15" t="s">
        <v>105</v>
      </c>
      <c r="E188" s="676">
        <v>294900.833333334</v>
      </c>
    </row>
    <row r="189" customHeight="1" spans="1:5">
      <c r="A189" s="27">
        <v>29</v>
      </c>
      <c r="B189" s="18" t="s">
        <v>325</v>
      </c>
      <c r="C189" s="12" t="s">
        <v>324</v>
      </c>
      <c r="D189" s="15" t="s">
        <v>105</v>
      </c>
      <c r="E189" s="676">
        <v>294900.833333334</v>
      </c>
    </row>
    <row r="190" s="1" customFormat="1" customHeight="1" spans="1:5">
      <c r="A190" s="27">
        <v>30</v>
      </c>
      <c r="B190" s="18" t="s">
        <v>326</v>
      </c>
      <c r="C190" s="12" t="s">
        <v>327</v>
      </c>
      <c r="D190" s="15" t="s">
        <v>108</v>
      </c>
      <c r="E190" s="85">
        <v>287890.916666667</v>
      </c>
    </row>
    <row r="191" s="1" customFormat="1" customHeight="1" spans="1:5">
      <c r="A191" s="27">
        <v>31</v>
      </c>
      <c r="B191" s="18" t="s">
        <v>328</v>
      </c>
      <c r="C191" s="12" t="s">
        <v>329</v>
      </c>
      <c r="D191" s="15" t="s">
        <v>108</v>
      </c>
      <c r="E191" s="85">
        <v>287890.916666667</v>
      </c>
    </row>
    <row r="192" s="1" customFormat="1" customHeight="1" spans="1:5">
      <c r="A192" s="27">
        <v>32</v>
      </c>
      <c r="B192" s="18" t="s">
        <v>330</v>
      </c>
      <c r="C192" s="12" t="s">
        <v>329</v>
      </c>
      <c r="D192" s="15" t="s">
        <v>108</v>
      </c>
      <c r="E192" s="85">
        <v>287890.916666667</v>
      </c>
    </row>
    <row r="193" customHeight="1" spans="1:5">
      <c r="A193" s="27">
        <v>33</v>
      </c>
      <c r="B193" s="11" t="s">
        <v>331</v>
      </c>
      <c r="C193" s="12" t="s">
        <v>332</v>
      </c>
      <c r="D193" s="15" t="s">
        <v>333</v>
      </c>
      <c r="E193" s="226">
        <v>237717.166666666</v>
      </c>
    </row>
    <row r="194" customHeight="1" spans="1:5">
      <c r="A194" s="27">
        <v>34</v>
      </c>
      <c r="B194" s="11" t="s">
        <v>334</v>
      </c>
      <c r="C194" s="12" t="s">
        <v>332</v>
      </c>
      <c r="D194" s="15" t="s">
        <v>333</v>
      </c>
      <c r="E194" s="226">
        <v>237717.166666666</v>
      </c>
    </row>
    <row r="195" customHeight="1" spans="1:5">
      <c r="A195" s="27">
        <v>35</v>
      </c>
      <c r="B195" s="11" t="s">
        <v>335</v>
      </c>
      <c r="C195" s="12" t="s">
        <v>332</v>
      </c>
      <c r="D195" s="15" t="s">
        <v>333</v>
      </c>
      <c r="E195" s="226">
        <v>237717.166666666</v>
      </c>
    </row>
    <row r="196" customHeight="1" spans="1:5">
      <c r="A196" s="27">
        <v>36</v>
      </c>
      <c r="B196" s="11" t="s">
        <v>336</v>
      </c>
      <c r="C196" s="12" t="s">
        <v>332</v>
      </c>
      <c r="D196" s="15" t="s">
        <v>333</v>
      </c>
      <c r="E196" s="226">
        <v>237717.166666666</v>
      </c>
    </row>
    <row r="197" customHeight="1" spans="1:5">
      <c r="A197" s="27">
        <v>37</v>
      </c>
      <c r="B197" s="11" t="s">
        <v>337</v>
      </c>
      <c r="C197" s="12" t="s">
        <v>332</v>
      </c>
      <c r="D197" s="15" t="s">
        <v>333</v>
      </c>
      <c r="E197" s="226">
        <v>237717.166666666</v>
      </c>
    </row>
    <row r="198" customHeight="1" spans="1:5">
      <c r="A198" s="27">
        <v>38</v>
      </c>
      <c r="B198" s="11" t="s">
        <v>338</v>
      </c>
      <c r="C198" s="12" t="s">
        <v>332</v>
      </c>
      <c r="D198" s="15" t="s">
        <v>339</v>
      </c>
      <c r="E198" s="226">
        <v>231733.833333334</v>
      </c>
    </row>
    <row r="199" customHeight="1" spans="1:5">
      <c r="A199" s="27">
        <v>39</v>
      </c>
      <c r="B199" s="11" t="s">
        <v>340</v>
      </c>
      <c r="C199" s="12" t="s">
        <v>332</v>
      </c>
      <c r="D199" s="15" t="s">
        <v>339</v>
      </c>
      <c r="E199" s="226">
        <v>231733.833333334</v>
      </c>
    </row>
    <row r="200" customHeight="1" spans="1:5">
      <c r="A200" s="27">
        <v>40</v>
      </c>
      <c r="B200" s="14" t="s">
        <v>341</v>
      </c>
      <c r="C200" s="12" t="s">
        <v>332</v>
      </c>
      <c r="D200" s="15" t="s">
        <v>339</v>
      </c>
      <c r="E200" s="226">
        <v>231733.833333334</v>
      </c>
    </row>
    <row r="201" customHeight="1" spans="1:5">
      <c r="A201" s="27">
        <v>41</v>
      </c>
      <c r="B201" s="11" t="s">
        <v>342</v>
      </c>
      <c r="C201" s="12" t="s">
        <v>332</v>
      </c>
      <c r="D201" s="15" t="s">
        <v>339</v>
      </c>
      <c r="E201" s="226">
        <v>231733.833333334</v>
      </c>
    </row>
    <row r="202" customHeight="1" spans="1:5">
      <c r="A202" s="27">
        <v>42</v>
      </c>
      <c r="B202" s="18" t="s">
        <v>343</v>
      </c>
      <c r="C202" s="12" t="s">
        <v>332</v>
      </c>
      <c r="D202" s="15" t="s">
        <v>339</v>
      </c>
      <c r="E202" s="940">
        <v>231733.833333334</v>
      </c>
    </row>
    <row r="203" customHeight="1" spans="1:5">
      <c r="A203" s="27">
        <v>43</v>
      </c>
      <c r="B203" s="18" t="s">
        <v>344</v>
      </c>
      <c r="C203" s="12" t="s">
        <v>332</v>
      </c>
      <c r="D203" s="15" t="s">
        <v>339</v>
      </c>
      <c r="E203" s="226">
        <v>231733.833333334</v>
      </c>
    </row>
    <row r="204" customHeight="1" spans="1:5">
      <c r="A204" s="27">
        <v>44</v>
      </c>
      <c r="B204" s="11" t="s">
        <v>345</v>
      </c>
      <c r="C204" s="12" t="s">
        <v>346</v>
      </c>
      <c r="D204" s="15" t="s">
        <v>347</v>
      </c>
      <c r="E204" s="85">
        <v>219767.333333333</v>
      </c>
    </row>
    <row r="205" customHeight="1" spans="1:5">
      <c r="A205" s="27">
        <v>45</v>
      </c>
      <c r="B205" s="11" t="s">
        <v>348</v>
      </c>
      <c r="C205" s="12" t="s">
        <v>346</v>
      </c>
      <c r="D205" s="15" t="s">
        <v>347</v>
      </c>
      <c r="E205" s="85">
        <v>219767.333333333</v>
      </c>
    </row>
    <row r="206" customHeight="1" spans="1:5">
      <c r="A206" s="27">
        <v>46</v>
      </c>
      <c r="B206" s="18" t="s">
        <v>349</v>
      </c>
      <c r="C206" s="12" t="s">
        <v>346</v>
      </c>
      <c r="D206" s="15" t="s">
        <v>350</v>
      </c>
      <c r="E206" s="85">
        <v>225750.583333333</v>
      </c>
    </row>
    <row r="207" customHeight="1" spans="1:5">
      <c r="A207" s="27">
        <v>47</v>
      </c>
      <c r="B207" s="11" t="s">
        <v>351</v>
      </c>
      <c r="C207" s="12" t="s">
        <v>352</v>
      </c>
      <c r="D207" s="15" t="s">
        <v>353</v>
      </c>
      <c r="E207" s="85">
        <v>213784</v>
      </c>
    </row>
    <row r="208" customHeight="1" spans="1:5">
      <c r="A208" s="27">
        <v>48</v>
      </c>
      <c r="B208" s="11" t="s">
        <v>354</v>
      </c>
      <c r="C208" s="12" t="s">
        <v>355</v>
      </c>
      <c r="D208" s="15" t="s">
        <v>356</v>
      </c>
      <c r="E208" s="85">
        <v>146356.75</v>
      </c>
    </row>
    <row r="209" customHeight="1" spans="1:5">
      <c r="A209" s="27">
        <v>49</v>
      </c>
      <c r="B209" s="11" t="s">
        <v>357</v>
      </c>
      <c r="C209" s="12" t="s">
        <v>355</v>
      </c>
      <c r="D209" s="15" t="s">
        <v>356</v>
      </c>
      <c r="E209" s="85">
        <v>146356.75</v>
      </c>
    </row>
    <row r="210" customHeight="1" spans="1:5">
      <c r="A210" s="27">
        <v>50</v>
      </c>
      <c r="B210" s="11" t="s">
        <v>358</v>
      </c>
      <c r="C210" s="12" t="s">
        <v>355</v>
      </c>
      <c r="D210" s="15" t="s">
        <v>356</v>
      </c>
      <c r="E210" s="85">
        <v>146356.75</v>
      </c>
    </row>
    <row r="211" customHeight="1" spans="1:5">
      <c r="A211" s="27">
        <v>51</v>
      </c>
      <c r="B211" s="11" t="s">
        <v>359</v>
      </c>
      <c r="C211" s="12" t="s">
        <v>355</v>
      </c>
      <c r="D211" s="15" t="s">
        <v>356</v>
      </c>
      <c r="E211" s="85">
        <v>146356.75</v>
      </c>
    </row>
    <row r="212" customHeight="1" spans="1:5">
      <c r="A212" s="27">
        <v>52</v>
      </c>
      <c r="B212" s="11" t="s">
        <v>360</v>
      </c>
      <c r="C212" s="12" t="s">
        <v>355</v>
      </c>
      <c r="D212" s="15" t="s">
        <v>356</v>
      </c>
      <c r="E212" s="85">
        <v>146356.75</v>
      </c>
    </row>
    <row r="213" customHeight="1" spans="1:5">
      <c r="A213" s="27">
        <v>53</v>
      </c>
      <c r="B213" s="18" t="s">
        <v>361</v>
      </c>
      <c r="C213" s="12" t="s">
        <v>355</v>
      </c>
      <c r="D213" s="15" t="s">
        <v>356</v>
      </c>
      <c r="E213" s="85">
        <v>146356.75</v>
      </c>
    </row>
    <row r="214" customHeight="1" spans="1:5">
      <c r="A214" s="27">
        <v>54</v>
      </c>
      <c r="B214" s="18" t="s">
        <v>362</v>
      </c>
      <c r="C214" s="12" t="s">
        <v>355</v>
      </c>
      <c r="D214" s="15" t="s">
        <v>356</v>
      </c>
      <c r="E214" s="85">
        <v>146356.75</v>
      </c>
    </row>
    <row r="215" customHeight="1" spans="1:5">
      <c r="A215" s="27">
        <v>56</v>
      </c>
      <c r="B215" s="11" t="s">
        <v>363</v>
      </c>
      <c r="C215" s="12" t="s">
        <v>352</v>
      </c>
      <c r="D215" s="15" t="s">
        <v>356</v>
      </c>
      <c r="E215" s="85">
        <v>146356.75</v>
      </c>
    </row>
    <row r="216" customHeight="1" spans="1:5">
      <c r="A216" s="27">
        <v>57</v>
      </c>
      <c r="B216" s="18" t="s">
        <v>364</v>
      </c>
      <c r="C216" s="12" t="s">
        <v>365</v>
      </c>
      <c r="D216" s="15" t="s">
        <v>366</v>
      </c>
      <c r="E216" s="85">
        <v>143495.666666667</v>
      </c>
    </row>
    <row r="217" customHeight="1" spans="1:5">
      <c r="A217" s="27">
        <v>58</v>
      </c>
      <c r="B217" s="18" t="s">
        <v>367</v>
      </c>
      <c r="C217" s="12" t="s">
        <v>365</v>
      </c>
      <c r="D217" s="15" t="s">
        <v>368</v>
      </c>
      <c r="E217" s="85">
        <v>137773.5</v>
      </c>
    </row>
    <row r="218" customHeight="1" spans="1:5">
      <c r="A218" s="27">
        <v>59</v>
      </c>
      <c r="B218" s="18" t="s">
        <v>369</v>
      </c>
      <c r="C218" s="12" t="s">
        <v>365</v>
      </c>
      <c r="D218" s="15" t="s">
        <v>370</v>
      </c>
      <c r="E218" s="85">
        <v>134912.666666667</v>
      </c>
    </row>
    <row r="219" customHeight="1" spans="1:5">
      <c r="A219" s="27">
        <v>60</v>
      </c>
      <c r="B219" s="18" t="s">
        <v>371</v>
      </c>
      <c r="C219" s="12" t="s">
        <v>372</v>
      </c>
      <c r="D219" s="15" t="s">
        <v>373</v>
      </c>
      <c r="E219" s="85">
        <v>129049.416666667</v>
      </c>
    </row>
    <row r="220" customHeight="1" spans="1:5">
      <c r="A220" s="27">
        <v>61</v>
      </c>
      <c r="B220" s="18" t="s">
        <v>374</v>
      </c>
      <c r="C220" s="12" t="s">
        <v>372</v>
      </c>
      <c r="D220" s="15" t="s">
        <v>373</v>
      </c>
      <c r="E220" s="85">
        <v>129049.416666667</v>
      </c>
    </row>
    <row r="221" customHeight="1" spans="1:5">
      <c r="A221" s="27">
        <v>62</v>
      </c>
      <c r="B221" s="18" t="s">
        <v>375</v>
      </c>
      <c r="C221" s="12" t="s">
        <v>372</v>
      </c>
      <c r="D221" s="15" t="s">
        <v>373</v>
      </c>
      <c r="E221" s="85">
        <v>129049.416666667</v>
      </c>
    </row>
    <row r="222" customHeight="1" spans="1:5">
      <c r="A222" s="27">
        <v>63</v>
      </c>
      <c r="B222" s="18" t="s">
        <v>376</v>
      </c>
      <c r="C222" s="12" t="s">
        <v>377</v>
      </c>
      <c r="D222" s="15" t="s">
        <v>378</v>
      </c>
      <c r="E222" s="85">
        <v>140634.666666667</v>
      </c>
    </row>
    <row r="223" customHeight="1" spans="1:5">
      <c r="A223" s="27">
        <v>64</v>
      </c>
      <c r="B223" s="18" t="s">
        <v>379</v>
      </c>
      <c r="C223" s="12" t="s">
        <v>377</v>
      </c>
      <c r="D223" s="15" t="s">
        <v>378</v>
      </c>
      <c r="E223" s="85">
        <v>140634.666666667</v>
      </c>
    </row>
    <row r="224" ht="30.75" customHeight="1" spans="1:5">
      <c r="A224" s="27"/>
      <c r="B224" s="8" t="s">
        <v>111</v>
      </c>
      <c r="C224" s="28" t="s">
        <v>380</v>
      </c>
      <c r="D224" s="29"/>
      <c r="E224" s="93">
        <f>SUM(E160:E223)</f>
        <v>20743144.3333334</v>
      </c>
    </row>
    <row r="225" ht="30" customHeight="1" spans="1:5">
      <c r="A225" s="4"/>
      <c r="B225" s="30" t="s">
        <v>381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2:5">
      <c r="B226" s="33"/>
      <c r="D226" s="34"/>
      <c r="E226" s="34"/>
    </row>
    <row r="227" ht="36.75" customHeight="1" spans="2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H103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461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462</v>
      </c>
      <c r="F4" s="906" t="s">
        <v>463</v>
      </c>
      <c r="G4" s="218" t="s">
        <v>464</v>
      </c>
      <c r="H4" s="218" t="s">
        <v>465</v>
      </c>
      <c r="I4" s="218" t="s">
        <v>466</v>
      </c>
      <c r="J4" s="914" t="s">
        <v>467</v>
      </c>
      <c r="K4" s="914" t="s">
        <v>468</v>
      </c>
      <c r="L4" s="914" t="s">
        <v>469</v>
      </c>
      <c r="M4" s="914" t="s">
        <v>470</v>
      </c>
      <c r="N4" s="914" t="s">
        <v>471</v>
      </c>
      <c r="O4" s="914" t="s">
        <v>472</v>
      </c>
      <c r="P4" s="914" t="s">
        <v>473</v>
      </c>
      <c r="Q4" s="914" t="s">
        <v>474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475</v>
      </c>
      <c r="F6" s="908" t="s">
        <v>476</v>
      </c>
      <c r="G6" s="10" t="s">
        <v>477</v>
      </c>
      <c r="H6" s="10" t="s">
        <v>478</v>
      </c>
      <c r="I6" s="915" t="s">
        <v>479</v>
      </c>
      <c r="J6" s="915" t="s">
        <v>480</v>
      </c>
      <c r="K6" s="915" t="s">
        <v>481</v>
      </c>
      <c r="L6" s="915" t="s">
        <v>482</v>
      </c>
      <c r="M6" s="915" t="s">
        <v>483</v>
      </c>
      <c r="N6" s="915" t="s">
        <v>484</v>
      </c>
      <c r="O6" s="915" t="s">
        <v>485</v>
      </c>
      <c r="P6" s="915" t="s">
        <v>486</v>
      </c>
      <c r="Q6" s="915" t="s">
        <v>487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488</v>
      </c>
      <c r="I7" s="10" t="s">
        <v>489</v>
      </c>
      <c r="J7" s="915" t="s">
        <v>490</v>
      </c>
      <c r="K7" s="915" t="s">
        <v>491</v>
      </c>
      <c r="L7" s="915" t="s">
        <v>492</v>
      </c>
      <c r="M7" s="915"/>
      <c r="N7" s="915" t="s">
        <v>493</v>
      </c>
      <c r="O7" s="915" t="s">
        <v>494</v>
      </c>
      <c r="P7" s="915" t="s">
        <v>494</v>
      </c>
      <c r="Q7" s="915" t="s">
        <v>494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6"/>
      <c r="K8" s="916"/>
      <c r="L8" s="916">
        <f t="shared" ref="L8:L39" si="0">K8-J8</f>
        <v>0</v>
      </c>
      <c r="M8" s="916"/>
      <c r="N8" s="916"/>
      <c r="O8" s="916">
        <f>N8-M8</f>
        <v>0</v>
      </c>
      <c r="P8" s="916">
        <f>K8*12</f>
        <v>0</v>
      </c>
      <c r="Q8" s="916">
        <f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6">
        <v>60989.8533333333</v>
      </c>
      <c r="K9" s="916">
        <f t="shared" ref="K9:K40" si="3">H9*0.08</f>
        <v>72424.54</v>
      </c>
      <c r="L9" s="916">
        <f t="shared" si="0"/>
        <v>11434.6866666667</v>
      </c>
      <c r="M9" s="916"/>
      <c r="N9" s="916"/>
      <c r="O9" s="916">
        <f t="shared" ref="O9:O40" si="4">N9-M9</f>
        <v>0</v>
      </c>
      <c r="P9" s="916">
        <f t="shared" ref="P9:P38" si="5">K9*12</f>
        <v>869094.48</v>
      </c>
      <c r="Q9" s="916">
        <f t="shared" ref="Q9:Q38" si="6">N9*12</f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6"/>
      <c r="K10" s="916"/>
      <c r="L10" s="916">
        <f t="shared" si="0"/>
        <v>0</v>
      </c>
      <c r="M10" s="916"/>
      <c r="N10" s="916"/>
      <c r="O10" s="916">
        <f t="shared" si="4"/>
        <v>0</v>
      </c>
      <c r="P10" s="916">
        <f t="shared" si="5"/>
        <v>0</v>
      </c>
      <c r="Q10" s="916">
        <f t="shared" si="6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6">
        <v>60989.8533333333</v>
      </c>
      <c r="K11" s="916">
        <f t="shared" si="3"/>
        <v>72424.54</v>
      </c>
      <c r="L11" s="916">
        <f t="shared" si="0"/>
        <v>11434.6866666667</v>
      </c>
      <c r="M11" s="916">
        <v>10293.3979166667</v>
      </c>
      <c r="N11" s="916">
        <f>0.025*F11</f>
        <v>13866.7375</v>
      </c>
      <c r="O11" s="916">
        <f t="shared" si="4"/>
        <v>3573.3395833333</v>
      </c>
      <c r="P11" s="916">
        <f t="shared" si="5"/>
        <v>869094.48</v>
      </c>
      <c r="Q11" s="916">
        <f t="shared" si="6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35</v>
      </c>
      <c r="E12" s="85">
        <v>716034</v>
      </c>
      <c r="F12" s="909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6">
        <v>59136.2866666667</v>
      </c>
      <c r="K12" s="916">
        <f t="shared" si="3"/>
        <v>70320.7133333333</v>
      </c>
      <c r="L12" s="916">
        <f t="shared" si="0"/>
        <v>11184.4266666666</v>
      </c>
      <c r="M12" s="916">
        <v>10293.3979166667</v>
      </c>
      <c r="N12" s="916">
        <f>0.025*F12</f>
        <v>13475.7</v>
      </c>
      <c r="O12" s="916">
        <f t="shared" si="4"/>
        <v>3182.3020833333</v>
      </c>
      <c r="P12" s="916">
        <f t="shared" si="5"/>
        <v>843848.56</v>
      </c>
      <c r="Q12" s="916">
        <f t="shared" si="6"/>
        <v>161708.4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6">
        <v>46569.4466666667</v>
      </c>
      <c r="K13" s="916">
        <f t="shared" si="3"/>
        <v>57807.64</v>
      </c>
      <c r="L13" s="916">
        <f t="shared" si="0"/>
        <v>11238.1933333333</v>
      </c>
      <c r="M13" s="916">
        <v>7859.63125</v>
      </c>
      <c r="N13" s="916">
        <f>0.025*F13</f>
        <v>11149.8958333333</v>
      </c>
      <c r="O13" s="916">
        <f t="shared" si="4"/>
        <v>3290.2645833333</v>
      </c>
      <c r="P13" s="916">
        <f t="shared" si="5"/>
        <v>693691.68</v>
      </c>
      <c r="Q13" s="916">
        <f t="shared" si="6"/>
        <v>133798.75</v>
      </c>
    </row>
    <row r="14" customHeight="1" spans="1:17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6">
        <v>38749.9</v>
      </c>
      <c r="K14" s="916">
        <f t="shared" si="3"/>
        <v>47172.56</v>
      </c>
      <c r="L14" s="916">
        <f t="shared" si="0"/>
        <v>8422.66</v>
      </c>
      <c r="M14" s="916"/>
      <c r="N14" s="916"/>
      <c r="O14" s="916">
        <f t="shared" si="4"/>
        <v>0</v>
      </c>
      <c r="P14" s="916">
        <f t="shared" si="5"/>
        <v>566070.72</v>
      </c>
      <c r="Q14" s="916">
        <f t="shared" si="6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6">
        <v>46569.45</v>
      </c>
      <c r="K15" s="916">
        <f t="shared" si="3"/>
        <v>57807.64</v>
      </c>
      <c r="L15" s="916">
        <f t="shared" si="0"/>
        <v>11238.19</v>
      </c>
      <c r="M15" s="916"/>
      <c r="N15" s="916"/>
      <c r="O15" s="916">
        <f t="shared" si="4"/>
        <v>0</v>
      </c>
      <c r="P15" s="916">
        <f t="shared" si="5"/>
        <v>693691.68</v>
      </c>
      <c r="Q15" s="916">
        <f t="shared" si="6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6">
        <v>35419.72</v>
      </c>
      <c r="K16" s="916">
        <f t="shared" si="3"/>
        <v>44653.22</v>
      </c>
      <c r="L16" s="916">
        <f t="shared" si="0"/>
        <v>9233.5</v>
      </c>
      <c r="M16" s="916"/>
      <c r="N16" s="916"/>
      <c r="O16" s="916">
        <f t="shared" si="4"/>
        <v>0</v>
      </c>
      <c r="P16" s="916">
        <f t="shared" si="5"/>
        <v>535838.64</v>
      </c>
      <c r="Q16" s="916">
        <f t="shared" si="6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6">
        <v>46569.45</v>
      </c>
      <c r="K17" s="916">
        <f t="shared" si="3"/>
        <v>56057.1133333333</v>
      </c>
      <c r="L17" s="916">
        <f t="shared" si="0"/>
        <v>9487.66333333329</v>
      </c>
      <c r="M17" s="916"/>
      <c r="N17" s="916"/>
      <c r="O17" s="916">
        <f t="shared" si="4"/>
        <v>0</v>
      </c>
      <c r="P17" s="916">
        <f t="shared" si="5"/>
        <v>672685.359999999</v>
      </c>
      <c r="Q17" s="916">
        <f t="shared" si="6"/>
        <v>0</v>
      </c>
    </row>
    <row r="18" customHeight="1" spans="1:17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6">
        <v>34313.2733333333</v>
      </c>
      <c r="K18" s="916">
        <f t="shared" si="3"/>
        <v>43308.1066666666</v>
      </c>
      <c r="L18" s="916">
        <f t="shared" si="0"/>
        <v>8994.83333333334</v>
      </c>
      <c r="M18" s="916"/>
      <c r="N18" s="916"/>
      <c r="O18" s="916">
        <f t="shared" si="4"/>
        <v>0</v>
      </c>
      <c r="P18" s="916">
        <f t="shared" si="5"/>
        <v>519697.28</v>
      </c>
      <c r="Q18" s="916">
        <f t="shared" si="6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6">
        <v>33282.1533333333</v>
      </c>
      <c r="K19" s="916">
        <f t="shared" si="3"/>
        <v>42138.0066666667</v>
      </c>
      <c r="L19" s="916">
        <f t="shared" si="0"/>
        <v>8855.85333333342</v>
      </c>
      <c r="M19" s="916">
        <v>5607.17708333333</v>
      </c>
      <c r="N19" s="916">
        <f t="shared" ref="N19:N23" si="7">0.025*F19</f>
        <v>8226.12291666667</v>
      </c>
      <c r="O19" s="916">
        <f t="shared" si="4"/>
        <v>2618.94583333334</v>
      </c>
      <c r="P19" s="916">
        <f t="shared" si="5"/>
        <v>505656.080000001</v>
      </c>
      <c r="Q19" s="916">
        <f t="shared" si="6"/>
        <v>98713.475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6">
        <v>31219.9133333334</v>
      </c>
      <c r="K20" s="916">
        <f t="shared" si="3"/>
        <v>39797.82</v>
      </c>
      <c r="L20" s="916">
        <f t="shared" si="0"/>
        <v>8577.9066666666</v>
      </c>
      <c r="M20" s="916">
        <v>5967.30625</v>
      </c>
      <c r="N20" s="916">
        <f t="shared" si="7"/>
        <v>7791.83125</v>
      </c>
      <c r="O20" s="916">
        <f t="shared" si="4"/>
        <v>1824.525</v>
      </c>
      <c r="P20" s="916">
        <f t="shared" si="5"/>
        <v>477573.84</v>
      </c>
      <c r="Q20" s="916">
        <f t="shared" si="6"/>
        <v>93501.975</v>
      </c>
    </row>
    <row r="21" customHeight="1" spans="1:17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6">
        <v>31219.9133333334</v>
      </c>
      <c r="K21" s="916">
        <f t="shared" si="3"/>
        <v>39797.82</v>
      </c>
      <c r="L21" s="916">
        <f t="shared" si="0"/>
        <v>8577.9066666666</v>
      </c>
      <c r="M21" s="916"/>
      <c r="N21" s="916"/>
      <c r="O21" s="916">
        <f t="shared" si="4"/>
        <v>0</v>
      </c>
      <c r="P21" s="916">
        <f t="shared" si="5"/>
        <v>477573.84</v>
      </c>
      <c r="Q21" s="916">
        <f t="shared" si="6"/>
        <v>0</v>
      </c>
    </row>
    <row r="22" customHeight="1" spans="1:17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94219.166666667</v>
      </c>
      <c r="J22" s="916">
        <v>31206.92</v>
      </c>
      <c r="K22" s="916">
        <f t="shared" si="3"/>
        <v>39719.7733333334</v>
      </c>
      <c r="L22" s="916">
        <f t="shared" si="0"/>
        <v>8512.85333333336</v>
      </c>
      <c r="M22" s="916">
        <v>5257.5625</v>
      </c>
      <c r="N22" s="916">
        <f t="shared" si="7"/>
        <v>7777.36041666667</v>
      </c>
      <c r="O22" s="916">
        <f t="shared" si="4"/>
        <v>2519.79791666667</v>
      </c>
      <c r="P22" s="916">
        <f t="shared" si="5"/>
        <v>476637.28</v>
      </c>
      <c r="Q22" s="916">
        <f t="shared" si="6"/>
        <v>93328.325</v>
      </c>
    </row>
    <row r="23" ht="18.75" customHeight="1" spans="1:17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6">
        <v>30231.6133333333</v>
      </c>
      <c r="K23" s="916">
        <f t="shared" si="3"/>
        <v>38613.0133333334</v>
      </c>
      <c r="L23" s="916">
        <f t="shared" si="0"/>
        <v>8381.40000000006</v>
      </c>
      <c r="M23" s="916"/>
      <c r="N23" s="916">
        <f t="shared" si="7"/>
        <v>7571.96666666667</v>
      </c>
      <c r="O23" s="916">
        <f t="shared" si="4"/>
        <v>7571.96666666667</v>
      </c>
      <c r="P23" s="916">
        <f t="shared" si="5"/>
        <v>463356.16</v>
      </c>
      <c r="Q23" s="916">
        <f t="shared" si="6"/>
        <v>90863.6000000001</v>
      </c>
    </row>
    <row r="24" customHeight="1" spans="1:17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6">
        <v>28281</v>
      </c>
      <c r="K24" s="916">
        <f t="shared" si="3"/>
        <v>36399.4866666666</v>
      </c>
      <c r="L24" s="916">
        <f t="shared" si="0"/>
        <v>8118.48666666664</v>
      </c>
      <c r="M24" s="916"/>
      <c r="N24" s="916"/>
      <c r="O24" s="916">
        <f t="shared" si="4"/>
        <v>0</v>
      </c>
      <c r="P24" s="916">
        <f t="shared" si="5"/>
        <v>436793.84</v>
      </c>
      <c r="Q24" s="916">
        <f t="shared" si="6"/>
        <v>0</v>
      </c>
    </row>
    <row r="25" ht="21.6" customHeight="1" spans="1:17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6">
        <v>28281</v>
      </c>
      <c r="K25" s="916">
        <f t="shared" si="3"/>
        <v>36399.4866666666</v>
      </c>
      <c r="L25" s="916">
        <f t="shared" si="0"/>
        <v>8118.48666666664</v>
      </c>
      <c r="M25" s="916"/>
      <c r="N25" s="916"/>
      <c r="O25" s="916">
        <f t="shared" si="4"/>
        <v>0</v>
      </c>
      <c r="P25" s="916">
        <f t="shared" si="5"/>
        <v>436793.84</v>
      </c>
      <c r="Q25" s="916">
        <f t="shared" si="6"/>
        <v>0</v>
      </c>
    </row>
    <row r="26" customHeight="1" spans="1:17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6">
        <v>23442.3733333333</v>
      </c>
      <c r="K26" s="916">
        <f t="shared" si="3"/>
        <v>30491.2533333333</v>
      </c>
      <c r="L26" s="916">
        <f t="shared" si="0"/>
        <v>7048.87999999998</v>
      </c>
      <c r="M26" s="916"/>
      <c r="N26" s="916"/>
      <c r="O26" s="916">
        <f t="shared" si="4"/>
        <v>0</v>
      </c>
      <c r="P26" s="916">
        <f t="shared" si="5"/>
        <v>365895.039999999</v>
      </c>
      <c r="Q26" s="916">
        <f t="shared" si="6"/>
        <v>0</v>
      </c>
    </row>
    <row r="27" customHeight="1" spans="1:17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6">
        <v>23442.3733333334</v>
      </c>
      <c r="K27" s="916">
        <f t="shared" si="3"/>
        <v>30491.2533333333</v>
      </c>
      <c r="L27" s="916">
        <f t="shared" si="0"/>
        <v>7048.87999999988</v>
      </c>
      <c r="M27" s="916"/>
      <c r="N27" s="916">
        <f>0.025*F27</f>
        <v>6021.86458333332</v>
      </c>
      <c r="O27" s="916">
        <f t="shared" si="4"/>
        <v>6021.86458333332</v>
      </c>
      <c r="P27" s="916">
        <f t="shared" si="5"/>
        <v>365895.039999999</v>
      </c>
      <c r="Q27" s="916">
        <f t="shared" si="6"/>
        <v>72262.3749999999</v>
      </c>
    </row>
    <row r="28" ht="18.75" customHeight="1" spans="1:17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6">
        <v>21638.5333333333</v>
      </c>
      <c r="K28" s="916">
        <f t="shared" si="3"/>
        <v>28425.6533333334</v>
      </c>
      <c r="L28" s="916">
        <f t="shared" si="0"/>
        <v>6787.12000000006</v>
      </c>
      <c r="M28" s="916"/>
      <c r="N28" s="916">
        <f>0.025*F28</f>
        <v>5690.39375</v>
      </c>
      <c r="O28" s="916">
        <f t="shared" si="4"/>
        <v>5690.39375</v>
      </c>
      <c r="P28" s="916">
        <f t="shared" si="5"/>
        <v>341107.84</v>
      </c>
      <c r="Q28" s="916">
        <f t="shared" si="6"/>
        <v>68284.725</v>
      </c>
    </row>
    <row r="29" ht="18.75" customHeight="1" spans="1:17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6">
        <v>21638.5333333333</v>
      </c>
      <c r="K29" s="916">
        <f t="shared" si="3"/>
        <v>28425.6533333334</v>
      </c>
      <c r="L29" s="916">
        <f t="shared" si="0"/>
        <v>6787.12000000006</v>
      </c>
      <c r="M29" s="916"/>
      <c r="N29" s="916">
        <f>0.025*F29</f>
        <v>5690.39375</v>
      </c>
      <c r="O29" s="916">
        <f t="shared" si="4"/>
        <v>5690.39375</v>
      </c>
      <c r="P29" s="916">
        <f t="shared" si="5"/>
        <v>341107.84</v>
      </c>
      <c r="Q29" s="916">
        <f t="shared" si="6"/>
        <v>68284.725</v>
      </c>
    </row>
    <row r="30" customHeight="1" spans="1:17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6">
        <v>21638.5333333333</v>
      </c>
      <c r="K30" s="916">
        <f t="shared" si="3"/>
        <v>28425.6533333334</v>
      </c>
      <c r="L30" s="916">
        <f t="shared" si="0"/>
        <v>6787.12000000006</v>
      </c>
      <c r="M30" s="916"/>
      <c r="N30" s="916"/>
      <c r="O30" s="916">
        <f t="shared" si="4"/>
        <v>0</v>
      </c>
      <c r="P30" s="916">
        <f t="shared" si="5"/>
        <v>341107.84</v>
      </c>
      <c r="Q30" s="916">
        <f t="shared" si="6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6">
        <v>21053.2266666667</v>
      </c>
      <c r="K31" s="916">
        <f t="shared" si="3"/>
        <v>27761.2933333333</v>
      </c>
      <c r="L31" s="916">
        <f t="shared" si="0"/>
        <v>6708.06666666658</v>
      </c>
      <c r="M31" s="916"/>
      <c r="N31" s="916"/>
      <c r="O31" s="916">
        <f t="shared" si="4"/>
        <v>0</v>
      </c>
      <c r="P31" s="916">
        <f t="shared" si="5"/>
        <v>333135.519999999</v>
      </c>
      <c r="Q31" s="916">
        <f t="shared" si="6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6">
        <v>20467.92</v>
      </c>
      <c r="K32" s="916">
        <f t="shared" si="3"/>
        <v>27096.9333333334</v>
      </c>
      <c r="L32" s="916">
        <f t="shared" si="0"/>
        <v>6629.01333333336</v>
      </c>
      <c r="M32" s="916"/>
      <c r="N32" s="916"/>
      <c r="O32" s="916">
        <f t="shared" si="4"/>
        <v>0</v>
      </c>
      <c r="P32" s="916">
        <f t="shared" si="5"/>
        <v>325163.2</v>
      </c>
      <c r="Q32" s="916">
        <f t="shared" si="6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6">
        <v>20467.92</v>
      </c>
      <c r="K33" s="916">
        <f t="shared" si="3"/>
        <v>27096.9333333334</v>
      </c>
      <c r="L33" s="916">
        <f t="shared" si="0"/>
        <v>6629.01333333336</v>
      </c>
      <c r="M33" s="916"/>
      <c r="N33" s="916"/>
      <c r="O33" s="916">
        <f t="shared" si="4"/>
        <v>0</v>
      </c>
      <c r="P33" s="916">
        <f t="shared" si="5"/>
        <v>325163.2</v>
      </c>
      <c r="Q33" s="916">
        <f t="shared" si="6"/>
        <v>0</v>
      </c>
    </row>
    <row r="34" ht="18.75" customHeight="1" spans="1:17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6">
        <v>21638.5333333333</v>
      </c>
      <c r="K34" s="916">
        <f t="shared" si="3"/>
        <v>28425.6533333334</v>
      </c>
      <c r="L34" s="916">
        <f t="shared" si="0"/>
        <v>6787.12000000006</v>
      </c>
      <c r="M34" s="916">
        <v>3653.5</v>
      </c>
      <c r="N34" s="916">
        <f t="shared" ref="N34:N38" si="8">0.025*F34</f>
        <v>5690.39375</v>
      </c>
      <c r="O34" s="916">
        <f t="shared" si="4"/>
        <v>2036.89375</v>
      </c>
      <c r="P34" s="916">
        <f t="shared" si="5"/>
        <v>341107.84</v>
      </c>
      <c r="Q34" s="916">
        <f t="shared" si="6"/>
        <v>68284.725</v>
      </c>
    </row>
    <row r="35" ht="18.75" customHeight="1" spans="1:17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6">
        <v>20467.92</v>
      </c>
      <c r="K35" s="916">
        <f t="shared" si="3"/>
        <v>27096.9333333334</v>
      </c>
      <c r="L35" s="916">
        <f t="shared" si="0"/>
        <v>6629.01333333336</v>
      </c>
      <c r="M35" s="916"/>
      <c r="N35" s="916"/>
      <c r="O35" s="916">
        <f t="shared" si="4"/>
        <v>0</v>
      </c>
      <c r="P35" s="916">
        <f t="shared" si="5"/>
        <v>325163.2</v>
      </c>
      <c r="Q35" s="916">
        <f t="shared" si="6"/>
        <v>0</v>
      </c>
    </row>
    <row r="36" ht="18.75" customHeight="1" spans="1:17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6">
        <v>20467.92</v>
      </c>
      <c r="K36" s="916">
        <f t="shared" si="3"/>
        <v>27096.9333333334</v>
      </c>
      <c r="L36" s="916">
        <f t="shared" si="0"/>
        <v>6629.01333333336</v>
      </c>
      <c r="M36" s="916"/>
      <c r="N36" s="916"/>
      <c r="O36" s="916">
        <f t="shared" si="4"/>
        <v>0</v>
      </c>
      <c r="P36" s="916">
        <f t="shared" si="5"/>
        <v>325163.2</v>
      </c>
      <c r="Q36" s="916">
        <f t="shared" si="6"/>
        <v>0</v>
      </c>
    </row>
    <row r="37" ht="18.75" customHeight="1" spans="1:17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6">
        <v>17956.78</v>
      </c>
      <c r="K37" s="916">
        <f t="shared" si="3"/>
        <v>24152.86</v>
      </c>
      <c r="L37" s="916">
        <f t="shared" si="0"/>
        <v>6196.08</v>
      </c>
      <c r="M37" s="916"/>
      <c r="N37" s="916">
        <f t="shared" si="8"/>
        <v>4909.11041666668</v>
      </c>
      <c r="O37" s="916">
        <f t="shared" si="4"/>
        <v>4909.11041666668</v>
      </c>
      <c r="P37" s="916">
        <f t="shared" si="5"/>
        <v>289834.32</v>
      </c>
      <c r="Q37" s="916">
        <f t="shared" si="6"/>
        <v>58909.3250000001</v>
      </c>
    </row>
    <row r="38" ht="18.75" customHeight="1" spans="1:17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6">
        <v>17463.0066666666</v>
      </c>
      <c r="K38" s="916">
        <f t="shared" si="3"/>
        <v>23592.0666666667</v>
      </c>
      <c r="L38" s="916">
        <f t="shared" si="0"/>
        <v>6129.06000000012</v>
      </c>
      <c r="M38" s="916"/>
      <c r="N38" s="916">
        <f t="shared" si="8"/>
        <v>4804.48541666668</v>
      </c>
      <c r="O38" s="916">
        <f t="shared" si="4"/>
        <v>4804.48541666668</v>
      </c>
      <c r="P38" s="916">
        <f t="shared" si="5"/>
        <v>283104.800000001</v>
      </c>
      <c r="Q38" s="916">
        <f t="shared" si="6"/>
        <v>57653.8250000001</v>
      </c>
    </row>
    <row r="39" ht="26.25" customHeight="1" spans="1:17">
      <c r="A39" s="10"/>
      <c r="B39" s="20" t="s">
        <v>111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238607.233333334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112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220">
        <v>660329.333333333</v>
      </c>
      <c r="H42" s="911">
        <f>F42+G42</f>
        <v>1747106.41666666</v>
      </c>
      <c r="I42" s="220">
        <f t="shared" ref="I41:I72" si="10">H42-E42</f>
        <v>311386.41666666</v>
      </c>
      <c r="J42" s="916">
        <v>114857.6</v>
      </c>
      <c r="K42" s="916">
        <f t="shared" ref="K41:K72" si="11">H42*0.08</f>
        <v>139768.513333333</v>
      </c>
      <c r="L42" s="916">
        <f t="shared" ref="L40:L71" si="12">K42-J42</f>
        <v>24910.913333333</v>
      </c>
      <c r="M42" s="916"/>
      <c r="N42" s="916"/>
      <c r="O42" s="916">
        <f t="shared" ref="O41:O72" si="13">N42-M42</f>
        <v>0</v>
      </c>
      <c r="P42" s="916">
        <f>K42*12</f>
        <v>1677222.16</v>
      </c>
      <c r="Q42" s="916"/>
    </row>
    <row r="43" ht="18.75" customHeight="1" spans="1:17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220">
        <v>140266.083333333</v>
      </c>
      <c r="H43" s="911">
        <f>F43+G43</f>
        <v>381140.666666666</v>
      </c>
      <c r="I43" s="220">
        <f t="shared" si="10"/>
        <v>80175.083333333</v>
      </c>
      <c r="J43" s="916">
        <v>23442.3733333333</v>
      </c>
      <c r="K43" s="916">
        <f t="shared" si="11"/>
        <v>30491.2533333333</v>
      </c>
      <c r="L43" s="916">
        <f t="shared" si="12"/>
        <v>7048.88</v>
      </c>
      <c r="M43" s="916"/>
      <c r="N43" s="916">
        <f>0.025*F43</f>
        <v>6021.86458333332</v>
      </c>
      <c r="O43" s="916">
        <f t="shared" si="13"/>
        <v>6021.86458333332</v>
      </c>
      <c r="P43" s="916">
        <f>K43*12</f>
        <v>365895.04</v>
      </c>
      <c r="Q43" s="916"/>
    </row>
    <row r="44" ht="18.75" customHeight="1" spans="1:17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220">
        <v>143964.666666667</v>
      </c>
      <c r="H44" s="911">
        <f>F44+G44</f>
        <v>390135.833333334</v>
      </c>
      <c r="I44" s="220">
        <f t="shared" si="10"/>
        <v>81234.333333334</v>
      </c>
      <c r="J44" s="916">
        <v>24077.2466666667</v>
      </c>
      <c r="K44" s="916">
        <f t="shared" si="11"/>
        <v>31210.8666666667</v>
      </c>
      <c r="L44" s="916">
        <f t="shared" si="12"/>
        <v>7133.62</v>
      </c>
      <c r="M44" s="916"/>
      <c r="N44" s="916"/>
      <c r="O44" s="916">
        <f t="shared" si="13"/>
        <v>0</v>
      </c>
      <c r="P44" s="916">
        <f>K44*12</f>
        <v>374530.4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>F45+G45</f>
        <v>338711.666666667</v>
      </c>
      <c r="I45" s="220">
        <f t="shared" si="10"/>
        <v>75546.333333334</v>
      </c>
      <c r="J45" s="916">
        <v>20467.92</v>
      </c>
      <c r="K45" s="916">
        <f t="shared" si="11"/>
        <v>27096.9333333334</v>
      </c>
      <c r="L45" s="916">
        <f t="shared" si="12"/>
        <v>6629.0133333334</v>
      </c>
      <c r="M45" s="916"/>
      <c r="N45" s="916">
        <f>0.025*F45</f>
        <v>5443.33541666668</v>
      </c>
      <c r="O45" s="916">
        <f t="shared" si="13"/>
        <v>5443.33541666668</v>
      </c>
      <c r="P45" s="916">
        <f>K45*12</f>
        <v>325163.200000001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0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220">
        <v>350637.25</v>
      </c>
      <c r="H49" s="911">
        <f>F49+G49</f>
        <v>905306.75</v>
      </c>
      <c r="I49" s="220">
        <f t="shared" si="10"/>
        <v>142933.583333333</v>
      </c>
      <c r="J49" s="916">
        <v>59136.2866666667</v>
      </c>
      <c r="K49" s="916">
        <f t="shared" si="11"/>
        <v>72424.54</v>
      </c>
      <c r="L49" s="916">
        <f t="shared" si="12"/>
        <v>13288.2533333333</v>
      </c>
      <c r="M49" s="916"/>
      <c r="N49" s="916"/>
      <c r="O49" s="916">
        <f t="shared" si="13"/>
        <v>0</v>
      </c>
      <c r="P49" s="916">
        <f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ref="H50:H56" si="15">F50+G50</f>
        <v>744477</v>
      </c>
      <c r="I50" s="220">
        <f t="shared" si="10"/>
        <v>123801.416666667</v>
      </c>
      <c r="J50" s="916">
        <v>49654.0466666667</v>
      </c>
      <c r="K50" s="916">
        <f t="shared" si="11"/>
        <v>59558.16</v>
      </c>
      <c r="L50" s="916">
        <f t="shared" si="12"/>
        <v>9904.11333333331</v>
      </c>
      <c r="M50" s="916"/>
      <c r="N50" s="916"/>
      <c r="O50" s="916">
        <f t="shared" si="13"/>
        <v>0</v>
      </c>
      <c r="P50" s="916">
        <f t="shared" ref="P50:P56" si="16">K50*12</f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5"/>
        <v>744477</v>
      </c>
      <c r="I51" s="220">
        <f t="shared" si="10"/>
        <v>123801.416666667</v>
      </c>
      <c r="J51" s="916">
        <v>49654.0466666667</v>
      </c>
      <c r="K51" s="916">
        <f t="shared" si="11"/>
        <v>59558.16</v>
      </c>
      <c r="L51" s="916">
        <f t="shared" si="12"/>
        <v>9904.11333333331</v>
      </c>
      <c r="M51" s="916">
        <v>8380.22708333333</v>
      </c>
      <c r="N51" s="916">
        <f>0.025*F51</f>
        <v>11475.2625</v>
      </c>
      <c r="O51" s="916">
        <f t="shared" si="13"/>
        <v>3095.03541666667</v>
      </c>
      <c r="P51" s="916">
        <f t="shared" si="16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5"/>
        <v>722595.5</v>
      </c>
      <c r="I52" s="220">
        <f t="shared" si="10"/>
        <v>121198.666666667</v>
      </c>
      <c r="J52" s="916">
        <v>46569.4466666667</v>
      </c>
      <c r="K52" s="916">
        <f t="shared" si="11"/>
        <v>57807.64</v>
      </c>
      <c r="L52" s="916">
        <f t="shared" si="12"/>
        <v>11238.1933333333</v>
      </c>
      <c r="M52" s="916"/>
      <c r="N52" s="916"/>
      <c r="O52" s="916">
        <f t="shared" si="13"/>
        <v>0</v>
      </c>
      <c r="P52" s="916">
        <f t="shared" si="16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220">
        <v>267732.833333333</v>
      </c>
      <c r="H53" s="911">
        <f t="shared" si="15"/>
        <v>700713.916666666</v>
      </c>
      <c r="I53" s="220">
        <f t="shared" si="10"/>
        <v>118595.833333333</v>
      </c>
      <c r="J53" s="916">
        <v>46569.45</v>
      </c>
      <c r="K53" s="916">
        <f t="shared" si="11"/>
        <v>56057.1133333333</v>
      </c>
      <c r="L53" s="916">
        <f t="shared" si="12"/>
        <v>9487.6633333333</v>
      </c>
      <c r="M53" s="916"/>
      <c r="N53" s="916"/>
      <c r="O53" s="916">
        <f t="shared" si="13"/>
        <v>0</v>
      </c>
      <c r="P53" s="916">
        <f t="shared" si="16"/>
        <v>672685.36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220">
        <v>143964.666666667</v>
      </c>
      <c r="H54" s="911">
        <f t="shared" si="15"/>
        <v>390135.833333334</v>
      </c>
      <c r="I54" s="220">
        <f t="shared" si="10"/>
        <v>81234.333333334</v>
      </c>
      <c r="J54" s="916">
        <v>24077.2466666667</v>
      </c>
      <c r="K54" s="916">
        <f t="shared" si="11"/>
        <v>31210.8666666667</v>
      </c>
      <c r="L54" s="916">
        <f t="shared" si="12"/>
        <v>7133.62</v>
      </c>
      <c r="M54" s="916"/>
      <c r="N54" s="916"/>
      <c r="O54" s="916">
        <f t="shared" si="13"/>
        <v>0</v>
      </c>
      <c r="P54" s="916">
        <f t="shared" si="16"/>
        <v>374530.4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5"/>
        <v>347016.166666666</v>
      </c>
      <c r="I55" s="220">
        <f t="shared" si="10"/>
        <v>76534.499999999</v>
      </c>
      <c r="J55" s="916">
        <v>21053.2266666667</v>
      </c>
      <c r="K55" s="916">
        <f t="shared" si="11"/>
        <v>27761.2933333333</v>
      </c>
      <c r="L55" s="916">
        <f t="shared" si="12"/>
        <v>6708.0666666666</v>
      </c>
      <c r="M55" s="916"/>
      <c r="N55" s="916"/>
      <c r="O55" s="916">
        <f t="shared" si="13"/>
        <v>0</v>
      </c>
      <c r="P55" s="916">
        <f t="shared" si="16"/>
        <v>333135.52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5"/>
        <v>347016.166666666</v>
      </c>
      <c r="I56" s="220">
        <f t="shared" si="10"/>
        <v>76534.499999999</v>
      </c>
      <c r="J56" s="916">
        <v>21053.2266666667</v>
      </c>
      <c r="K56" s="916">
        <f t="shared" si="11"/>
        <v>27761.2933333333</v>
      </c>
      <c r="L56" s="916">
        <f t="shared" si="12"/>
        <v>6708.0666666666</v>
      </c>
      <c r="M56" s="916"/>
      <c r="N56" s="916"/>
      <c r="O56" s="916">
        <f t="shared" si="13"/>
        <v>0</v>
      </c>
      <c r="P56" s="916">
        <f t="shared" si="16"/>
        <v>333135.52</v>
      </c>
      <c r="Q56" s="916"/>
    </row>
    <row r="57" ht="25.5" customHeight="1" spans="1:17">
      <c r="A57" s="10"/>
      <c r="B57" s="20" t="s">
        <v>111</v>
      </c>
      <c r="C57" s="21">
        <v>8</v>
      </c>
      <c r="D57" s="21"/>
      <c r="E57" s="93">
        <f t="shared" ref="E57:Q57" si="17">SUM(E49:E56)</f>
        <v>4037104.08333333</v>
      </c>
      <c r="F57" s="912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220">
        <v>660329.333333333</v>
      </c>
      <c r="H60" s="911">
        <f>F60+G60</f>
        <v>1747106.41666666</v>
      </c>
      <c r="I60" s="220">
        <f t="shared" si="10"/>
        <v>311386.41666666</v>
      </c>
      <c r="J60" s="916">
        <v>114857.6</v>
      </c>
      <c r="K60" s="916">
        <f t="shared" si="11"/>
        <v>139768.513333333</v>
      </c>
      <c r="L60" s="916">
        <f t="shared" si="12"/>
        <v>24910.913333333</v>
      </c>
      <c r="M60" s="916"/>
      <c r="N60" s="916"/>
      <c r="O60" s="916">
        <f t="shared" si="13"/>
        <v>0</v>
      </c>
      <c r="P60" s="916">
        <f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>F61+G61</f>
        <v>744477</v>
      </c>
      <c r="I61" s="220">
        <f t="shared" si="10"/>
        <v>123801.416666667</v>
      </c>
      <c r="J61" s="916">
        <v>49654.0466666667</v>
      </c>
      <c r="K61" s="916">
        <f t="shared" si="11"/>
        <v>59558.16</v>
      </c>
      <c r="L61" s="916">
        <f t="shared" si="12"/>
        <v>9904.11333333331</v>
      </c>
      <c r="M61" s="916"/>
      <c r="N61" s="916"/>
      <c r="O61" s="916">
        <f t="shared" si="13"/>
        <v>0</v>
      </c>
      <c r="P61" s="916">
        <f>K61*12</f>
        <v>714697.92</v>
      </c>
      <c r="Q61" s="916"/>
    </row>
    <row r="62" customHeight="1" spans="1:17">
      <c r="A62" s="10"/>
      <c r="B62" s="20" t="s">
        <v>111</v>
      </c>
      <c r="C62" s="21">
        <v>2</v>
      </c>
      <c r="D62" s="21"/>
      <c r="E62" s="93">
        <f t="shared" ref="E62:Q62" si="18">SUM(E60:E61)</f>
        <v>2056395.58333333</v>
      </c>
      <c r="F62" s="912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6">
        <v>60989.8533333333</v>
      </c>
      <c r="K65" s="916">
        <f t="shared" si="11"/>
        <v>72424.54</v>
      </c>
      <c r="L65" s="916">
        <f t="shared" si="12"/>
        <v>11434.6866666667</v>
      </c>
      <c r="M65" s="916">
        <v>10293.3979166667</v>
      </c>
      <c r="N65" s="916">
        <f>0.025*F65</f>
        <v>13866.7375</v>
      </c>
      <c r="O65" s="916">
        <f t="shared" si="13"/>
        <v>3573.3395833333</v>
      </c>
      <c r="P65" s="916">
        <f>K65*12</f>
        <v>869094.48</v>
      </c>
      <c r="Q65" s="916">
        <f>N65*12</f>
        <v>166400.85</v>
      </c>
    </row>
    <row r="66" customHeight="1" spans="1:17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6">
        <v>35419.72</v>
      </c>
      <c r="K66" s="916">
        <f t="shared" si="11"/>
        <v>44653.22</v>
      </c>
      <c r="L66" s="916">
        <f t="shared" si="12"/>
        <v>9233.5</v>
      </c>
      <c r="M66" s="916"/>
      <c r="N66" s="916"/>
      <c r="O66" s="916">
        <f t="shared" si="13"/>
        <v>0</v>
      </c>
      <c r="P66" s="916">
        <f t="shared" ref="P66:P71" si="20">K66*12</f>
        <v>535838.64</v>
      </c>
      <c r="Q66" s="916"/>
    </row>
    <row r="67" customHeight="1" spans="1:17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6">
        <v>29256.3066666667</v>
      </c>
      <c r="K67" s="916">
        <f t="shared" si="11"/>
        <v>37506.2533333334</v>
      </c>
      <c r="L67" s="916">
        <f t="shared" si="12"/>
        <v>8249.94666666666</v>
      </c>
      <c r="M67" s="916"/>
      <c r="N67" s="916"/>
      <c r="O67" s="916">
        <f t="shared" si="13"/>
        <v>0</v>
      </c>
      <c r="P67" s="916">
        <f t="shared" si="20"/>
        <v>450075.040000001</v>
      </c>
      <c r="Q67" s="916"/>
    </row>
    <row r="68" customHeight="1" spans="1:17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6">
        <v>29256.3066666667</v>
      </c>
      <c r="K68" s="916">
        <f t="shared" si="11"/>
        <v>37506.2533333334</v>
      </c>
      <c r="L68" s="916">
        <f t="shared" si="12"/>
        <v>8249.94666666666</v>
      </c>
      <c r="M68" s="916"/>
      <c r="N68" s="916"/>
      <c r="O68" s="916">
        <f t="shared" si="13"/>
        <v>0</v>
      </c>
      <c r="P68" s="916">
        <f t="shared" si="20"/>
        <v>450075.040000001</v>
      </c>
      <c r="Q68" s="916"/>
    </row>
    <row r="69" customHeight="1" spans="1:17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6">
        <v>29256.3066666667</v>
      </c>
      <c r="K69" s="916">
        <f t="shared" si="11"/>
        <v>37506.2533333334</v>
      </c>
      <c r="L69" s="916">
        <f t="shared" si="12"/>
        <v>8249.94666666666</v>
      </c>
      <c r="M69" s="916"/>
      <c r="N69" s="916"/>
      <c r="O69" s="916">
        <f t="shared" si="13"/>
        <v>0</v>
      </c>
      <c r="P69" s="916">
        <f t="shared" si="20"/>
        <v>450075.040000001</v>
      </c>
      <c r="Q69" s="916"/>
    </row>
    <row r="70" customHeight="1" spans="1:17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6">
        <v>30231.6133333333</v>
      </c>
      <c r="K70" s="916">
        <f t="shared" si="11"/>
        <v>38613.0133333334</v>
      </c>
      <c r="L70" s="916">
        <f t="shared" si="12"/>
        <v>8381.40000000006</v>
      </c>
      <c r="M70" s="916"/>
      <c r="N70" s="916"/>
      <c r="O70" s="916">
        <f t="shared" si="13"/>
        <v>0</v>
      </c>
      <c r="P70" s="916">
        <f t="shared" si="20"/>
        <v>463356.160000001</v>
      </c>
      <c r="Q70" s="916"/>
    </row>
    <row r="71" ht="21.6" customHeight="1" spans="1:17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6">
        <v>24077.2466666667</v>
      </c>
      <c r="K71" s="916">
        <f t="shared" si="11"/>
        <v>31210.8666666667</v>
      </c>
      <c r="L71" s="916">
        <f t="shared" si="12"/>
        <v>7133.62000000002</v>
      </c>
      <c r="M71" s="916"/>
      <c r="N71" s="916">
        <f>0.025*F71</f>
        <v>6154.27916666668</v>
      </c>
      <c r="O71" s="916">
        <f t="shared" si="13"/>
        <v>6154.27916666668</v>
      </c>
      <c r="P71" s="916">
        <f t="shared" si="20"/>
        <v>374530.4</v>
      </c>
      <c r="Q71" s="916"/>
    </row>
    <row r="72" ht="27" customHeight="1" spans="1:17">
      <c r="A72" s="10"/>
      <c r="B72" s="20" t="s">
        <v>111</v>
      </c>
      <c r="C72" s="21">
        <v>7</v>
      </c>
      <c r="D72" s="21"/>
      <c r="E72" s="93">
        <f t="shared" ref="E72:Q72" si="21">SUM(E65:E71)</f>
        <v>3051668.91666667</v>
      </c>
      <c r="F72" s="912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169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220">
        <v>660329.333333333</v>
      </c>
      <c r="H75" s="911">
        <f t="shared" ref="H75:H80" si="22">F75+G75</f>
        <v>1747106.41666666</v>
      </c>
      <c r="I75" s="220">
        <f t="shared" ref="I73:I104" si="23">H75-E75</f>
        <v>311386.41666666</v>
      </c>
      <c r="J75" s="916">
        <v>114857.6</v>
      </c>
      <c r="K75" s="916">
        <f t="shared" ref="K73:K104" si="24">H75*0.08</f>
        <v>139768.513333333</v>
      </c>
      <c r="L75" s="916">
        <f t="shared" ref="L72:L103" si="25">K75-J75</f>
        <v>24910.9133333328</v>
      </c>
      <c r="M75" s="916"/>
      <c r="N75" s="916"/>
      <c r="O75" s="916">
        <f t="shared" ref="O73:O104" si="26">N75-M75</f>
        <v>0</v>
      </c>
      <c r="P75" s="916">
        <f t="shared" ref="P75:P80" si="27">K75*12</f>
        <v>1677222.16</v>
      </c>
      <c r="Q75" s="916"/>
    </row>
    <row r="76" customHeight="1" spans="1:17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220">
        <v>276599.666666667</v>
      </c>
      <c r="H76" s="911">
        <f t="shared" si="22"/>
        <v>722595.5</v>
      </c>
      <c r="I76" s="220">
        <f t="shared" si="23"/>
        <v>140477.416666667</v>
      </c>
      <c r="J76" s="916">
        <v>46569.4466666667</v>
      </c>
      <c r="K76" s="916">
        <f t="shared" si="24"/>
        <v>57807.64</v>
      </c>
      <c r="L76" s="916">
        <f t="shared" si="25"/>
        <v>11238.1933333333</v>
      </c>
      <c r="M76" s="916"/>
      <c r="N76" s="916"/>
      <c r="O76" s="916">
        <f t="shared" si="26"/>
        <v>0</v>
      </c>
      <c r="P76" s="916">
        <f t="shared" si="27"/>
        <v>693691.68</v>
      </c>
      <c r="Q76" s="916"/>
    </row>
    <row r="77" customHeight="1" spans="1:17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220">
        <v>216844.416666667</v>
      </c>
      <c r="H77" s="911">
        <f t="shared" si="22"/>
        <v>573911.083333334</v>
      </c>
      <c r="I77" s="220">
        <f t="shared" si="23"/>
        <v>103413.083333334</v>
      </c>
      <c r="J77" s="916">
        <v>36529.78</v>
      </c>
      <c r="K77" s="916">
        <f t="shared" si="24"/>
        <v>45912.8866666667</v>
      </c>
      <c r="L77" s="916">
        <f t="shared" si="25"/>
        <v>9383.10666666672</v>
      </c>
      <c r="M77" s="916">
        <v>6154.32291666667</v>
      </c>
      <c r="N77" s="916">
        <f>0.025*F77</f>
        <v>8926.66666666668</v>
      </c>
      <c r="O77" s="916">
        <f t="shared" si="26"/>
        <v>2772.34375000001</v>
      </c>
      <c r="P77" s="916">
        <f t="shared" si="27"/>
        <v>550954.64</v>
      </c>
      <c r="Q77" s="916">
        <f>N77*12</f>
        <v>107120</v>
      </c>
    </row>
    <row r="78" customHeight="1" spans="1:17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220">
        <v>168546.5</v>
      </c>
      <c r="H78" s="911">
        <f t="shared" si="22"/>
        <v>454993.583333333</v>
      </c>
      <c r="I78" s="220">
        <f t="shared" si="23"/>
        <v>89289.75</v>
      </c>
      <c r="J78" s="916">
        <v>28281</v>
      </c>
      <c r="K78" s="916">
        <f t="shared" si="24"/>
        <v>36399.4866666666</v>
      </c>
      <c r="L78" s="916">
        <f t="shared" si="25"/>
        <v>8118.48666666664</v>
      </c>
      <c r="M78" s="916"/>
      <c r="N78" s="916"/>
      <c r="O78" s="916">
        <f t="shared" si="26"/>
        <v>0</v>
      </c>
      <c r="P78" s="916">
        <f t="shared" si="27"/>
        <v>436793.839999999</v>
      </c>
      <c r="Q78" s="916"/>
    </row>
    <row r="79" customHeight="1" spans="1:17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22"/>
        <v>347016.166666666</v>
      </c>
      <c r="I79" s="220">
        <f t="shared" si="23"/>
        <v>83850.833333333</v>
      </c>
      <c r="J79" s="916">
        <v>21053.2266666667</v>
      </c>
      <c r="K79" s="916">
        <f t="shared" si="24"/>
        <v>27761.2933333333</v>
      </c>
      <c r="L79" s="916">
        <f t="shared" si="25"/>
        <v>6708.06666666658</v>
      </c>
      <c r="M79" s="916"/>
      <c r="N79" s="916">
        <f>0.025*F79</f>
        <v>5566.86458333332</v>
      </c>
      <c r="O79" s="916">
        <f t="shared" si="26"/>
        <v>5566.86458333332</v>
      </c>
      <c r="P79" s="916">
        <f t="shared" si="27"/>
        <v>333135.52</v>
      </c>
      <c r="Q79" s="916"/>
    </row>
    <row r="80" customHeight="1" spans="1:17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220">
        <v>105546.333333333</v>
      </c>
      <c r="H80" s="911">
        <f t="shared" si="22"/>
        <v>301910.75</v>
      </c>
      <c r="I80" s="220">
        <f t="shared" si="23"/>
        <v>71278.833333333</v>
      </c>
      <c r="J80" s="916">
        <v>17956.78</v>
      </c>
      <c r="K80" s="916">
        <f t="shared" si="24"/>
        <v>24152.86</v>
      </c>
      <c r="L80" s="916">
        <f t="shared" si="25"/>
        <v>6196.08</v>
      </c>
      <c r="M80" s="916"/>
      <c r="N80" s="916"/>
      <c r="O80" s="916">
        <f t="shared" si="26"/>
        <v>0</v>
      </c>
      <c r="P80" s="916">
        <f t="shared" si="27"/>
        <v>289834.32</v>
      </c>
      <c r="Q80" s="916"/>
    </row>
    <row r="81" customHeight="1" spans="1:17">
      <c r="A81" s="10"/>
      <c r="B81" s="20" t="s">
        <v>111</v>
      </c>
      <c r="C81" s="21">
        <v>6</v>
      </c>
      <c r="D81" s="21"/>
      <c r="E81" s="93">
        <f t="shared" ref="E81:Q81" si="28">SUM(E75:E80)</f>
        <v>3347837.16666667</v>
      </c>
      <c r="F81" s="912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189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295569.333333327</v>
      </c>
      <c r="J84" s="916">
        <v>114857.6</v>
      </c>
      <c r="K84" s="916">
        <f t="shared" si="24"/>
        <v>131808.96</v>
      </c>
      <c r="L84" s="916">
        <f t="shared" si="25"/>
        <v>16951.3599999998</v>
      </c>
      <c r="M84" s="916">
        <v>18254.975</v>
      </c>
      <c r="N84" s="916">
        <f>0.025*F84</f>
        <v>25644.2083333333</v>
      </c>
      <c r="O84" s="916">
        <f t="shared" si="26"/>
        <v>7389.2333333333</v>
      </c>
      <c r="P84" s="916">
        <f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6">
        <v>59136.2866666667</v>
      </c>
      <c r="K85" s="916">
        <f t="shared" si="24"/>
        <v>68216.8866666666</v>
      </c>
      <c r="L85" s="916">
        <f t="shared" si="25"/>
        <v>9080.59999999994</v>
      </c>
      <c r="M85" s="916"/>
      <c r="N85" s="916"/>
      <c r="O85" s="916">
        <f t="shared" si="26"/>
        <v>0</v>
      </c>
      <c r="P85" s="916">
        <f t="shared" ref="P85:P93" si="30">12*K85</f>
        <v>818602.64</v>
      </c>
      <c r="Q85" s="916"/>
    </row>
    <row r="86" customHeight="1" spans="1:17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6">
        <v>46569.4466666667</v>
      </c>
      <c r="K86" s="916">
        <f t="shared" si="24"/>
        <v>57807.64</v>
      </c>
      <c r="L86" s="916">
        <f t="shared" si="25"/>
        <v>11238.1933333333</v>
      </c>
      <c r="M86" s="916"/>
      <c r="N86" s="916"/>
      <c r="O86" s="916">
        <f t="shared" si="26"/>
        <v>0</v>
      </c>
      <c r="P86" s="916">
        <f t="shared" si="30"/>
        <v>693691.68</v>
      </c>
      <c r="Q86" s="916"/>
    </row>
    <row r="87" ht="21.6" customHeight="1" spans="1:17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6">
        <v>35344.3933333333</v>
      </c>
      <c r="K87" s="916">
        <f t="shared" si="24"/>
        <v>44653.22</v>
      </c>
      <c r="L87" s="916">
        <f t="shared" si="25"/>
        <v>9308.82666666667</v>
      </c>
      <c r="M87" s="916"/>
      <c r="N87" s="916"/>
      <c r="O87" s="916">
        <f t="shared" si="26"/>
        <v>0</v>
      </c>
      <c r="P87" s="916">
        <f t="shared" si="30"/>
        <v>535838.64</v>
      </c>
      <c r="Q87" s="916"/>
    </row>
    <row r="88" ht="21.6" customHeight="1" spans="1:17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6">
        <v>35419.72</v>
      </c>
      <c r="K88" s="916">
        <f t="shared" si="24"/>
        <v>44653.3</v>
      </c>
      <c r="L88" s="916">
        <f t="shared" si="25"/>
        <v>9233.57999999997</v>
      </c>
      <c r="M88" s="916"/>
      <c r="N88" s="916">
        <f>0.025*F88</f>
        <v>8692.92291666667</v>
      </c>
      <c r="O88" s="916">
        <f t="shared" si="26"/>
        <v>8692.92291666667</v>
      </c>
      <c r="P88" s="916">
        <f t="shared" si="30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6">
        <v>34309.66</v>
      </c>
      <c r="K89" s="916">
        <f t="shared" si="24"/>
        <v>43393.56</v>
      </c>
      <c r="L89" s="916">
        <f t="shared" si="25"/>
        <v>9083.89999999999</v>
      </c>
      <c r="M89" s="916"/>
      <c r="N89" s="916"/>
      <c r="O89" s="916">
        <f t="shared" si="26"/>
        <v>0</v>
      </c>
      <c r="P89" s="916">
        <f t="shared" si="30"/>
        <v>520722.72</v>
      </c>
      <c r="Q89" s="916"/>
    </row>
    <row r="90" ht="21.6" customHeight="1" spans="1:17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6">
        <v>29256.3066666667</v>
      </c>
      <c r="K90" s="916">
        <f t="shared" si="24"/>
        <v>37506.2533333334</v>
      </c>
      <c r="L90" s="916">
        <f t="shared" si="25"/>
        <v>8249.94666666666</v>
      </c>
      <c r="M90" s="916"/>
      <c r="N90" s="916"/>
      <c r="O90" s="916">
        <f t="shared" si="26"/>
        <v>0</v>
      </c>
      <c r="P90" s="916">
        <f t="shared" si="30"/>
        <v>450075.04</v>
      </c>
      <c r="Q90" s="916"/>
    </row>
    <row r="91" ht="21.6" customHeight="1" spans="1:17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6">
        <v>31219.9133333333</v>
      </c>
      <c r="K91" s="916">
        <f t="shared" si="24"/>
        <v>39797.82</v>
      </c>
      <c r="L91" s="916">
        <f t="shared" si="25"/>
        <v>8577.9066666667</v>
      </c>
      <c r="M91" s="916">
        <v>5259.74375</v>
      </c>
      <c r="N91" s="916">
        <f>0.025*F91</f>
        <v>7791.83125</v>
      </c>
      <c r="O91" s="916">
        <f t="shared" si="26"/>
        <v>2532.0875</v>
      </c>
      <c r="P91" s="916">
        <f t="shared" si="30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6">
        <v>24077.2466666667</v>
      </c>
      <c r="K92" s="916">
        <f t="shared" si="24"/>
        <v>31210.8666666667</v>
      </c>
      <c r="L92" s="916">
        <f t="shared" si="25"/>
        <v>7133.62000000002</v>
      </c>
      <c r="M92" s="916"/>
      <c r="N92" s="916"/>
      <c r="O92" s="916">
        <f t="shared" si="26"/>
        <v>0</v>
      </c>
      <c r="P92" s="916">
        <f t="shared" si="30"/>
        <v>374530.400000001</v>
      </c>
      <c r="Q92" s="916"/>
    </row>
    <row r="93" ht="21.6" customHeight="1" spans="1:17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6">
        <v>18450.5533333333</v>
      </c>
      <c r="K93" s="916">
        <f t="shared" si="24"/>
        <v>24713.6533333334</v>
      </c>
      <c r="L93" s="916">
        <f t="shared" si="25"/>
        <v>6263.10000000006</v>
      </c>
      <c r="M93" s="916"/>
      <c r="N93" s="916">
        <f>0.025*F93</f>
        <v>5013.73541666668</v>
      </c>
      <c r="O93" s="916">
        <f t="shared" si="26"/>
        <v>5013.73541666668</v>
      </c>
      <c r="P93" s="916">
        <f t="shared" si="30"/>
        <v>296563.84</v>
      </c>
      <c r="Q93" s="916"/>
    </row>
    <row r="94" customHeight="1" spans="1:17">
      <c r="A94" s="10"/>
      <c r="B94" s="20" t="s">
        <v>111</v>
      </c>
      <c r="C94" s="21">
        <v>10</v>
      </c>
      <c r="D94" s="21"/>
      <c r="E94" s="93">
        <f t="shared" ref="E94:Q94" si="31">SUM(E84:E93)</f>
        <v>5352203.16666667</v>
      </c>
      <c r="F94" s="912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209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220">
        <v>641086.5</v>
      </c>
      <c r="H97" s="911">
        <f>F97+G97</f>
        <v>1697359.33333333</v>
      </c>
      <c r="I97" s="220">
        <f t="shared" si="23"/>
        <v>303478</v>
      </c>
      <c r="J97" s="916">
        <v>114857.6</v>
      </c>
      <c r="K97" s="916">
        <f t="shared" si="24"/>
        <v>135788.746666666</v>
      </c>
      <c r="L97" s="916">
        <f t="shared" si="25"/>
        <v>20931.1466666664</v>
      </c>
      <c r="M97" s="916">
        <v>18254.975</v>
      </c>
      <c r="N97" s="916">
        <f>0.025*F97</f>
        <v>26406.8208333333</v>
      </c>
      <c r="O97" s="916">
        <f t="shared" si="26"/>
        <v>8151.8458333333</v>
      </c>
      <c r="P97" s="916">
        <f>12*K97</f>
        <v>1629464.95999999</v>
      </c>
      <c r="Q97" s="916">
        <f>N97*12</f>
        <v>316881.849999999</v>
      </c>
    </row>
    <row r="98" customHeight="1" spans="1:17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220">
        <v>216844.416666667</v>
      </c>
      <c r="H98" s="911">
        <f>F98+G98</f>
        <v>573911.083333334</v>
      </c>
      <c r="I98" s="220">
        <f t="shared" si="23"/>
        <v>103413.083333334</v>
      </c>
      <c r="J98" s="916">
        <v>36529.78</v>
      </c>
      <c r="K98" s="916">
        <f t="shared" si="24"/>
        <v>45912.8866666667</v>
      </c>
      <c r="L98" s="916">
        <f t="shared" si="25"/>
        <v>9383.10666666672</v>
      </c>
      <c r="M98" s="916"/>
      <c r="N98" s="916"/>
      <c r="O98" s="916">
        <f t="shared" si="26"/>
        <v>0</v>
      </c>
      <c r="P98" s="916">
        <f>12*K98</f>
        <v>550954.64</v>
      </c>
      <c r="Q98" s="916">
        <f>N98*12</f>
        <v>0</v>
      </c>
    </row>
    <row r="99" customHeight="1" spans="1:17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220">
        <v>185799.5</v>
      </c>
      <c r="H99" s="911">
        <f>F99+G99</f>
        <v>497472.75</v>
      </c>
      <c r="I99" s="220">
        <f t="shared" si="23"/>
        <v>94334.833333333</v>
      </c>
      <c r="J99" s="916">
        <v>31219.91</v>
      </c>
      <c r="K99" s="916">
        <f t="shared" si="24"/>
        <v>39797.82</v>
      </c>
      <c r="L99" s="916">
        <f t="shared" si="25"/>
        <v>8577.91</v>
      </c>
      <c r="M99" s="916">
        <v>5967.30625</v>
      </c>
      <c r="N99" s="916">
        <f>0.025*F99</f>
        <v>7791.83125</v>
      </c>
      <c r="O99" s="916">
        <f t="shared" si="26"/>
        <v>1824.525</v>
      </c>
      <c r="P99" s="916">
        <f>12*K99</f>
        <v>477573.84</v>
      </c>
      <c r="Q99" s="916">
        <f>N99*12</f>
        <v>93501.975</v>
      </c>
    </row>
    <row r="100" customHeight="1" spans="1:17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220">
        <v>179784</v>
      </c>
      <c r="H100" s="911">
        <f>F100+G100</f>
        <v>482662.666666667</v>
      </c>
      <c r="I100" s="220">
        <f t="shared" si="23"/>
        <v>92576.166666667</v>
      </c>
      <c r="J100" s="916">
        <v>30231.6133333333</v>
      </c>
      <c r="K100" s="916">
        <f t="shared" si="24"/>
        <v>38613.0133333334</v>
      </c>
      <c r="L100" s="916">
        <f t="shared" si="25"/>
        <v>8381.40000000006</v>
      </c>
      <c r="M100" s="916"/>
      <c r="N100" s="916"/>
      <c r="O100" s="916">
        <f t="shared" si="26"/>
        <v>0</v>
      </c>
      <c r="P100" s="916">
        <f>12*K100</f>
        <v>463356.160000001</v>
      </c>
      <c r="Q100" s="916">
        <f>N100*12</f>
        <v>0</v>
      </c>
    </row>
    <row r="101" customHeight="1" spans="1:17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220">
        <v>143964.666666667</v>
      </c>
      <c r="H101" s="911">
        <f>F101+G101</f>
        <v>390135.833333334</v>
      </c>
      <c r="I101" s="220">
        <f t="shared" si="23"/>
        <v>81234.333333334</v>
      </c>
      <c r="J101" s="916">
        <v>24077.2466666667</v>
      </c>
      <c r="K101" s="916">
        <f t="shared" si="24"/>
        <v>31210.8666666667</v>
      </c>
      <c r="L101" s="916">
        <f t="shared" si="25"/>
        <v>7133.62000000002</v>
      </c>
      <c r="M101" s="916"/>
      <c r="N101" s="916"/>
      <c r="O101" s="916">
        <f t="shared" si="26"/>
        <v>0</v>
      </c>
      <c r="P101" s="916">
        <f>12*K101</f>
        <v>374530.4</v>
      </c>
      <c r="Q101" s="916">
        <f>N101*12</f>
        <v>0</v>
      </c>
    </row>
    <row r="102" customHeight="1" spans="1:17">
      <c r="A102" s="4"/>
      <c r="B102" s="20" t="s">
        <v>111</v>
      </c>
      <c r="C102" s="21">
        <v>5</v>
      </c>
      <c r="D102" s="26"/>
      <c r="E102" s="93">
        <f t="shared" ref="E102:Q102" si="32">SUM(E97:E101)</f>
        <v>2966505.25</v>
      </c>
      <c r="F102" s="912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223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220">
        <v>660329.333333333</v>
      </c>
      <c r="H105" s="911">
        <f>F105+G105</f>
        <v>1747106.41666666</v>
      </c>
      <c r="I105" s="220">
        <f t="shared" ref="I105:I136" si="33">H105-E105</f>
        <v>311386.41666666</v>
      </c>
      <c r="J105" s="916">
        <v>114857.6</v>
      </c>
      <c r="K105" s="916">
        <f t="shared" ref="K105:K111" si="34">H105*0.08</f>
        <v>139768.513333333</v>
      </c>
      <c r="L105" s="916">
        <f>K105-J105</f>
        <v>24910.9133333328</v>
      </c>
      <c r="M105" s="916">
        <v>0</v>
      </c>
      <c r="N105" s="916"/>
      <c r="O105" s="916">
        <f t="shared" ref="O105:O136" si="35">N105-M105</f>
        <v>0</v>
      </c>
      <c r="P105" s="916">
        <f>K105*12</f>
        <v>1677222.16</v>
      </c>
      <c r="Q105" s="916"/>
    </row>
    <row r="106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220">
        <v>350637.25</v>
      </c>
      <c r="H106" s="911">
        <f t="shared" ref="H106:H111" si="36">F106+G106</f>
        <v>905306.75</v>
      </c>
      <c r="I106" s="220">
        <f t="shared" si="33"/>
        <v>142933.583333333</v>
      </c>
      <c r="J106" s="916">
        <v>60989.8533333333</v>
      </c>
      <c r="K106" s="916">
        <f t="shared" si="34"/>
        <v>72424.54</v>
      </c>
      <c r="L106" s="916">
        <f t="shared" ref="L106:L117" si="37">K106-J106</f>
        <v>11434.6866666667</v>
      </c>
      <c r="M106" s="916">
        <v>10293.3979166667</v>
      </c>
      <c r="N106" s="916">
        <f t="shared" ref="N106:N111" si="38">0.025*F106</f>
        <v>13866.7375</v>
      </c>
      <c r="O106" s="916">
        <f t="shared" si="35"/>
        <v>3573.3395833333</v>
      </c>
      <c r="P106" s="916">
        <f t="shared" ref="P106:P111" si="39">K106*12</f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228</v>
      </c>
      <c r="C107" s="4" t="s">
        <v>442</v>
      </c>
      <c r="D107" s="10" t="s">
        <v>52</v>
      </c>
      <c r="E107" s="85">
        <v>441804.916666667</v>
      </c>
      <c r="F107" s="909">
        <v>337730.833333333</v>
      </c>
      <c r="G107" s="220">
        <v>203620.5</v>
      </c>
      <c r="H107" s="911">
        <f t="shared" si="36"/>
        <v>541351.333333333</v>
      </c>
      <c r="I107" s="220">
        <f t="shared" si="33"/>
        <v>99546.416666666</v>
      </c>
      <c r="J107" s="916">
        <v>35344.3933333333</v>
      </c>
      <c r="K107" s="916">
        <f t="shared" si="34"/>
        <v>43308.1066666666</v>
      </c>
      <c r="L107" s="916">
        <f t="shared" si="37"/>
        <v>7963.71333333335</v>
      </c>
      <c r="M107" s="916">
        <v>5954.61041666667</v>
      </c>
      <c r="N107" s="916">
        <f t="shared" si="38"/>
        <v>8443.27083333333</v>
      </c>
      <c r="O107" s="916">
        <f t="shared" si="35"/>
        <v>2488.66041666666</v>
      </c>
      <c r="P107" s="916">
        <f t="shared" si="3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231</v>
      </c>
      <c r="C108" s="4" t="s">
        <v>442</v>
      </c>
      <c r="D108" s="10" t="s">
        <v>230</v>
      </c>
      <c r="E108" s="85">
        <v>441804.916666667</v>
      </c>
      <c r="F108" s="909">
        <v>338365.25</v>
      </c>
      <c r="G108" s="220">
        <v>204054.25</v>
      </c>
      <c r="H108" s="911">
        <f t="shared" si="36"/>
        <v>542419.5</v>
      </c>
      <c r="I108" s="220">
        <f t="shared" si="33"/>
        <v>100614.583333333</v>
      </c>
      <c r="J108" s="916">
        <v>35344.3933333333</v>
      </c>
      <c r="K108" s="916">
        <f t="shared" si="34"/>
        <v>43393.56</v>
      </c>
      <c r="L108" s="916">
        <f t="shared" si="37"/>
        <v>8049.1666666667</v>
      </c>
      <c r="M108" s="916"/>
      <c r="N108" s="916"/>
      <c r="O108" s="916">
        <f t="shared" si="35"/>
        <v>0</v>
      </c>
      <c r="P108" s="916">
        <f t="shared" si="39"/>
        <v>520722.72</v>
      </c>
      <c r="Q108" s="916"/>
    </row>
    <row r="109" customHeight="1" spans="1:17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220">
        <v>116846</v>
      </c>
      <c r="H109" s="911">
        <f t="shared" si="36"/>
        <v>329950.416666667</v>
      </c>
      <c r="I109" s="220">
        <f t="shared" si="33"/>
        <v>74629.833333334</v>
      </c>
      <c r="J109" s="916">
        <v>19931.8733333333</v>
      </c>
      <c r="K109" s="916">
        <f t="shared" si="34"/>
        <v>26396.0333333334</v>
      </c>
      <c r="L109" s="916">
        <f t="shared" si="37"/>
        <v>6464.16000000006</v>
      </c>
      <c r="M109" s="916"/>
      <c r="N109" s="916"/>
      <c r="O109" s="916">
        <f t="shared" si="35"/>
        <v>0</v>
      </c>
      <c r="P109" s="916">
        <f t="shared" si="39"/>
        <v>316752.4</v>
      </c>
      <c r="Q109" s="916"/>
    </row>
    <row r="110" customHeight="1" spans="1:17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220">
        <v>117614.916666667</v>
      </c>
      <c r="H110" s="911">
        <f t="shared" si="36"/>
        <v>330407.083333334</v>
      </c>
      <c r="I110" s="220">
        <f t="shared" si="33"/>
        <v>74558.083333334</v>
      </c>
      <c r="J110" s="916">
        <v>21053.2266666667</v>
      </c>
      <c r="K110" s="916">
        <f t="shared" si="34"/>
        <v>26432.5666666667</v>
      </c>
      <c r="L110" s="916">
        <f t="shared" si="37"/>
        <v>5379.34000000002</v>
      </c>
      <c r="M110" s="916"/>
      <c r="N110" s="916"/>
      <c r="O110" s="916">
        <f t="shared" si="35"/>
        <v>0</v>
      </c>
      <c r="P110" s="916">
        <f t="shared" si="39"/>
        <v>317190.800000001</v>
      </c>
      <c r="Q110" s="916"/>
    </row>
    <row r="111" customHeight="1" spans="1:17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220">
        <v>108371.25</v>
      </c>
      <c r="H111" s="911">
        <f t="shared" si="36"/>
        <v>308920.666666667</v>
      </c>
      <c r="I111" s="220">
        <f t="shared" si="33"/>
        <v>72116.583333334</v>
      </c>
      <c r="J111" s="916">
        <v>18450.5533333333</v>
      </c>
      <c r="K111" s="916">
        <f t="shared" si="34"/>
        <v>24713.6533333334</v>
      </c>
      <c r="L111" s="916">
        <f t="shared" si="37"/>
        <v>6263.10000000006</v>
      </c>
      <c r="M111" s="916"/>
      <c r="N111" s="916">
        <f t="shared" si="38"/>
        <v>5013.73541666668</v>
      </c>
      <c r="O111" s="916">
        <f t="shared" si="35"/>
        <v>5013.73541666668</v>
      </c>
      <c r="P111" s="916">
        <f t="shared" si="39"/>
        <v>296563.84</v>
      </c>
      <c r="Q111" s="916"/>
    </row>
    <row r="112" ht="25.5" customHeight="1" spans="1:17">
      <c r="A112" s="4"/>
      <c r="B112" s="20" t="s">
        <v>111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237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220">
        <v>179784</v>
      </c>
      <c r="H115" s="911">
        <f>F115+G115</f>
        <v>482662.666666667</v>
      </c>
      <c r="I115" s="220">
        <f t="shared" si="33"/>
        <v>92576.166666667</v>
      </c>
      <c r="J115" s="916">
        <v>30231.6133333333</v>
      </c>
      <c r="K115" s="916">
        <f>H115*0.08</f>
        <v>38613.0133333334</v>
      </c>
      <c r="L115" s="916">
        <f t="shared" si="37"/>
        <v>8381.40000000006</v>
      </c>
      <c r="M115" s="916"/>
      <c r="N115" s="916"/>
      <c r="O115" s="916">
        <f t="shared" si="35"/>
        <v>0</v>
      </c>
      <c r="P115" s="916">
        <f>12*K115</f>
        <v>463356.160000001</v>
      </c>
      <c r="Q115" s="916"/>
    </row>
    <row r="116" ht="18.75" customHeight="1" spans="1:17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220">
        <v>174165.25</v>
      </c>
      <c r="H116" s="911">
        <f>F116+G116</f>
        <v>468828.166666667</v>
      </c>
      <c r="I116" s="220">
        <f t="shared" si="33"/>
        <v>90933</v>
      </c>
      <c r="J116" s="916">
        <v>30231.6133333333</v>
      </c>
      <c r="K116" s="916">
        <f>H116*0.08</f>
        <v>37506.2533333334</v>
      </c>
      <c r="L116" s="916">
        <f t="shared" si="37"/>
        <v>7274.64000000006</v>
      </c>
      <c r="M116" s="916"/>
      <c r="N116" s="916"/>
      <c r="O116" s="916">
        <f t="shared" si="35"/>
        <v>0</v>
      </c>
      <c r="P116" s="916">
        <f>12*K116</f>
        <v>450075.040000001</v>
      </c>
      <c r="Q116" s="916"/>
    </row>
    <row r="117" customHeight="1" spans="1:17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220">
        <v>179859.166666667</v>
      </c>
      <c r="H117" s="911">
        <f>F117+G117</f>
        <v>482846.583333334</v>
      </c>
      <c r="I117" s="220">
        <f t="shared" si="33"/>
        <v>92597.666666667</v>
      </c>
      <c r="J117" s="916">
        <v>31219.91</v>
      </c>
      <c r="K117" s="916">
        <f>H117*0.08</f>
        <v>38627.7266666667</v>
      </c>
      <c r="L117" s="916">
        <f t="shared" si="37"/>
        <v>7407.81666666672</v>
      </c>
      <c r="M117" s="916">
        <v>5967.30625</v>
      </c>
      <c r="N117" s="916">
        <f>0.025*F117</f>
        <v>7574.68541666667</v>
      </c>
      <c r="O117" s="916">
        <f t="shared" si="35"/>
        <v>1607.37916666667</v>
      </c>
      <c r="P117" s="916">
        <f>12*K117</f>
        <v>463532.72</v>
      </c>
      <c r="Q117" s="916">
        <f>N117*12</f>
        <v>90896.2250000001</v>
      </c>
    </row>
    <row r="118" ht="24.75" customHeight="1" spans="1:17">
      <c r="A118" s="4"/>
      <c r="B118" s="20" t="s">
        <v>111</v>
      </c>
      <c r="C118" s="21">
        <v>3</v>
      </c>
      <c r="D118" s="26"/>
      <c r="E118" s="93">
        <f t="shared" ref="E118:Q118" si="41">SUM(E115:E117)</f>
        <v>1158230.58333333</v>
      </c>
      <c r="F118" s="912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245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220">
        <v>99896.5</v>
      </c>
      <c r="H121" s="911">
        <f>F121+G121</f>
        <v>287890.916666667</v>
      </c>
      <c r="I121" s="220">
        <f>H121-E121</f>
        <v>69603.333333334</v>
      </c>
      <c r="J121" s="916">
        <v>17463.0066666666</v>
      </c>
      <c r="K121" s="916">
        <f>H121*0.08</f>
        <v>23031.2733333334</v>
      </c>
      <c r="L121" s="916">
        <f>K121-J121</f>
        <v>5568.26666666676</v>
      </c>
      <c r="M121" s="916"/>
      <c r="N121" s="916"/>
      <c r="O121" s="916">
        <f t="shared" si="35"/>
        <v>0</v>
      </c>
      <c r="P121" s="916">
        <f>12*K121</f>
        <v>276375.280000001</v>
      </c>
      <c r="Q121" s="916"/>
    </row>
    <row r="122" ht="24.75" customHeight="1" spans="1:17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220">
        <v>99896.5</v>
      </c>
      <c r="H122" s="911">
        <f>F122+G122</f>
        <v>287890.916666667</v>
      </c>
      <c r="I122" s="220">
        <f>H122-E122</f>
        <v>69603.333333334</v>
      </c>
      <c r="J122" s="916">
        <v>17463.0066666666</v>
      </c>
      <c r="K122" s="916">
        <f>H122*0.08</f>
        <v>23031.2733333334</v>
      </c>
      <c r="L122" s="916">
        <f>K122-J122</f>
        <v>5568.26666666676</v>
      </c>
      <c r="M122" s="916"/>
      <c r="N122" s="916"/>
      <c r="O122" s="916">
        <f t="shared" si="35"/>
        <v>0</v>
      </c>
      <c r="P122" s="916">
        <f>12*K122</f>
        <v>276375.280000001</v>
      </c>
      <c r="Q122" s="916"/>
    </row>
    <row r="123" customHeight="1" spans="1:17">
      <c r="A123" s="4"/>
      <c r="B123" s="20" t="s">
        <v>111</v>
      </c>
      <c r="C123" s="21">
        <v>3</v>
      </c>
      <c r="D123" s="26"/>
      <c r="E123" s="93">
        <f t="shared" ref="E123:Q123" si="42">SUM(E121:E122)</f>
        <v>436575.166666666</v>
      </c>
      <c r="F123" s="912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252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220">
        <v>660329.333333333</v>
      </c>
      <c r="H126" s="911">
        <f t="shared" ref="H126:H135" si="43">F126+G126</f>
        <v>1747106.41666666</v>
      </c>
      <c r="I126" s="220">
        <f t="shared" ref="I126:I135" si="44">H126-E126</f>
        <v>311386.41666666</v>
      </c>
      <c r="J126" s="916">
        <v>114857.6</v>
      </c>
      <c r="K126" s="916">
        <f>H126*0.08</f>
        <v>139768.513333333</v>
      </c>
      <c r="L126" s="916">
        <f t="shared" ref="L126:L135" si="45">K126-J126</f>
        <v>24910.9133333328</v>
      </c>
      <c r="M126" s="916">
        <v>19384.7666666667</v>
      </c>
      <c r="N126" s="916">
        <f>0.025*F126</f>
        <v>27169.4270833333</v>
      </c>
      <c r="O126" s="916">
        <f t="shared" si="35"/>
        <v>7784.6604166666</v>
      </c>
      <c r="P126" s="916">
        <f>12*K126</f>
        <v>1677222.16</v>
      </c>
      <c r="Q126" s="916">
        <f>N126*12</f>
        <v>326033.124999999</v>
      </c>
    </row>
    <row r="127" customHeight="1" spans="1:17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220">
        <v>350637.25</v>
      </c>
      <c r="H127" s="911">
        <f t="shared" si="43"/>
        <v>905306.75</v>
      </c>
      <c r="I127" s="220">
        <f t="shared" si="44"/>
        <v>142933.583333333</v>
      </c>
      <c r="J127" s="916">
        <v>59136.2866666667</v>
      </c>
      <c r="K127" s="916">
        <f t="shared" ref="K127:K135" si="46">H127*0.08</f>
        <v>72424.54</v>
      </c>
      <c r="L127" s="916">
        <f t="shared" si="45"/>
        <v>13288.2533333333</v>
      </c>
      <c r="M127" s="916">
        <v>9980.56666666667</v>
      </c>
      <c r="N127" s="916">
        <f>0.025*F127</f>
        <v>13866.7375</v>
      </c>
      <c r="O127" s="916">
        <f t="shared" si="35"/>
        <v>3886.17083333333</v>
      </c>
      <c r="P127" s="916">
        <f t="shared" ref="P127:P135" si="47">12*K127</f>
        <v>869094.48</v>
      </c>
      <c r="Q127" s="916">
        <f t="shared" ref="Q127:Q135" si="48">N127*12</f>
        <v>166400.85</v>
      </c>
    </row>
    <row r="128" customHeight="1" spans="1:17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220">
        <v>329324.583333333</v>
      </c>
      <c r="H128" s="911">
        <f t="shared" si="43"/>
        <v>852711.083333333</v>
      </c>
      <c r="I128" s="220">
        <f t="shared" si="44"/>
        <v>136677.083333333</v>
      </c>
      <c r="J128" s="916">
        <v>59136.2866666667</v>
      </c>
      <c r="K128" s="916">
        <f t="shared" si="46"/>
        <v>68216.8866666666</v>
      </c>
      <c r="L128" s="916">
        <f t="shared" si="45"/>
        <v>9080.59999999994</v>
      </c>
      <c r="M128" s="916">
        <v>9980.56666666667</v>
      </c>
      <c r="N128" s="916">
        <f>0.025*F128</f>
        <v>13084.6625</v>
      </c>
      <c r="O128" s="916">
        <f t="shared" si="35"/>
        <v>3104.09583333333</v>
      </c>
      <c r="P128" s="916">
        <f t="shared" si="47"/>
        <v>818602.639999999</v>
      </c>
      <c r="Q128" s="916">
        <f t="shared" si="48"/>
        <v>157015.95</v>
      </c>
    </row>
    <row r="129" customHeight="1" spans="1:17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220">
        <v>223239.5</v>
      </c>
      <c r="H129" s="911">
        <f t="shared" si="43"/>
        <v>589657</v>
      </c>
      <c r="I129" s="220">
        <f t="shared" si="44"/>
        <v>105283.25</v>
      </c>
      <c r="J129" s="916">
        <v>37639.84</v>
      </c>
      <c r="K129" s="916">
        <f t="shared" si="46"/>
        <v>47172.56</v>
      </c>
      <c r="L129" s="916">
        <f t="shared" si="45"/>
        <v>9532.72</v>
      </c>
      <c r="M129" s="916">
        <v>0</v>
      </c>
      <c r="N129" s="916"/>
      <c r="O129" s="916">
        <f t="shared" si="35"/>
        <v>0</v>
      </c>
      <c r="P129" s="916">
        <f t="shared" si="47"/>
        <v>566070.72</v>
      </c>
      <c r="Q129" s="916">
        <f t="shared" si="48"/>
        <v>0</v>
      </c>
    </row>
    <row r="130" customHeight="1" spans="1:17">
      <c r="A130" s="4">
        <v>5</v>
      </c>
      <c r="B130" s="11" t="s">
        <v>261</v>
      </c>
      <c r="C130" s="12" t="s">
        <v>495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43"/>
        <v>558165.25</v>
      </c>
      <c r="I130" s="220">
        <f t="shared" si="44"/>
        <v>101543</v>
      </c>
      <c r="J130" s="916">
        <v>35419.72</v>
      </c>
      <c r="K130" s="916">
        <f t="shared" si="46"/>
        <v>44653.22</v>
      </c>
      <c r="L130" s="916">
        <f t="shared" si="45"/>
        <v>9233.5</v>
      </c>
      <c r="M130" s="916">
        <v>5967.30625</v>
      </c>
      <c r="N130" s="916">
        <f t="shared" ref="N130:N135" si="49">0.025*F130</f>
        <v>8692.89791666667</v>
      </c>
      <c r="O130" s="916">
        <f t="shared" si="35"/>
        <v>2725.59166666667</v>
      </c>
      <c r="P130" s="916">
        <f t="shared" si="47"/>
        <v>535838.64</v>
      </c>
      <c r="Q130" s="916">
        <f t="shared" si="48"/>
        <v>104314.775</v>
      </c>
    </row>
    <row r="131" customHeight="1" spans="1:17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220">
        <v>216844.416666667</v>
      </c>
      <c r="H131" s="911">
        <f t="shared" si="43"/>
        <v>573911.083333334</v>
      </c>
      <c r="I131" s="220">
        <f t="shared" si="44"/>
        <v>103413.083333334</v>
      </c>
      <c r="J131" s="916">
        <v>36529.78</v>
      </c>
      <c r="K131" s="916">
        <f t="shared" si="46"/>
        <v>45912.8866666667</v>
      </c>
      <c r="L131" s="916">
        <f t="shared" si="45"/>
        <v>9383.10666666672</v>
      </c>
      <c r="M131" s="916">
        <v>6154.32291666667</v>
      </c>
      <c r="N131" s="916">
        <f t="shared" si="49"/>
        <v>8926.66666666668</v>
      </c>
      <c r="O131" s="916">
        <f t="shared" si="35"/>
        <v>2772.34375000001</v>
      </c>
      <c r="P131" s="916">
        <f t="shared" si="47"/>
        <v>550954.64</v>
      </c>
      <c r="Q131" s="916">
        <f t="shared" si="48"/>
        <v>107120</v>
      </c>
    </row>
    <row r="132" customHeight="1" spans="1:17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220">
        <v>127704.916666667</v>
      </c>
      <c r="H132" s="911">
        <f t="shared" si="43"/>
        <v>355320.666666667</v>
      </c>
      <c r="I132" s="220">
        <f t="shared" si="44"/>
        <v>77522.666666667</v>
      </c>
      <c r="J132" s="916">
        <v>21638.5333333333</v>
      </c>
      <c r="K132" s="916">
        <f t="shared" si="46"/>
        <v>28425.6533333334</v>
      </c>
      <c r="L132" s="916">
        <f t="shared" si="45"/>
        <v>6787.12000000006</v>
      </c>
      <c r="M132" s="916"/>
      <c r="N132" s="916"/>
      <c r="O132" s="916">
        <f t="shared" si="35"/>
        <v>0</v>
      </c>
      <c r="P132" s="916">
        <f t="shared" si="47"/>
        <v>341107.840000001</v>
      </c>
      <c r="Q132" s="916">
        <f t="shared" si="48"/>
        <v>0</v>
      </c>
    </row>
    <row r="133" customHeight="1" spans="1:17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220">
        <v>105546.333333333</v>
      </c>
      <c r="H133" s="911">
        <f t="shared" si="43"/>
        <v>301910.75</v>
      </c>
      <c r="I133" s="220">
        <f t="shared" si="44"/>
        <v>71278.833333333</v>
      </c>
      <c r="J133" s="916">
        <v>17956.78</v>
      </c>
      <c r="K133" s="916">
        <f t="shared" si="46"/>
        <v>24152.86</v>
      </c>
      <c r="L133" s="916">
        <f t="shared" si="45"/>
        <v>6196.08</v>
      </c>
      <c r="M133" s="916">
        <v>0</v>
      </c>
      <c r="N133" s="916">
        <f>0.025*F133</f>
        <v>4909.11041666668</v>
      </c>
      <c r="O133" s="916">
        <f t="shared" si="35"/>
        <v>4909.11041666668</v>
      </c>
      <c r="P133" s="916">
        <f t="shared" si="47"/>
        <v>289834.32</v>
      </c>
      <c r="Q133" s="916">
        <f t="shared" si="48"/>
        <v>58909.3250000001</v>
      </c>
    </row>
    <row r="134" customHeight="1" spans="1:17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220">
        <v>105546.333333333</v>
      </c>
      <c r="H134" s="911">
        <f t="shared" si="43"/>
        <v>301910.75</v>
      </c>
      <c r="I134" s="220">
        <f t="shared" si="44"/>
        <v>71278.833333333</v>
      </c>
      <c r="J134" s="916">
        <v>17956.78</v>
      </c>
      <c r="K134" s="916">
        <f t="shared" si="46"/>
        <v>24152.86</v>
      </c>
      <c r="L134" s="916">
        <f t="shared" si="45"/>
        <v>6196.08</v>
      </c>
      <c r="M134" s="916">
        <v>0</v>
      </c>
      <c r="N134" s="916">
        <f t="shared" si="49"/>
        <v>4909.11041666668</v>
      </c>
      <c r="O134" s="916">
        <f t="shared" si="35"/>
        <v>4909.11041666668</v>
      </c>
      <c r="P134" s="916">
        <f t="shared" si="47"/>
        <v>289834.32</v>
      </c>
      <c r="Q134" s="916">
        <f t="shared" si="48"/>
        <v>58909.3250000001</v>
      </c>
    </row>
    <row r="135" customHeight="1" spans="1:17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2">
        <v>17463.0066666666</v>
      </c>
      <c r="K135" s="916">
        <f t="shared" si="46"/>
        <v>23592.0666666667</v>
      </c>
      <c r="L135" s="916">
        <f t="shared" si="45"/>
        <v>6129.06000000012</v>
      </c>
      <c r="M135" s="916"/>
      <c r="N135" s="916">
        <f t="shared" si="49"/>
        <v>4804.48541666668</v>
      </c>
      <c r="O135" s="916">
        <f t="shared" si="35"/>
        <v>4804.48541666668</v>
      </c>
      <c r="P135" s="916">
        <f t="shared" si="47"/>
        <v>283104.8</v>
      </c>
      <c r="Q135" s="916">
        <f t="shared" si="48"/>
        <v>57653.8250000001</v>
      </c>
    </row>
    <row r="136" ht="28.5" customHeight="1" spans="1:17">
      <c r="A136" s="4"/>
      <c r="B136" s="20" t="s">
        <v>111</v>
      </c>
      <c r="C136" s="26" t="s">
        <v>496</v>
      </c>
      <c r="D136" s="15"/>
      <c r="E136" s="146">
        <f t="shared" ref="E136:Q136" si="50">SUM(E126:E135)</f>
        <v>5289142.75</v>
      </c>
      <c r="F136" s="913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272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</v>
      </c>
      <c r="J139" s="916">
        <v>114857.6</v>
      </c>
      <c r="K139" s="916">
        <f>H139*0.08</f>
        <v>131808.96</v>
      </c>
      <c r="L139" s="916">
        <f>K139-J139</f>
        <v>16951.36</v>
      </c>
      <c r="M139" s="916">
        <v>18254.975</v>
      </c>
      <c r="N139" s="916">
        <f>0.025*F139</f>
        <v>25644.2083333333</v>
      </c>
      <c r="O139" s="916">
        <f t="shared" ref="O137:O168" si="52">N139-M139</f>
        <v>7389.2333333333</v>
      </c>
      <c r="P139" s="916">
        <f>12*K139</f>
        <v>1581707.52</v>
      </c>
      <c r="Q139" s="916">
        <f>N139*12</f>
        <v>307730.499999999</v>
      </c>
    </row>
    <row r="140" customHeight="1" spans="1:17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6">
        <v>60989.8533333333</v>
      </c>
      <c r="K140" s="916">
        <f t="shared" ref="K140:K171" si="54">H140*0.08</f>
        <v>72424.54</v>
      </c>
      <c r="L140" s="916">
        <f t="shared" ref="L140:L171" si="55">K140-J140</f>
        <v>11434.6866666667</v>
      </c>
      <c r="M140" s="916">
        <v>10293.3979166667</v>
      </c>
      <c r="N140" s="916">
        <f>0.025*F140</f>
        <v>13866.7375</v>
      </c>
      <c r="O140" s="916">
        <f t="shared" si="52"/>
        <v>3573.3395833333</v>
      </c>
      <c r="P140" s="916">
        <f t="shared" ref="P140:P186" si="56">12*K140</f>
        <v>869094.48</v>
      </c>
      <c r="Q140" s="916">
        <f t="shared" ref="Q140:Q176" si="57">N140*12</f>
        <v>166400.85</v>
      </c>
    </row>
    <row r="141" customHeight="1" spans="1:17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6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8380.22708333333</v>
      </c>
      <c r="N141" s="916">
        <f>0.025*F141</f>
        <v>10824.5270833333</v>
      </c>
      <c r="O141" s="916">
        <f t="shared" si="52"/>
        <v>2444.29999999997</v>
      </c>
      <c r="P141" s="916">
        <f t="shared" si="56"/>
        <v>672685.359999999</v>
      </c>
      <c r="Q141" s="916">
        <f t="shared" si="57"/>
        <v>129894.325</v>
      </c>
    </row>
    <row r="142" customHeight="1" spans="1:17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6">
        <v>46569.45</v>
      </c>
      <c r="K142" s="916">
        <f t="shared" si="54"/>
        <v>56057.1133333333</v>
      </c>
      <c r="L142" s="916">
        <f t="shared" si="55"/>
        <v>9487.66333333329</v>
      </c>
      <c r="M142" s="916">
        <v>8381.22708333333</v>
      </c>
      <c r="N142" s="916">
        <f>0.025*F142</f>
        <v>10824.5270833333</v>
      </c>
      <c r="O142" s="916">
        <f t="shared" si="52"/>
        <v>2443.29999999997</v>
      </c>
      <c r="P142" s="916">
        <f t="shared" si="56"/>
        <v>672685.359999999</v>
      </c>
      <c r="Q142" s="916">
        <f t="shared" si="57"/>
        <v>129894.325</v>
      </c>
    </row>
    <row r="143" customHeight="1" spans="1:17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6">
        <v>46569.45</v>
      </c>
      <c r="K143" s="916">
        <f t="shared" si="54"/>
        <v>56057.1133333333</v>
      </c>
      <c r="L143" s="916">
        <f t="shared" si="55"/>
        <v>9487.66333333329</v>
      </c>
      <c r="M143" s="916">
        <v>8382.22708333333</v>
      </c>
      <c r="N143" s="916">
        <f t="shared" ref="N143:N148" si="58">0.025*F143</f>
        <v>10824.5270833333</v>
      </c>
      <c r="O143" s="916">
        <f t="shared" si="52"/>
        <v>2442.3</v>
      </c>
      <c r="P143" s="916">
        <f t="shared" si="56"/>
        <v>672685.359999999</v>
      </c>
      <c r="Q143" s="916">
        <f t="shared" si="57"/>
        <v>129894.325</v>
      </c>
    </row>
    <row r="144" customHeight="1" spans="1:17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6">
        <v>31219.91</v>
      </c>
      <c r="K144" s="916">
        <f t="shared" si="54"/>
        <v>38627.7266666667</v>
      </c>
      <c r="L144" s="916">
        <f t="shared" si="55"/>
        <v>7407.81666666672</v>
      </c>
      <c r="M144" s="916">
        <v>0</v>
      </c>
      <c r="N144" s="916"/>
      <c r="O144" s="916">
        <f t="shared" si="52"/>
        <v>0</v>
      </c>
      <c r="P144" s="916">
        <f t="shared" si="56"/>
        <v>463532.720000001</v>
      </c>
      <c r="Q144" s="916">
        <f t="shared" si="57"/>
        <v>0</v>
      </c>
    </row>
    <row r="145" customHeight="1" spans="1:17">
      <c r="A145" s="27">
        <v>7</v>
      </c>
      <c r="B145" s="11" t="s">
        <v>284</v>
      </c>
      <c r="C145" s="4" t="s">
        <v>497</v>
      </c>
      <c r="D145" s="15" t="s">
        <v>159</v>
      </c>
      <c r="E145" s="85">
        <v>390248.916666667</v>
      </c>
      <c r="F145" s="909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6">
        <v>31219.91</v>
      </c>
      <c r="K145" s="916">
        <f t="shared" si="54"/>
        <v>38627.7266666667</v>
      </c>
      <c r="L145" s="916">
        <f t="shared" si="55"/>
        <v>7407.81666666672</v>
      </c>
      <c r="M145" s="916">
        <v>0</v>
      </c>
      <c r="N145" s="916"/>
      <c r="O145" s="916">
        <f t="shared" si="52"/>
        <v>0</v>
      </c>
      <c r="P145" s="916">
        <f t="shared" si="56"/>
        <v>463532.720000001</v>
      </c>
      <c r="Q145" s="916">
        <f t="shared" si="57"/>
        <v>0</v>
      </c>
    </row>
    <row r="146" customHeight="1" spans="1:17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6">
        <v>30231.6133333333</v>
      </c>
      <c r="K146" s="916">
        <f t="shared" si="54"/>
        <v>38613.0133333334</v>
      </c>
      <c r="L146" s="916">
        <f t="shared" si="55"/>
        <v>8381.40000000006</v>
      </c>
      <c r="M146" s="916">
        <v>0</v>
      </c>
      <c r="N146" s="916"/>
      <c r="O146" s="916">
        <f t="shared" si="52"/>
        <v>0</v>
      </c>
      <c r="P146" s="916">
        <f t="shared" si="56"/>
        <v>463356.16</v>
      </c>
      <c r="Q146" s="916">
        <f t="shared" si="57"/>
        <v>0</v>
      </c>
    </row>
    <row r="147" customHeight="1" spans="1:17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6">
        <v>29256.3066666667</v>
      </c>
      <c r="K147" s="916">
        <f t="shared" si="54"/>
        <v>37506.2533333334</v>
      </c>
      <c r="L147" s="916">
        <f t="shared" si="55"/>
        <v>8249.94666666666</v>
      </c>
      <c r="M147" s="916">
        <v>4928.93333333333</v>
      </c>
      <c r="N147" s="916">
        <f t="shared" si="58"/>
        <v>7366.57291666668</v>
      </c>
      <c r="O147" s="916">
        <f t="shared" si="52"/>
        <v>2437.63958333335</v>
      </c>
      <c r="P147" s="916">
        <f t="shared" si="56"/>
        <v>450075.04</v>
      </c>
      <c r="Q147" s="916">
        <f t="shared" si="57"/>
        <v>88398.8750000001</v>
      </c>
    </row>
    <row r="148" customHeight="1" spans="1:17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6">
        <v>28281</v>
      </c>
      <c r="K148" s="916">
        <f t="shared" si="54"/>
        <v>36399.4866666666</v>
      </c>
      <c r="L148" s="916">
        <f t="shared" si="55"/>
        <v>8118.48666666664</v>
      </c>
      <c r="M148" s="916">
        <v>0</v>
      </c>
      <c r="N148" s="916">
        <f t="shared" si="58"/>
        <v>7161.17708333333</v>
      </c>
      <c r="O148" s="916">
        <f t="shared" si="52"/>
        <v>7161.17708333333</v>
      </c>
      <c r="P148" s="916">
        <f t="shared" si="56"/>
        <v>436793.84</v>
      </c>
      <c r="Q148" s="916">
        <f t="shared" si="57"/>
        <v>85934.1249999999</v>
      </c>
    </row>
    <row r="149" customHeight="1" spans="1:17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6">
        <v>28281</v>
      </c>
      <c r="K149" s="916">
        <f t="shared" si="54"/>
        <v>35292.72</v>
      </c>
      <c r="L149" s="916">
        <f t="shared" si="55"/>
        <v>7011.72</v>
      </c>
      <c r="M149" s="916">
        <v>0</v>
      </c>
      <c r="N149" s="916"/>
      <c r="O149" s="916">
        <f t="shared" si="52"/>
        <v>0</v>
      </c>
      <c r="P149" s="916">
        <f t="shared" si="56"/>
        <v>423512.64</v>
      </c>
      <c r="Q149" s="916">
        <f t="shared" si="57"/>
        <v>0</v>
      </c>
    </row>
    <row r="150" customHeight="1" spans="1:17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6">
        <v>28281</v>
      </c>
      <c r="K150" s="916">
        <f t="shared" si="54"/>
        <v>35292.72</v>
      </c>
      <c r="L150" s="916">
        <f t="shared" si="55"/>
        <v>7011.72</v>
      </c>
      <c r="M150" s="916">
        <v>4928.93333333333</v>
      </c>
      <c r="N150" s="916">
        <f t="shared" ref="N150:N155" si="59">0.025*F150</f>
        <v>6955.78125</v>
      </c>
      <c r="O150" s="916">
        <f t="shared" si="52"/>
        <v>2026.84791666667</v>
      </c>
      <c r="P150" s="916">
        <f t="shared" si="56"/>
        <v>423512.64</v>
      </c>
      <c r="Q150" s="916">
        <f t="shared" si="57"/>
        <v>83469.375</v>
      </c>
    </row>
    <row r="151" customHeight="1" spans="1:17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6">
        <v>28281</v>
      </c>
      <c r="K151" s="916">
        <f t="shared" si="54"/>
        <v>36399.4866666666</v>
      </c>
      <c r="L151" s="916">
        <f t="shared" si="55"/>
        <v>8118.48666666664</v>
      </c>
      <c r="M151" s="916">
        <v>0</v>
      </c>
      <c r="N151" s="916"/>
      <c r="O151" s="916">
        <f t="shared" si="52"/>
        <v>0</v>
      </c>
      <c r="P151" s="916">
        <f t="shared" si="56"/>
        <v>436793.84</v>
      </c>
      <c r="Q151" s="916">
        <f t="shared" si="57"/>
        <v>0</v>
      </c>
    </row>
    <row r="152" customHeight="1" spans="1:17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6">
        <v>24077.2466666667</v>
      </c>
      <c r="K152" s="916">
        <f t="shared" si="54"/>
        <v>31210.8666666667</v>
      </c>
      <c r="L152" s="916">
        <f t="shared" si="55"/>
        <v>7133.62000000002</v>
      </c>
      <c r="M152" s="916">
        <v>0</v>
      </c>
      <c r="N152" s="916">
        <f t="shared" si="59"/>
        <v>6154.27916666668</v>
      </c>
      <c r="O152" s="916">
        <f t="shared" si="52"/>
        <v>6154.27916666668</v>
      </c>
      <c r="P152" s="916">
        <f t="shared" si="56"/>
        <v>374530.400000001</v>
      </c>
      <c r="Q152" s="916">
        <f t="shared" si="57"/>
        <v>73851.3500000001</v>
      </c>
    </row>
    <row r="153" customHeight="1" spans="1:17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6">
        <v>21053.2266666667</v>
      </c>
      <c r="K153" s="916">
        <f t="shared" si="54"/>
        <v>27761.2933333333</v>
      </c>
      <c r="L153" s="916">
        <f t="shared" si="55"/>
        <v>6708.06666666658</v>
      </c>
      <c r="M153" s="916">
        <v>0</v>
      </c>
      <c r="N153" s="916">
        <f t="shared" ref="N153:N158" si="60">0.025*F153</f>
        <v>5566.86458333332</v>
      </c>
      <c r="O153" s="916">
        <f t="shared" si="52"/>
        <v>5566.86458333332</v>
      </c>
      <c r="P153" s="916">
        <f t="shared" si="56"/>
        <v>333135.519999999</v>
      </c>
      <c r="Q153" s="916">
        <f t="shared" si="57"/>
        <v>66802.3749999999</v>
      </c>
    </row>
    <row r="154" customHeight="1" spans="1:17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6">
        <v>24712.12</v>
      </c>
      <c r="K154" s="916">
        <f t="shared" si="54"/>
        <v>31930.4933333333</v>
      </c>
      <c r="L154" s="916">
        <f t="shared" si="55"/>
        <v>7218.37333333333</v>
      </c>
      <c r="M154" s="916">
        <v>0</v>
      </c>
      <c r="N154" s="916"/>
      <c r="O154" s="916">
        <f t="shared" si="52"/>
        <v>0</v>
      </c>
      <c r="P154" s="916">
        <f t="shared" si="56"/>
        <v>383165.92</v>
      </c>
      <c r="Q154" s="916">
        <f t="shared" si="57"/>
        <v>0</v>
      </c>
    </row>
    <row r="155" customHeight="1" spans="1:17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6">
        <v>21638.5333333333</v>
      </c>
      <c r="K155" s="916">
        <f t="shared" si="54"/>
        <v>28425.6533333334</v>
      </c>
      <c r="L155" s="916">
        <f t="shared" si="55"/>
        <v>6787.12000000006</v>
      </c>
      <c r="M155" s="916">
        <v>0</v>
      </c>
      <c r="N155" s="916">
        <f t="shared" si="59"/>
        <v>5690.39375</v>
      </c>
      <c r="O155" s="916">
        <f t="shared" si="52"/>
        <v>5690.39375</v>
      </c>
      <c r="P155" s="916">
        <f t="shared" si="56"/>
        <v>341107.84</v>
      </c>
      <c r="Q155" s="916">
        <f t="shared" si="57"/>
        <v>68284.725</v>
      </c>
    </row>
    <row r="156" customHeight="1" spans="1:17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6">
        <v>24712.12</v>
      </c>
      <c r="K156" s="916">
        <f t="shared" si="54"/>
        <v>31930.4933333333</v>
      </c>
      <c r="L156" s="916">
        <f t="shared" si="55"/>
        <v>7218.37333333333</v>
      </c>
      <c r="M156" s="916">
        <v>4123.42083333333</v>
      </c>
      <c r="N156" s="916">
        <f t="shared" si="60"/>
        <v>6286.69791666667</v>
      </c>
      <c r="O156" s="916">
        <f t="shared" si="52"/>
        <v>2163.27708333334</v>
      </c>
      <c r="P156" s="916">
        <f t="shared" si="56"/>
        <v>383165.92</v>
      </c>
      <c r="Q156" s="916">
        <f t="shared" si="57"/>
        <v>75440.375</v>
      </c>
    </row>
    <row r="157" customHeight="1" spans="1:17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6">
        <v>21638.5333333333</v>
      </c>
      <c r="K157" s="916">
        <f t="shared" si="54"/>
        <v>28425.6533333334</v>
      </c>
      <c r="L157" s="916">
        <f t="shared" si="55"/>
        <v>6787.12000000006</v>
      </c>
      <c r="M157" s="916">
        <v>0</v>
      </c>
      <c r="N157" s="916"/>
      <c r="O157" s="916">
        <f t="shared" si="52"/>
        <v>0</v>
      </c>
      <c r="P157" s="916">
        <f t="shared" si="56"/>
        <v>341107.84</v>
      </c>
      <c r="Q157" s="916">
        <f t="shared" si="57"/>
        <v>0</v>
      </c>
    </row>
    <row r="158" customHeight="1" spans="1:17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6">
        <v>20467.92</v>
      </c>
      <c r="K158" s="916">
        <f t="shared" si="54"/>
        <v>27096.9333333334</v>
      </c>
      <c r="L158" s="916">
        <f t="shared" si="55"/>
        <v>6629.01333333336</v>
      </c>
      <c r="M158" s="916">
        <v>0</v>
      </c>
      <c r="N158" s="916">
        <f t="shared" si="60"/>
        <v>5443.33541666668</v>
      </c>
      <c r="O158" s="916">
        <f t="shared" si="52"/>
        <v>5443.33541666668</v>
      </c>
      <c r="P158" s="916">
        <f t="shared" si="56"/>
        <v>325163.2</v>
      </c>
      <c r="Q158" s="916">
        <f t="shared" si="57"/>
        <v>65320.0250000001</v>
      </c>
    </row>
    <row r="159" customHeight="1" spans="1:17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6">
        <v>20467.92</v>
      </c>
      <c r="K159" s="916">
        <f t="shared" si="54"/>
        <v>27096.9333333334</v>
      </c>
      <c r="L159" s="916">
        <f t="shared" si="55"/>
        <v>6629.01333333336</v>
      </c>
      <c r="M159" s="916">
        <v>0</v>
      </c>
      <c r="N159" s="916"/>
      <c r="O159" s="916">
        <f t="shared" si="52"/>
        <v>0</v>
      </c>
      <c r="P159" s="916">
        <f t="shared" si="56"/>
        <v>325163.2</v>
      </c>
      <c r="Q159" s="916">
        <f t="shared" si="57"/>
        <v>0</v>
      </c>
    </row>
    <row r="160" customHeight="1" spans="1:17">
      <c r="A160" s="27">
        <v>22</v>
      </c>
      <c r="B160" s="18" t="s">
        <v>314</v>
      </c>
      <c r="C160" s="12" t="s">
        <v>315</v>
      </c>
      <c r="D160" s="15" t="s">
        <v>102</v>
      </c>
      <c r="E160" s="85">
        <v>230631.916666667</v>
      </c>
      <c r="F160" s="909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6">
        <v>17956.78</v>
      </c>
      <c r="K160" s="916">
        <f t="shared" si="54"/>
        <v>24152.86</v>
      </c>
      <c r="L160" s="916">
        <f t="shared" si="55"/>
        <v>6196.08</v>
      </c>
      <c r="M160" s="916">
        <v>0</v>
      </c>
      <c r="N160" s="916"/>
      <c r="O160" s="916">
        <f t="shared" si="52"/>
        <v>0</v>
      </c>
      <c r="P160" s="916">
        <f t="shared" si="56"/>
        <v>289834.32</v>
      </c>
      <c r="Q160" s="916">
        <f t="shared" si="57"/>
        <v>0</v>
      </c>
    </row>
    <row r="161" customHeight="1" spans="1:17">
      <c r="A161" s="27">
        <v>23</v>
      </c>
      <c r="B161" s="18" t="s">
        <v>316</v>
      </c>
      <c r="C161" s="12" t="s">
        <v>317</v>
      </c>
      <c r="D161" s="15" t="s">
        <v>102</v>
      </c>
      <c r="E161" s="85">
        <v>230631.916666667</v>
      </c>
      <c r="F161" s="909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6">
        <v>17956.78</v>
      </c>
      <c r="K161" s="916">
        <f t="shared" si="54"/>
        <v>24152.86</v>
      </c>
      <c r="L161" s="916">
        <f t="shared" si="55"/>
        <v>6196.08</v>
      </c>
      <c r="M161" s="916">
        <v>0</v>
      </c>
      <c r="N161" s="916">
        <f t="shared" ref="N161:N164" si="61">0.025*F161</f>
        <v>4909.11041666668</v>
      </c>
      <c r="O161" s="916">
        <f t="shared" si="52"/>
        <v>4909.11041666668</v>
      </c>
      <c r="P161" s="916">
        <f t="shared" si="56"/>
        <v>289834.32</v>
      </c>
      <c r="Q161" s="916">
        <f t="shared" si="57"/>
        <v>58909.3250000001</v>
      </c>
    </row>
    <row r="162" customHeight="1" spans="1:17">
      <c r="A162" s="27">
        <v>24</v>
      </c>
      <c r="B162" s="18" t="s">
        <v>318</v>
      </c>
      <c r="C162" s="12" t="s">
        <v>319</v>
      </c>
      <c r="D162" s="15" t="s">
        <v>102</v>
      </c>
      <c r="E162" s="85">
        <v>230631.916666667</v>
      </c>
      <c r="F162" s="909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6">
        <v>17956.78</v>
      </c>
      <c r="K162" s="916">
        <f t="shared" si="54"/>
        <v>24152.86</v>
      </c>
      <c r="L162" s="916">
        <f t="shared" si="55"/>
        <v>6196.08</v>
      </c>
      <c r="M162" s="916">
        <v>0</v>
      </c>
      <c r="N162" s="916">
        <f t="shared" si="61"/>
        <v>4909.11041666668</v>
      </c>
      <c r="O162" s="916">
        <f t="shared" si="52"/>
        <v>4909.11041666668</v>
      </c>
      <c r="P162" s="916">
        <f t="shared" si="56"/>
        <v>289834.32</v>
      </c>
      <c r="Q162" s="916">
        <f t="shared" si="57"/>
        <v>58909.3250000001</v>
      </c>
    </row>
    <row r="163" customHeight="1" spans="1:17">
      <c r="A163" s="27">
        <v>25</v>
      </c>
      <c r="B163" s="18" t="s">
        <v>320</v>
      </c>
      <c r="C163" s="12" t="s">
        <v>321</v>
      </c>
      <c r="D163" s="15" t="s">
        <v>208</v>
      </c>
      <c r="E163" s="85">
        <v>236804.083333333</v>
      </c>
      <c r="F163" s="909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6">
        <v>18450.5533333333</v>
      </c>
      <c r="K163" s="916">
        <f t="shared" si="54"/>
        <v>24713.6533333334</v>
      </c>
      <c r="L163" s="916">
        <f t="shared" si="55"/>
        <v>6263.10000000006</v>
      </c>
      <c r="M163" s="916">
        <v>0</v>
      </c>
      <c r="N163" s="916">
        <f t="shared" si="61"/>
        <v>5013.73541666668</v>
      </c>
      <c r="O163" s="916">
        <f t="shared" si="52"/>
        <v>5013.73541666668</v>
      </c>
      <c r="P163" s="916">
        <f t="shared" si="56"/>
        <v>296563.84</v>
      </c>
      <c r="Q163" s="916">
        <f t="shared" si="57"/>
        <v>60164.8250000001</v>
      </c>
    </row>
    <row r="164" customHeight="1" spans="1:17">
      <c r="A164" s="27">
        <v>26</v>
      </c>
      <c r="B164" s="18" t="s">
        <v>322</v>
      </c>
      <c r="C164" s="12" t="s">
        <v>317</v>
      </c>
      <c r="D164" s="15" t="s">
        <v>102</v>
      </c>
      <c r="E164" s="85">
        <v>230631.916666667</v>
      </c>
      <c r="F164" s="909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6">
        <v>17956.78</v>
      </c>
      <c r="K164" s="916">
        <f t="shared" si="54"/>
        <v>24152.86</v>
      </c>
      <c r="L164" s="916">
        <f t="shared" si="55"/>
        <v>6196.08</v>
      </c>
      <c r="M164" s="916">
        <v>0</v>
      </c>
      <c r="N164" s="916">
        <f t="shared" si="61"/>
        <v>4909.11041666668</v>
      </c>
      <c r="O164" s="916">
        <f t="shared" si="52"/>
        <v>4909.11041666668</v>
      </c>
      <c r="P164" s="916">
        <f t="shared" si="56"/>
        <v>289834.32</v>
      </c>
      <c r="Q164" s="916">
        <f t="shared" si="57"/>
        <v>58909.3250000001</v>
      </c>
    </row>
    <row r="165" customHeight="1" spans="1:17">
      <c r="A165" s="27">
        <v>27</v>
      </c>
      <c r="B165" s="18" t="s">
        <v>323</v>
      </c>
      <c r="C165" s="12" t="s">
        <v>324</v>
      </c>
      <c r="D165" s="15" t="s">
        <v>105</v>
      </c>
      <c r="E165" s="676">
        <v>224459.75</v>
      </c>
      <c r="F165" s="909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6">
        <v>17463.0066666666</v>
      </c>
      <c r="K165" s="916">
        <f t="shared" si="54"/>
        <v>23592.0666666667</v>
      </c>
      <c r="L165" s="916">
        <f t="shared" si="55"/>
        <v>6129.06000000012</v>
      </c>
      <c r="M165" s="916"/>
      <c r="N165" s="916"/>
      <c r="O165" s="916">
        <f t="shared" si="52"/>
        <v>0</v>
      </c>
      <c r="P165" s="916">
        <f t="shared" si="56"/>
        <v>283104.8</v>
      </c>
      <c r="Q165" s="916">
        <f t="shared" si="57"/>
        <v>0</v>
      </c>
    </row>
    <row r="166" customHeight="1" spans="1:17">
      <c r="A166" s="27">
        <v>28</v>
      </c>
      <c r="B166" s="18" t="s">
        <v>325</v>
      </c>
      <c r="C166" s="12" t="s">
        <v>324</v>
      </c>
      <c r="D166" s="15" t="s">
        <v>105</v>
      </c>
      <c r="E166" s="676">
        <v>224459.75</v>
      </c>
      <c r="F166" s="909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6">
        <v>17463.0066666666</v>
      </c>
      <c r="K166" s="916">
        <f t="shared" si="54"/>
        <v>23592.0666666667</v>
      </c>
      <c r="L166" s="916">
        <f t="shared" si="55"/>
        <v>6129.06000000012</v>
      </c>
      <c r="M166" s="916"/>
      <c r="N166" s="916"/>
      <c r="O166" s="916">
        <f t="shared" si="52"/>
        <v>0</v>
      </c>
      <c r="P166" s="916">
        <f t="shared" si="56"/>
        <v>283104.8</v>
      </c>
      <c r="Q166" s="916">
        <f t="shared" si="57"/>
        <v>0</v>
      </c>
    </row>
    <row r="167" customHeight="1" spans="1:17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6">
        <v>13487.8533333333</v>
      </c>
      <c r="K167" s="916">
        <f t="shared" si="54"/>
        <v>19017.3733333333</v>
      </c>
      <c r="L167" s="916">
        <f t="shared" si="55"/>
        <v>5529.51999999998</v>
      </c>
      <c r="M167" s="916">
        <v>2313.575</v>
      </c>
      <c r="N167" s="916">
        <f>0.025*F167</f>
        <v>3982.21458333333</v>
      </c>
      <c r="O167" s="916">
        <f t="shared" si="52"/>
        <v>1668.63958333333</v>
      </c>
      <c r="P167" s="916">
        <f t="shared" si="56"/>
        <v>228208.48</v>
      </c>
      <c r="Q167" s="916">
        <f t="shared" si="57"/>
        <v>47786.575</v>
      </c>
    </row>
    <row r="168" customHeight="1" spans="1:17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6">
        <v>13487.8533333333</v>
      </c>
      <c r="K168" s="916">
        <f t="shared" si="54"/>
        <v>19017.3733333333</v>
      </c>
      <c r="L168" s="916">
        <f t="shared" si="55"/>
        <v>5529.51999999998</v>
      </c>
      <c r="M168" s="916">
        <v>0</v>
      </c>
      <c r="N168" s="916"/>
      <c r="O168" s="916">
        <f t="shared" si="52"/>
        <v>0</v>
      </c>
      <c r="P168" s="916">
        <f t="shared" si="56"/>
        <v>228208.48</v>
      </c>
      <c r="Q168" s="916">
        <f t="shared" si="57"/>
        <v>0</v>
      </c>
    </row>
    <row r="169" customHeight="1" spans="1:17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6">
        <v>13487.8533333333</v>
      </c>
      <c r="K169" s="916">
        <f t="shared" si="54"/>
        <v>19017.3733333333</v>
      </c>
      <c r="L169" s="916">
        <f t="shared" si="55"/>
        <v>5529.51999999998</v>
      </c>
      <c r="M169" s="916">
        <v>0</v>
      </c>
      <c r="N169" s="916"/>
      <c r="O169" s="916">
        <f t="shared" ref="O169:O199" si="63">N169-M169</f>
        <v>0</v>
      </c>
      <c r="P169" s="916">
        <f t="shared" si="56"/>
        <v>228208.48</v>
      </c>
      <c r="Q169" s="916">
        <f t="shared" si="57"/>
        <v>0</v>
      </c>
    </row>
    <row r="170" customHeight="1" spans="1:17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6">
        <v>13487.8533333333</v>
      </c>
      <c r="K170" s="916">
        <f t="shared" si="54"/>
        <v>19017.3733333333</v>
      </c>
      <c r="L170" s="916">
        <f t="shared" si="55"/>
        <v>5529.51999999998</v>
      </c>
      <c r="M170" s="916">
        <v>2313.575</v>
      </c>
      <c r="N170" s="916">
        <v>3982.21458333333</v>
      </c>
      <c r="O170" s="916">
        <f t="shared" si="63"/>
        <v>1668.63958333333</v>
      </c>
      <c r="P170" s="916">
        <f t="shared" si="56"/>
        <v>228208.48</v>
      </c>
      <c r="Q170" s="916">
        <f t="shared" si="57"/>
        <v>47786.575</v>
      </c>
    </row>
    <row r="171" customHeight="1" spans="1:17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6">
        <v>13487.8533333333</v>
      </c>
      <c r="K171" s="916">
        <f t="shared" si="54"/>
        <v>19017.3733333333</v>
      </c>
      <c r="L171" s="916">
        <f t="shared" si="55"/>
        <v>5529.51999999998</v>
      </c>
      <c r="M171" s="916"/>
      <c r="N171" s="916"/>
      <c r="O171" s="916">
        <f t="shared" si="63"/>
        <v>0</v>
      </c>
      <c r="P171" s="916">
        <f t="shared" si="56"/>
        <v>228208.48</v>
      </c>
      <c r="Q171" s="916">
        <f t="shared" si="57"/>
        <v>0</v>
      </c>
    </row>
    <row r="172" customHeight="1" spans="1:17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6">
        <v>13066.9466666667</v>
      </c>
      <c r="K172" s="916">
        <f t="shared" ref="K172:K198" si="64">H172*0.08</f>
        <v>18538.7066666667</v>
      </c>
      <c r="L172" s="916">
        <f t="shared" ref="L172:L198" si="65">K172-J172</f>
        <v>5471.76000000002</v>
      </c>
      <c r="M172" s="916"/>
      <c r="N172" s="916"/>
      <c r="O172" s="916">
        <f t="shared" si="63"/>
        <v>0</v>
      </c>
      <c r="P172" s="916">
        <f t="shared" si="56"/>
        <v>222464.48</v>
      </c>
      <c r="Q172" s="916">
        <f t="shared" si="57"/>
        <v>0</v>
      </c>
    </row>
    <row r="173" customHeight="1" spans="1:17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6">
        <v>13066.9466666667</v>
      </c>
      <c r="K173" s="916">
        <f t="shared" si="64"/>
        <v>18538.7066666667</v>
      </c>
      <c r="L173" s="916">
        <f t="shared" si="65"/>
        <v>5471.76000000002</v>
      </c>
      <c r="M173" s="916"/>
      <c r="N173" s="916"/>
      <c r="O173" s="916">
        <f t="shared" si="63"/>
        <v>0</v>
      </c>
      <c r="P173" s="916">
        <f t="shared" si="56"/>
        <v>222464.48</v>
      </c>
      <c r="Q173" s="916">
        <f t="shared" si="57"/>
        <v>0</v>
      </c>
    </row>
    <row r="174" customHeight="1" spans="1:17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6">
        <v>13066.9466666667</v>
      </c>
      <c r="K174" s="916">
        <f t="shared" si="64"/>
        <v>18538.7066666667</v>
      </c>
      <c r="L174" s="916">
        <f t="shared" si="65"/>
        <v>5471.76000000002</v>
      </c>
      <c r="M174" s="916"/>
      <c r="N174" s="916"/>
      <c r="O174" s="916">
        <f t="shared" si="63"/>
        <v>0</v>
      </c>
      <c r="P174" s="916">
        <f t="shared" si="56"/>
        <v>222464.48</v>
      </c>
      <c r="Q174" s="916">
        <f t="shared" si="57"/>
        <v>0</v>
      </c>
    </row>
    <row r="175" customHeight="1" spans="1:17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6">
        <v>13066.9466666667</v>
      </c>
      <c r="K175" s="916">
        <f t="shared" si="64"/>
        <v>18538.7066666667</v>
      </c>
      <c r="L175" s="916">
        <f t="shared" si="65"/>
        <v>5471.76000000002</v>
      </c>
      <c r="M175" s="916"/>
      <c r="N175" s="916"/>
      <c r="O175" s="916">
        <f t="shared" si="63"/>
        <v>0</v>
      </c>
      <c r="P175" s="916">
        <f t="shared" si="56"/>
        <v>222464.48</v>
      </c>
      <c r="Q175" s="916">
        <f t="shared" si="57"/>
        <v>0</v>
      </c>
    </row>
    <row r="176" customHeight="1" spans="1:17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6">
        <v>13066.9466666667</v>
      </c>
      <c r="K176" s="916">
        <f t="shared" si="64"/>
        <v>18538.7066666667</v>
      </c>
      <c r="L176" s="916">
        <f t="shared" si="65"/>
        <v>5471.76000000002</v>
      </c>
      <c r="M176" s="916"/>
      <c r="N176" s="916"/>
      <c r="O176" s="916">
        <f t="shared" si="63"/>
        <v>0</v>
      </c>
      <c r="P176" s="916">
        <f t="shared" si="56"/>
        <v>222464.48</v>
      </c>
      <c r="Q176" s="916">
        <f t="shared" si="57"/>
        <v>0</v>
      </c>
    </row>
    <row r="177" customHeight="1" spans="1:17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6">
        <v>13066.9466666667</v>
      </c>
      <c r="K177" s="916">
        <f t="shared" si="64"/>
        <v>18538.7066666667</v>
      </c>
      <c r="L177" s="916">
        <f t="shared" si="65"/>
        <v>5471.76000000002</v>
      </c>
      <c r="M177" s="916"/>
      <c r="N177" s="916"/>
      <c r="O177" s="916">
        <f t="shared" si="63"/>
        <v>0</v>
      </c>
      <c r="P177" s="916">
        <f t="shared" si="56"/>
        <v>222464.48</v>
      </c>
      <c r="Q177" s="916">
        <f t="shared" ref="Q177:Q198" si="66">N177*12</f>
        <v>0</v>
      </c>
    </row>
    <row r="178" customHeight="1" spans="1:17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6">
        <v>12225.1333333333</v>
      </c>
      <c r="K178" s="916">
        <f t="shared" si="64"/>
        <v>17581.3866666666</v>
      </c>
      <c r="L178" s="916">
        <f t="shared" si="65"/>
        <v>5356.25333333334</v>
      </c>
      <c r="M178" s="916"/>
      <c r="N178" s="916"/>
      <c r="O178" s="916">
        <f t="shared" si="63"/>
        <v>0</v>
      </c>
      <c r="P178" s="916">
        <f t="shared" si="56"/>
        <v>210976.639999999</v>
      </c>
      <c r="Q178" s="916">
        <f t="shared" si="66"/>
        <v>0</v>
      </c>
    </row>
    <row r="179" customHeight="1" spans="1:17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6">
        <v>12225.1333333333</v>
      </c>
      <c r="K179" s="916">
        <f t="shared" si="64"/>
        <v>17581.3866666666</v>
      </c>
      <c r="L179" s="916">
        <f t="shared" si="65"/>
        <v>5356.25333333334</v>
      </c>
      <c r="M179" s="916"/>
      <c r="N179" s="916"/>
      <c r="O179" s="916">
        <f t="shared" si="63"/>
        <v>0</v>
      </c>
      <c r="P179" s="916">
        <f t="shared" si="56"/>
        <v>210976.639999999</v>
      </c>
      <c r="Q179" s="916">
        <f t="shared" si="66"/>
        <v>0</v>
      </c>
    </row>
    <row r="180" customHeight="1" spans="1:17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6">
        <v>12646.04</v>
      </c>
      <c r="K180" s="916">
        <f t="shared" si="64"/>
        <v>18060.0466666666</v>
      </c>
      <c r="L180" s="916">
        <f t="shared" si="65"/>
        <v>5414.00666666664</v>
      </c>
      <c r="M180" s="916"/>
      <c r="N180" s="916"/>
      <c r="O180" s="916">
        <f t="shared" si="63"/>
        <v>0</v>
      </c>
      <c r="P180" s="916">
        <f t="shared" si="56"/>
        <v>216720.559999999</v>
      </c>
      <c r="Q180" s="916">
        <f t="shared" si="66"/>
        <v>0</v>
      </c>
    </row>
    <row r="181" customHeight="1" spans="1:17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6">
        <v>12225.1333333333</v>
      </c>
      <c r="K181" s="916">
        <f t="shared" si="64"/>
        <v>17102.72</v>
      </c>
      <c r="L181" s="916">
        <f t="shared" si="65"/>
        <v>4877.5866666667</v>
      </c>
      <c r="M181" s="916"/>
      <c r="N181" s="916"/>
      <c r="O181" s="916">
        <f t="shared" si="63"/>
        <v>0</v>
      </c>
      <c r="P181" s="916">
        <f t="shared" si="56"/>
        <v>205232.64</v>
      </c>
      <c r="Q181" s="916">
        <f t="shared" si="66"/>
        <v>0</v>
      </c>
    </row>
    <row r="182" customHeight="1" spans="1:17">
      <c r="A182" s="27">
        <v>44</v>
      </c>
      <c r="B182" s="11" t="s">
        <v>354</v>
      </c>
      <c r="C182" s="12" t="s">
        <v>355</v>
      </c>
      <c r="D182" s="15" t="s">
        <v>498</v>
      </c>
      <c r="E182" s="85">
        <v>94145.75</v>
      </c>
      <c r="F182" s="921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6">
        <v>7327.84</v>
      </c>
      <c r="K182" s="916">
        <f t="shared" si="64"/>
        <v>11708.54</v>
      </c>
      <c r="L182" s="916">
        <f t="shared" si="65"/>
        <v>4380.7</v>
      </c>
      <c r="M182" s="916"/>
      <c r="N182" s="916"/>
      <c r="O182" s="916">
        <f t="shared" si="63"/>
        <v>0</v>
      </c>
      <c r="P182" s="916">
        <f t="shared" si="56"/>
        <v>140502.48</v>
      </c>
      <c r="Q182" s="916">
        <f t="shared" si="66"/>
        <v>0</v>
      </c>
    </row>
    <row r="183" customHeight="1" spans="1:17">
      <c r="A183" s="27">
        <v>45</v>
      </c>
      <c r="B183" s="11" t="s">
        <v>357</v>
      </c>
      <c r="C183" s="12" t="s">
        <v>355</v>
      </c>
      <c r="D183" s="15" t="s">
        <v>498</v>
      </c>
      <c r="E183" s="85">
        <v>94145.75</v>
      </c>
      <c r="F183" s="921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6">
        <v>7327.84</v>
      </c>
      <c r="K183" s="916">
        <f t="shared" si="64"/>
        <v>11708.54</v>
      </c>
      <c r="L183" s="916">
        <f t="shared" si="65"/>
        <v>4380.7</v>
      </c>
      <c r="M183" s="916"/>
      <c r="N183" s="916"/>
      <c r="O183" s="916">
        <f t="shared" si="63"/>
        <v>0</v>
      </c>
      <c r="P183" s="916">
        <f t="shared" si="56"/>
        <v>140502.48</v>
      </c>
      <c r="Q183" s="916">
        <f t="shared" si="66"/>
        <v>0</v>
      </c>
    </row>
    <row r="184" customHeight="1" spans="1:17">
      <c r="A184" s="27">
        <v>46</v>
      </c>
      <c r="B184" s="11" t="s">
        <v>358</v>
      </c>
      <c r="C184" s="12" t="s">
        <v>355</v>
      </c>
      <c r="D184" s="15" t="s">
        <v>498</v>
      </c>
      <c r="E184" s="85">
        <v>94145.75</v>
      </c>
      <c r="F184" s="921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6">
        <v>7327.84</v>
      </c>
      <c r="K184" s="916">
        <f t="shared" si="64"/>
        <v>11708.54</v>
      </c>
      <c r="L184" s="916">
        <f t="shared" si="65"/>
        <v>4380.7</v>
      </c>
      <c r="M184" s="916"/>
      <c r="N184" s="916"/>
      <c r="O184" s="916">
        <f t="shared" si="63"/>
        <v>0</v>
      </c>
      <c r="P184" s="916">
        <f t="shared" si="56"/>
        <v>140502.48</v>
      </c>
      <c r="Q184" s="916">
        <f t="shared" si="66"/>
        <v>0</v>
      </c>
    </row>
    <row r="185" customHeight="1" spans="1:17">
      <c r="A185" s="27">
        <v>47</v>
      </c>
      <c r="B185" s="11" t="s">
        <v>359</v>
      </c>
      <c r="C185" s="12" t="s">
        <v>355</v>
      </c>
      <c r="D185" s="15" t="s">
        <v>498</v>
      </c>
      <c r="E185" s="85">
        <v>94145.75</v>
      </c>
      <c r="F185" s="921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6">
        <v>7327.84</v>
      </c>
      <c r="K185" s="916">
        <f t="shared" si="64"/>
        <v>11708.54</v>
      </c>
      <c r="L185" s="916">
        <f t="shared" si="65"/>
        <v>4380.7</v>
      </c>
      <c r="M185" s="916"/>
      <c r="N185" s="916"/>
      <c r="O185" s="916">
        <f t="shared" si="63"/>
        <v>0</v>
      </c>
      <c r="P185" s="916">
        <f t="shared" si="56"/>
        <v>140502.48</v>
      </c>
      <c r="Q185" s="916">
        <f t="shared" si="66"/>
        <v>0</v>
      </c>
    </row>
    <row r="186" customHeight="1" spans="1:17">
      <c r="A186" s="27">
        <v>48</v>
      </c>
      <c r="B186" s="11" t="s">
        <v>360</v>
      </c>
      <c r="C186" s="12" t="s">
        <v>355</v>
      </c>
      <c r="D186" s="15" t="s">
        <v>498</v>
      </c>
      <c r="E186" s="85">
        <v>94145.75</v>
      </c>
      <c r="F186" s="921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6">
        <v>7327.84</v>
      </c>
      <c r="K186" s="916">
        <f t="shared" si="64"/>
        <v>11708.54</v>
      </c>
      <c r="L186" s="916">
        <f t="shared" si="65"/>
        <v>4380.7</v>
      </c>
      <c r="M186" s="916"/>
      <c r="N186" s="916"/>
      <c r="O186" s="916">
        <f t="shared" si="63"/>
        <v>0</v>
      </c>
      <c r="P186" s="916">
        <f t="shared" si="56"/>
        <v>140502.48</v>
      </c>
      <c r="Q186" s="916">
        <f t="shared" si="66"/>
        <v>0</v>
      </c>
    </row>
    <row r="187" customHeight="1" spans="1:17">
      <c r="A187" s="27">
        <v>49</v>
      </c>
      <c r="B187" s="18" t="s">
        <v>361</v>
      </c>
      <c r="C187" s="12" t="s">
        <v>355</v>
      </c>
      <c r="D187" s="15" t="s">
        <v>498</v>
      </c>
      <c r="E187" s="85">
        <v>94145.75</v>
      </c>
      <c r="F187" s="921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6">
        <v>7327.84</v>
      </c>
      <c r="K187" s="916">
        <f t="shared" si="64"/>
        <v>11708.54</v>
      </c>
      <c r="L187" s="916">
        <f t="shared" si="65"/>
        <v>4380.7</v>
      </c>
      <c r="M187" s="916"/>
      <c r="N187" s="916"/>
      <c r="O187" s="916">
        <f t="shared" si="63"/>
        <v>0</v>
      </c>
      <c r="P187" s="916">
        <f t="shared" ref="P187:P198" si="68">12*K187</f>
        <v>140502.48</v>
      </c>
      <c r="Q187" s="916">
        <f t="shared" si="66"/>
        <v>0</v>
      </c>
    </row>
    <row r="188" customHeight="1" spans="1:17">
      <c r="A188" s="27">
        <v>50</v>
      </c>
      <c r="B188" s="18" t="s">
        <v>362</v>
      </c>
      <c r="C188" s="12" t="s">
        <v>355</v>
      </c>
      <c r="D188" s="15" t="s">
        <v>498</v>
      </c>
      <c r="E188" s="85">
        <v>94145.75</v>
      </c>
      <c r="F188" s="921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6">
        <v>7327.84</v>
      </c>
      <c r="K188" s="916">
        <f t="shared" si="64"/>
        <v>11708.54</v>
      </c>
      <c r="L188" s="916">
        <f t="shared" si="65"/>
        <v>4380.7</v>
      </c>
      <c r="M188" s="916"/>
      <c r="N188" s="916"/>
      <c r="O188" s="916">
        <f t="shared" si="63"/>
        <v>0</v>
      </c>
      <c r="P188" s="916">
        <f t="shared" si="68"/>
        <v>140502.48</v>
      </c>
      <c r="Q188" s="916">
        <f t="shared" si="66"/>
        <v>0</v>
      </c>
    </row>
    <row r="189" customHeight="1" spans="1:17">
      <c r="A189" s="27">
        <v>51</v>
      </c>
      <c r="B189" s="11" t="s">
        <v>499</v>
      </c>
      <c r="C189" s="12" t="s">
        <v>352</v>
      </c>
      <c r="D189" s="15" t="s">
        <v>498</v>
      </c>
      <c r="E189" s="85">
        <v>94145.75</v>
      </c>
      <c r="F189" s="921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6"/>
      <c r="K189" s="916">
        <f t="shared" si="64"/>
        <v>11708.54</v>
      </c>
      <c r="L189" s="916">
        <f t="shared" si="65"/>
        <v>11708.54</v>
      </c>
      <c r="M189" s="916"/>
      <c r="N189" s="916"/>
      <c r="O189" s="916">
        <f t="shared" si="63"/>
        <v>0</v>
      </c>
      <c r="P189" s="916">
        <f t="shared" si="68"/>
        <v>140502.48</v>
      </c>
      <c r="Q189" s="916">
        <f t="shared" si="66"/>
        <v>0</v>
      </c>
    </row>
    <row r="190" customHeight="1" spans="1:17">
      <c r="A190" s="27">
        <v>52</v>
      </c>
      <c r="B190" s="11" t="s">
        <v>363</v>
      </c>
      <c r="C190" s="12" t="s">
        <v>352</v>
      </c>
      <c r="D190" s="15" t="s">
        <v>498</v>
      </c>
      <c r="E190" s="85">
        <v>94145.75</v>
      </c>
      <c r="F190" s="921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6">
        <v>7327.84</v>
      </c>
      <c r="K190" s="916">
        <f t="shared" si="64"/>
        <v>11708.54</v>
      </c>
      <c r="L190" s="916">
        <f t="shared" si="65"/>
        <v>4380.7</v>
      </c>
      <c r="M190" s="916"/>
      <c r="N190" s="916"/>
      <c r="O190" s="916">
        <f t="shared" si="63"/>
        <v>0</v>
      </c>
      <c r="P190" s="916">
        <f t="shared" si="68"/>
        <v>140502.48</v>
      </c>
      <c r="Q190" s="916">
        <f t="shared" si="66"/>
        <v>0</v>
      </c>
    </row>
    <row r="191" customHeight="1" spans="1:17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6">
        <v>7124.02</v>
      </c>
      <c r="K191" s="916">
        <f t="shared" si="64"/>
        <v>11479.6533333333</v>
      </c>
      <c r="L191" s="916">
        <f t="shared" si="65"/>
        <v>4355.63333333334</v>
      </c>
      <c r="M191" s="916"/>
      <c r="N191" s="916"/>
      <c r="O191" s="916">
        <f t="shared" si="63"/>
        <v>0</v>
      </c>
      <c r="P191" s="916">
        <f t="shared" si="68"/>
        <v>137755.84</v>
      </c>
      <c r="Q191" s="916">
        <f t="shared" si="66"/>
        <v>0</v>
      </c>
    </row>
    <row r="192" customHeight="1" spans="1:17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6"/>
      <c r="K192" s="916">
        <f t="shared" si="64"/>
        <v>11021.88</v>
      </c>
      <c r="L192" s="916">
        <f t="shared" si="65"/>
        <v>11021.88</v>
      </c>
      <c r="M192" s="916"/>
      <c r="N192" s="916"/>
      <c r="O192" s="916">
        <f t="shared" si="63"/>
        <v>0</v>
      </c>
      <c r="P192" s="916">
        <f t="shared" si="68"/>
        <v>132262.56</v>
      </c>
      <c r="Q192" s="916">
        <f t="shared" si="66"/>
        <v>0</v>
      </c>
    </row>
    <row r="193" customHeight="1" spans="1:17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6">
        <v>6920.2</v>
      </c>
      <c r="K193" s="916">
        <f t="shared" si="64"/>
        <v>10793.0133333333</v>
      </c>
      <c r="L193" s="916">
        <f t="shared" si="65"/>
        <v>3872.81333333333</v>
      </c>
      <c r="M193" s="916"/>
      <c r="N193" s="916"/>
      <c r="O193" s="916">
        <f t="shared" si="63"/>
        <v>0</v>
      </c>
      <c r="P193" s="916">
        <f t="shared" si="68"/>
        <v>129516.16</v>
      </c>
      <c r="Q193" s="916">
        <f t="shared" si="66"/>
        <v>0</v>
      </c>
    </row>
    <row r="194" customHeight="1" spans="1:17">
      <c r="A194" s="27">
        <v>56</v>
      </c>
      <c r="B194" s="18" t="s">
        <v>371</v>
      </c>
      <c r="C194" s="12" t="s">
        <v>372</v>
      </c>
      <c r="D194" s="15" t="s">
        <v>373</v>
      </c>
      <c r="E194" s="85">
        <v>78733.8333333333</v>
      </c>
      <c r="F194" s="909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6">
        <v>6123.26</v>
      </c>
      <c r="K194" s="916">
        <f t="shared" si="64"/>
        <v>10323.9533333333</v>
      </c>
      <c r="L194" s="916">
        <f t="shared" si="65"/>
        <v>4200.69333333334</v>
      </c>
      <c r="M194" s="916"/>
      <c r="N194" s="916"/>
      <c r="O194" s="916">
        <f t="shared" si="63"/>
        <v>0</v>
      </c>
      <c r="P194" s="916">
        <f t="shared" si="68"/>
        <v>123887.44</v>
      </c>
      <c r="Q194" s="916">
        <f t="shared" si="66"/>
        <v>0</v>
      </c>
    </row>
    <row r="195" customHeight="1" spans="1:17">
      <c r="A195" s="27">
        <v>57</v>
      </c>
      <c r="B195" s="18" t="s">
        <v>374</v>
      </c>
      <c r="C195" s="12" t="s">
        <v>372</v>
      </c>
      <c r="D195" s="15" t="s">
        <v>373</v>
      </c>
      <c r="E195" s="85">
        <v>78733.8333333333</v>
      </c>
      <c r="F195" s="909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6">
        <v>6123.26</v>
      </c>
      <c r="K195" s="916">
        <f t="shared" si="64"/>
        <v>10323.9533333333</v>
      </c>
      <c r="L195" s="916">
        <f t="shared" si="65"/>
        <v>4200.69333333334</v>
      </c>
      <c r="M195" s="916"/>
      <c r="N195" s="916"/>
      <c r="O195" s="916">
        <f t="shared" si="63"/>
        <v>0</v>
      </c>
      <c r="P195" s="916">
        <f t="shared" si="68"/>
        <v>123887.44</v>
      </c>
      <c r="Q195" s="916">
        <f t="shared" si="66"/>
        <v>0</v>
      </c>
    </row>
    <row r="196" customHeight="1" spans="1:17">
      <c r="A196" s="27">
        <v>58</v>
      </c>
      <c r="B196" s="18" t="s">
        <v>375</v>
      </c>
      <c r="C196" s="12" t="s">
        <v>372</v>
      </c>
      <c r="D196" s="15" t="s">
        <v>373</v>
      </c>
      <c r="E196" s="85">
        <v>78733.8333333333</v>
      </c>
      <c r="F196" s="909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6">
        <v>6123.26</v>
      </c>
      <c r="K196" s="916">
        <f t="shared" si="64"/>
        <v>10323.9533333333</v>
      </c>
      <c r="L196" s="916">
        <f t="shared" si="65"/>
        <v>4200.69333333334</v>
      </c>
      <c r="M196" s="916"/>
      <c r="N196" s="916"/>
      <c r="O196" s="916">
        <f t="shared" si="63"/>
        <v>0</v>
      </c>
      <c r="P196" s="916">
        <f t="shared" si="68"/>
        <v>123887.44</v>
      </c>
      <c r="Q196" s="916">
        <f t="shared" si="66"/>
        <v>0</v>
      </c>
    </row>
    <row r="197" customHeight="1" spans="1:17">
      <c r="A197" s="27">
        <v>59</v>
      </c>
      <c r="B197" s="18" t="s">
        <v>376</v>
      </c>
      <c r="C197" s="12" t="s">
        <v>377</v>
      </c>
      <c r="D197" s="15" t="s">
        <v>378</v>
      </c>
      <c r="E197" s="85">
        <v>89050.25</v>
      </c>
      <c r="F197" s="909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6">
        <v>6920.2</v>
      </c>
      <c r="K197" s="916">
        <f t="shared" si="64"/>
        <v>11250.7733333333</v>
      </c>
      <c r="L197" s="916">
        <f t="shared" si="65"/>
        <v>4330.57333333333</v>
      </c>
      <c r="M197" s="916"/>
      <c r="N197" s="916"/>
      <c r="O197" s="916">
        <f t="shared" si="63"/>
        <v>0</v>
      </c>
      <c r="P197" s="916">
        <f t="shared" si="68"/>
        <v>135009.28</v>
      </c>
      <c r="Q197" s="916">
        <f t="shared" si="66"/>
        <v>0</v>
      </c>
    </row>
    <row r="198" customHeight="1" spans="1:17">
      <c r="A198" s="27">
        <v>60</v>
      </c>
      <c r="B198" s="18" t="s">
        <v>379</v>
      </c>
      <c r="C198" s="12" t="s">
        <v>377</v>
      </c>
      <c r="D198" s="15" t="s">
        <v>378</v>
      </c>
      <c r="E198" s="85">
        <v>89050.25</v>
      </c>
      <c r="F198" s="909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6">
        <v>6920.2</v>
      </c>
      <c r="K198" s="916">
        <f t="shared" si="64"/>
        <v>11250.7733333333</v>
      </c>
      <c r="L198" s="916">
        <f t="shared" si="65"/>
        <v>4330.57333333333</v>
      </c>
      <c r="M198" s="916"/>
      <c r="N198" s="916"/>
      <c r="O198" s="916">
        <f t="shared" si="63"/>
        <v>0</v>
      </c>
      <c r="P198" s="916">
        <f t="shared" si="68"/>
        <v>135009.28</v>
      </c>
      <c r="Q198" s="916">
        <f t="shared" si="66"/>
        <v>0</v>
      </c>
    </row>
    <row r="199" ht="30.75" customHeight="1" spans="1:17">
      <c r="A199" s="27"/>
      <c r="B199" s="8" t="s">
        <v>111</v>
      </c>
      <c r="C199" s="28" t="s">
        <v>500</v>
      </c>
      <c r="D199" s="29"/>
      <c r="E199" s="93">
        <f t="shared" ref="E199:Q199" si="69">SUM(E139:E198)</f>
        <v>14787756.9166667</v>
      </c>
      <c r="F199" s="912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501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6">
      <c r="A201" s="4"/>
      <c r="B201" s="30" t="s">
        <v>502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503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N88" workbookViewId="0">
      <selection activeCell="X101" sqref="X101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928" t="s">
        <v>527</v>
      </c>
      <c r="AA4" s="463" t="s">
        <v>528</v>
      </c>
      <c r="AB4" s="477" t="s">
        <v>529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4" si="0">C6*D6</f>
        <v>26956465</v>
      </c>
      <c r="F6" s="467"/>
      <c r="G6" s="467">
        <v>0</v>
      </c>
      <c r="H6" s="467"/>
      <c r="I6" s="467">
        <f t="shared" ref="I6:I34" si="1">E6-F6-G6-H6</f>
        <v>26956465</v>
      </c>
      <c r="J6" s="467">
        <v>200000</v>
      </c>
      <c r="K6" s="467">
        <v>0.2</v>
      </c>
      <c r="L6" s="467">
        <f t="shared" ref="L6:L34" si="2">I6*K6</f>
        <v>5391292.99999999</v>
      </c>
      <c r="M6" s="467">
        <f t="shared" ref="M6:M34" si="3">J6+L6</f>
        <v>5591292.99999999</v>
      </c>
      <c r="N6" s="467">
        <f t="shared" ref="N6:N34" si="4">F6+G6+H6+M6</f>
        <v>5591292.99999999</v>
      </c>
      <c r="O6" s="467">
        <f t="shared" ref="O6:O34" si="5">E6-N6</f>
        <v>21365172</v>
      </c>
      <c r="P6" s="467">
        <f t="shared" ref="P6:P34" si="6">IF(O6&lt;300000,0.07*O6,21000)</f>
        <v>21000</v>
      </c>
      <c r="Q6" s="467">
        <f t="shared" ref="Q6:Q34" si="7">IF((O6-300000)&lt;0,0,IF((O6-300000)&lt;300000,0.11*(O6-300000),33000))</f>
        <v>33000</v>
      </c>
      <c r="R6" s="467">
        <f t="shared" ref="R6:R34" si="8">IF((O6-600000)&lt;0,0,IF((O6-600000)&lt;500000,0.15*(O6-600000),75000))</f>
        <v>75000</v>
      </c>
      <c r="S6" s="467">
        <f t="shared" ref="S6:S34" si="9">IF((O6-1100000)&lt;0,0,IF((O6-1100000)&lt;500000,0.19*(O6-1100000),95000))</f>
        <v>95000</v>
      </c>
      <c r="T6" s="467">
        <f t="shared" ref="T6:T34" si="10">IF((O6-1600000)&lt;0,0,IF((O6-1600000)&lt;1600000,0.21*(O6-1600000),336000))</f>
        <v>336000</v>
      </c>
      <c r="U6" s="467">
        <f t="shared" ref="U6:U23" si="11">24%*(O6-3200000)</f>
        <v>4359641.27999999</v>
      </c>
      <c r="V6" s="467">
        <f t="shared" ref="V6:V34" si="12">P6+Q6+R6+S6+T6+U6</f>
        <v>4919641.27999999</v>
      </c>
      <c r="W6" s="474">
        <v>12</v>
      </c>
      <c r="X6" s="467">
        <f t="shared" ref="X6:X34" si="13">V6/W6</f>
        <v>409970.106666666</v>
      </c>
      <c r="Y6" s="467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</v>
      </c>
      <c r="M10" s="467">
        <f t="shared" si="3"/>
        <v>2450497.682</v>
      </c>
      <c r="N10" s="467">
        <f t="shared" si="4"/>
        <v>3426116.272</v>
      </c>
      <c r="O10" s="467">
        <f t="shared" si="5"/>
        <v>8801990.728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</v>
      </c>
      <c r="V10" s="467">
        <f t="shared" si="12"/>
        <v>1904477.77472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66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69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71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ref="U24:U34" si="16">24%*(O24-3200000)</f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74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6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77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6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80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6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6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6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6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6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89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6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91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6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92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6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>
        <v>33</v>
      </c>
      <c r="B35" s="351" t="s">
        <v>100</v>
      </c>
      <c r="C35" s="471">
        <v>351910.75</v>
      </c>
      <c r="D35" s="466">
        <v>12</v>
      </c>
      <c r="E35" s="467">
        <f t="shared" ref="E35:E42" si="17">C35*D35</f>
        <v>4222929</v>
      </c>
      <c r="F35" s="467"/>
      <c r="G35" s="468">
        <v>289834.32</v>
      </c>
      <c r="H35" s="467"/>
      <c r="I35" s="467">
        <f t="shared" ref="I35:I42" si="18">E35-F35-G35-H35</f>
        <v>3933094.68</v>
      </c>
      <c r="J35" s="467">
        <v>200000</v>
      </c>
      <c r="K35" s="467">
        <v>0.2</v>
      </c>
      <c r="L35" s="467">
        <f t="shared" ref="L35:L42" si="19">I35*K35</f>
        <v>786618.936</v>
      </c>
      <c r="M35" s="467">
        <f t="shared" ref="M35:M42" si="20">J35+L35</f>
        <v>986618.936</v>
      </c>
      <c r="N35" s="467">
        <f t="shared" ref="N35:N42" si="21">F35+G35+H35+M35</f>
        <v>1276453.256</v>
      </c>
      <c r="O35" s="467">
        <f t="shared" ref="O35:O42" si="22">E35-N35</f>
        <v>2946475.744</v>
      </c>
      <c r="P35" s="467">
        <f t="shared" ref="P35:P42" si="23">IF(O35&lt;300000,0.07*O35,21000)</f>
        <v>21000</v>
      </c>
      <c r="Q35" s="467">
        <f t="shared" ref="Q35:Q42" si="24">IF((O35-300000)&lt;0,0,IF((O35-300000)&lt;300000,0.11*(O35-300000),33000))</f>
        <v>33000</v>
      </c>
      <c r="R35" s="467">
        <f t="shared" ref="R35:R42" si="25">IF((O35-600000)&lt;0,0,IF((O35-600000)&lt;500000,0.15*(O35-600000),75000))</f>
        <v>75000</v>
      </c>
      <c r="S35" s="467">
        <f t="shared" ref="S35:S42" si="26">IF((O35-1100000)&lt;0,0,IF((O35-1100000)&lt;500000,0.19*(O35-1100000),95000))</f>
        <v>95000</v>
      </c>
      <c r="T35" s="467">
        <f t="shared" ref="T35:T42" si="27">IF((O35-1600000)&lt;0,0,IF((O35-1600000)&lt;1600000,0.21*(O35-1600000),336000))</f>
        <v>282759.90624</v>
      </c>
      <c r="U35" s="467"/>
      <c r="V35" s="467">
        <f t="shared" ref="V35:V42" si="28">P35+Q35+R35+S35+T35+U35</f>
        <v>506759.90624</v>
      </c>
      <c r="W35" s="467">
        <v>12</v>
      </c>
      <c r="X35" s="467">
        <f t="shared" ref="X35:X42" si="29">V35/W35</f>
        <v>42229.9921866667</v>
      </c>
      <c r="Y35" s="467"/>
      <c r="Z35" s="929">
        <f t="shared" ref="Z35:Z42" si="30">X35</f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103</v>
      </c>
      <c r="C36" s="467">
        <v>344900.833333334</v>
      </c>
      <c r="D36" s="466">
        <v>12</v>
      </c>
      <c r="E36" s="467">
        <f t="shared" si="17"/>
        <v>4138810.00000001</v>
      </c>
      <c r="F36" s="467"/>
      <c r="G36" s="468">
        <v>283104.8</v>
      </c>
      <c r="H36" s="467"/>
      <c r="I36" s="467">
        <f t="shared" si="18"/>
        <v>3855705.20000001</v>
      </c>
      <c r="J36" s="467">
        <v>200000</v>
      </c>
      <c r="K36" s="467">
        <v>0.2</v>
      </c>
      <c r="L36" s="467">
        <f t="shared" si="19"/>
        <v>771141.040000002</v>
      </c>
      <c r="M36" s="467">
        <f t="shared" si="20"/>
        <v>971141.040000002</v>
      </c>
      <c r="N36" s="467">
        <f t="shared" si="21"/>
        <v>1254245.84</v>
      </c>
      <c r="O36" s="467">
        <f t="shared" si="22"/>
        <v>2884564.16000001</v>
      </c>
      <c r="P36" s="467">
        <f t="shared" si="23"/>
        <v>21000</v>
      </c>
      <c r="Q36" s="467">
        <f t="shared" si="24"/>
        <v>33000</v>
      </c>
      <c r="R36" s="467">
        <f t="shared" si="25"/>
        <v>75000</v>
      </c>
      <c r="S36" s="467">
        <f t="shared" si="26"/>
        <v>95000</v>
      </c>
      <c r="T36" s="467">
        <f t="shared" si="27"/>
        <v>269758.473600001</v>
      </c>
      <c r="U36" s="467"/>
      <c r="V36" s="467">
        <f t="shared" si="28"/>
        <v>493758.473600001</v>
      </c>
      <c r="W36" s="467">
        <v>12</v>
      </c>
      <c r="X36" s="467">
        <f t="shared" si="29"/>
        <v>41146.5394666668</v>
      </c>
      <c r="Y36" s="467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112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113</v>
      </c>
      <c r="C39" s="467">
        <v>1847106.41666666</v>
      </c>
      <c r="D39" s="466">
        <v>12</v>
      </c>
      <c r="E39" s="467">
        <f t="shared" si="17"/>
        <v>22165276.9999999</v>
      </c>
      <c r="F39" s="467"/>
      <c r="G39" s="467">
        <v>1677222.16</v>
      </c>
      <c r="H39" s="467"/>
      <c r="I39" s="467">
        <f t="shared" si="18"/>
        <v>20488054.8399999</v>
      </c>
      <c r="J39" s="467">
        <v>200000</v>
      </c>
      <c r="K39" s="467">
        <v>0.2</v>
      </c>
      <c r="L39" s="467">
        <f t="shared" si="19"/>
        <v>4097610.96799998</v>
      </c>
      <c r="M39" s="467">
        <f t="shared" si="20"/>
        <v>4297610.96799998</v>
      </c>
      <c r="N39" s="467">
        <f t="shared" si="21"/>
        <v>5974833.12799998</v>
      </c>
      <c r="O39" s="467">
        <f t="shared" si="22"/>
        <v>16190443.8719999</v>
      </c>
      <c r="P39" s="467">
        <f t="shared" si="23"/>
        <v>21000</v>
      </c>
      <c r="Q39" s="467">
        <f t="shared" si="24"/>
        <v>33000</v>
      </c>
      <c r="R39" s="467">
        <f t="shared" si="25"/>
        <v>75000</v>
      </c>
      <c r="S39" s="467">
        <f t="shared" si="26"/>
        <v>95000</v>
      </c>
      <c r="T39" s="467">
        <f t="shared" si="27"/>
        <v>336000</v>
      </c>
      <c r="U39" s="467">
        <f t="shared" ref="U35:U42" si="31">24%*(O39-3200000)</f>
        <v>3117706.52927999</v>
      </c>
      <c r="V39" s="467">
        <f t="shared" si="28"/>
        <v>3677706.52927999</v>
      </c>
      <c r="W39" s="474">
        <v>12</v>
      </c>
      <c r="X39" s="467">
        <f t="shared" si="29"/>
        <v>306475.544106665</v>
      </c>
      <c r="Y39" s="467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9"/>
      <c r="AD39" s="479"/>
      <c r="AE39" s="479"/>
    </row>
    <row r="40" ht="15.5" spans="1:31">
      <c r="A40" s="464"/>
      <c r="B40" s="351" t="s">
        <v>116</v>
      </c>
      <c r="C40" s="467">
        <v>441140.666666666</v>
      </c>
      <c r="D40" s="466">
        <v>12</v>
      </c>
      <c r="E40" s="467">
        <f t="shared" si="17"/>
        <v>5293687.99999999</v>
      </c>
      <c r="F40" s="467"/>
      <c r="G40" s="467">
        <v>365895.04</v>
      </c>
      <c r="H40" s="467"/>
      <c r="I40" s="467">
        <f t="shared" si="18"/>
        <v>4927792.95999999</v>
      </c>
      <c r="J40" s="467">
        <v>200000</v>
      </c>
      <c r="K40" s="467">
        <v>0.2</v>
      </c>
      <c r="L40" s="467">
        <f t="shared" si="19"/>
        <v>985558.591999998</v>
      </c>
      <c r="M40" s="467">
        <f t="shared" si="20"/>
        <v>1185558.592</v>
      </c>
      <c r="N40" s="467">
        <f t="shared" si="21"/>
        <v>1551453.632</v>
      </c>
      <c r="O40" s="467">
        <f t="shared" si="22"/>
        <v>3742234.36799999</v>
      </c>
      <c r="P40" s="467">
        <f t="shared" si="23"/>
        <v>21000</v>
      </c>
      <c r="Q40" s="467">
        <f t="shared" si="24"/>
        <v>33000</v>
      </c>
      <c r="R40" s="467">
        <f t="shared" si="25"/>
        <v>75000</v>
      </c>
      <c r="S40" s="467">
        <f t="shared" si="26"/>
        <v>95000</v>
      </c>
      <c r="T40" s="467">
        <f t="shared" si="27"/>
        <v>336000</v>
      </c>
      <c r="U40" s="467">
        <f t="shared" si="31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9"/>
      <c r="AD40" s="479"/>
      <c r="AE40" s="479"/>
    </row>
    <row r="41" ht="15.5" spans="1:31">
      <c r="A41" s="464"/>
      <c r="B41" s="643" t="s">
        <v>118</v>
      </c>
      <c r="C41" s="467">
        <v>450135.833333334</v>
      </c>
      <c r="D41" s="466">
        <v>12</v>
      </c>
      <c r="E41" s="467">
        <f t="shared" si="17"/>
        <v>5401630.00000001</v>
      </c>
      <c r="F41" s="467"/>
      <c r="G41" s="467">
        <v>374530.4</v>
      </c>
      <c r="H41" s="467"/>
      <c r="I41" s="467">
        <f t="shared" si="18"/>
        <v>5027099.60000001</v>
      </c>
      <c r="J41" s="467">
        <v>200000</v>
      </c>
      <c r="K41" s="467">
        <v>0.2</v>
      </c>
      <c r="L41" s="467">
        <f t="shared" si="19"/>
        <v>1005419.92</v>
      </c>
      <c r="M41" s="467">
        <f t="shared" si="20"/>
        <v>1205419.92</v>
      </c>
      <c r="N41" s="467">
        <f t="shared" si="21"/>
        <v>1579950.32</v>
      </c>
      <c r="O41" s="467">
        <f t="shared" si="22"/>
        <v>3821679.68000001</v>
      </c>
      <c r="P41" s="467">
        <f t="shared" si="23"/>
        <v>21000</v>
      </c>
      <c r="Q41" s="467">
        <f t="shared" si="24"/>
        <v>33000</v>
      </c>
      <c r="R41" s="467">
        <f t="shared" si="25"/>
        <v>75000</v>
      </c>
      <c r="S41" s="467">
        <f t="shared" si="26"/>
        <v>95000</v>
      </c>
      <c r="T41" s="467">
        <f t="shared" si="27"/>
        <v>336000</v>
      </c>
      <c r="U41" s="467">
        <f t="shared" si="31"/>
        <v>149203.123200001</v>
      </c>
      <c r="V41" s="467">
        <f t="shared" si="28"/>
        <v>709203.123200001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7"/>
        <v>4784540</v>
      </c>
      <c r="F42" s="467"/>
      <c r="G42" s="468">
        <v>325163.200000001</v>
      </c>
      <c r="H42" s="467"/>
      <c r="I42" s="467">
        <f t="shared" si="18"/>
        <v>4459376.8</v>
      </c>
      <c r="J42" s="467">
        <v>200000</v>
      </c>
      <c r="K42" s="467">
        <v>0.2</v>
      </c>
      <c r="L42" s="467">
        <f t="shared" si="19"/>
        <v>891875.360000001</v>
      </c>
      <c r="M42" s="467">
        <f t="shared" si="20"/>
        <v>1091875.36</v>
      </c>
      <c r="N42" s="467">
        <f t="shared" si="21"/>
        <v>1417038.56</v>
      </c>
      <c r="O42" s="467">
        <f t="shared" si="22"/>
        <v>3367501.44</v>
      </c>
      <c r="P42" s="467">
        <f t="shared" si="23"/>
        <v>21000</v>
      </c>
      <c r="Q42" s="467">
        <f t="shared" si="24"/>
        <v>33000</v>
      </c>
      <c r="R42" s="467">
        <f t="shared" si="25"/>
        <v>75000</v>
      </c>
      <c r="S42" s="467">
        <f t="shared" si="26"/>
        <v>95000</v>
      </c>
      <c r="T42" s="467">
        <f t="shared" si="27"/>
        <v>336000</v>
      </c>
      <c r="U42" s="467">
        <f t="shared" si="31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1847612</v>
      </c>
      <c r="D45" s="466">
        <v>12</v>
      </c>
      <c r="E45" s="467">
        <f t="shared" ref="E45:E55" si="33">C45*D45</f>
        <v>22171344</v>
      </c>
      <c r="F45" s="467"/>
      <c r="G45" s="468">
        <v>869094.48</v>
      </c>
      <c r="H45" s="467"/>
      <c r="I45" s="467">
        <f t="shared" ref="I45:I55" si="34">E45-F45-G45-H45</f>
        <v>21302249.52</v>
      </c>
      <c r="J45" s="467">
        <v>200000</v>
      </c>
      <c r="K45" s="467">
        <v>0.2</v>
      </c>
      <c r="L45" s="467">
        <f t="shared" ref="L45:L55" si="35">I45*K45</f>
        <v>4260449.904</v>
      </c>
      <c r="M45" s="467">
        <f t="shared" ref="M45:M55" si="36">J45+L45</f>
        <v>4460449.904</v>
      </c>
      <c r="N45" s="467">
        <f t="shared" ref="N45:N55" si="37">F45+G45+H45+M45</f>
        <v>5329544.384</v>
      </c>
      <c r="O45" s="467">
        <f t="shared" ref="O45:O55" si="38">E45-N45</f>
        <v>16841799.616</v>
      </c>
      <c r="P45" s="467">
        <f t="shared" ref="P45:P55" si="39">IF(O45&lt;300000,0.07*O45,21000)</f>
        <v>21000</v>
      </c>
      <c r="Q45" s="467">
        <f t="shared" ref="Q45:Q55" si="40">IF((O45-300000)&lt;0,0,IF((O45-300000)&lt;300000,0.11*(O45-300000),33000))</f>
        <v>33000</v>
      </c>
      <c r="R45" s="467">
        <f t="shared" ref="R45:R55" si="41">IF((O45-600000)&lt;0,0,IF((O45-600000)&lt;500000,0.15*(O45-600000),75000))</f>
        <v>75000</v>
      </c>
      <c r="S45" s="467">
        <f t="shared" ref="S45:S55" si="42">IF((O45-1100000)&lt;0,0,IF((O45-1100000)&lt;500000,0.19*(O45-1100000),95000))</f>
        <v>95000</v>
      </c>
      <c r="T45" s="467">
        <f t="shared" ref="T45:T55" si="43">IF((O45-1600000)&lt;0,0,IF((O45-1600000)&lt;1600000,0.21*(O45-1600000),336000))</f>
        <v>336000</v>
      </c>
      <c r="U45" s="467">
        <f>0.24*(O45-3200000)</f>
        <v>3274031.90784</v>
      </c>
      <c r="V45" s="467">
        <f t="shared" ref="V45:V55" si="44">P45+Q45+R45+S45+T45+U45</f>
        <v>3834031.90784</v>
      </c>
      <c r="W45" s="474">
        <v>12</v>
      </c>
      <c r="X45" s="467">
        <f t="shared" ref="X45:X55" si="45">V45/W45</f>
        <v>319502.658986667</v>
      </c>
      <c r="Y45" s="467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3"/>
        <v>10853724</v>
      </c>
      <c r="F46" s="470"/>
      <c r="G46" s="468">
        <v>714697.92</v>
      </c>
      <c r="H46" s="470"/>
      <c r="I46" s="467">
        <f t="shared" si="34"/>
        <v>10139026.08</v>
      </c>
      <c r="J46" s="467">
        <v>200000</v>
      </c>
      <c r="K46" s="467">
        <v>0.2</v>
      </c>
      <c r="L46" s="467">
        <f t="shared" si="35"/>
        <v>2027805.216</v>
      </c>
      <c r="M46" s="467">
        <f t="shared" si="36"/>
        <v>2227805.216</v>
      </c>
      <c r="N46" s="467">
        <f t="shared" si="37"/>
        <v>2942503.136</v>
      </c>
      <c r="O46" s="467">
        <f t="shared" si="38"/>
        <v>7911220.864</v>
      </c>
      <c r="P46" s="467">
        <f t="shared" si="39"/>
        <v>21000</v>
      </c>
      <c r="Q46" s="467">
        <f t="shared" si="40"/>
        <v>33000</v>
      </c>
      <c r="R46" s="467">
        <f t="shared" si="41"/>
        <v>75000</v>
      </c>
      <c r="S46" s="467">
        <f t="shared" si="42"/>
        <v>95000</v>
      </c>
      <c r="T46" s="467">
        <f t="shared" si="43"/>
        <v>336000</v>
      </c>
      <c r="U46" s="467">
        <f t="shared" ref="U46:U52" si="47">24%*(O46-3200000)</f>
        <v>1130693.00736</v>
      </c>
      <c r="V46" s="467">
        <f t="shared" si="44"/>
        <v>1690693.00736</v>
      </c>
      <c r="W46" s="474">
        <v>12</v>
      </c>
      <c r="X46" s="467">
        <f t="shared" si="45"/>
        <v>140891.083946667</v>
      </c>
      <c r="Y46" s="470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968360</v>
      </c>
      <c r="D47" s="466">
        <v>12</v>
      </c>
      <c r="E47" s="467">
        <f t="shared" si="33"/>
        <v>11620320</v>
      </c>
      <c r="F47" s="470"/>
      <c r="G47" s="468"/>
      <c r="H47" s="470"/>
      <c r="I47" s="467">
        <f t="shared" si="34"/>
        <v>11620320</v>
      </c>
      <c r="J47" s="467">
        <v>200000</v>
      </c>
      <c r="K47" s="467">
        <v>0.2</v>
      </c>
      <c r="L47" s="467">
        <f t="shared" si="35"/>
        <v>2324064</v>
      </c>
      <c r="M47" s="467">
        <f t="shared" si="36"/>
        <v>2524064</v>
      </c>
      <c r="N47" s="467">
        <f t="shared" si="37"/>
        <v>2524064</v>
      </c>
      <c r="O47" s="467">
        <f t="shared" si="38"/>
        <v>9096256</v>
      </c>
      <c r="P47" s="467">
        <f t="shared" si="39"/>
        <v>21000</v>
      </c>
      <c r="Q47" s="467">
        <f t="shared" si="40"/>
        <v>33000</v>
      </c>
      <c r="R47" s="467">
        <f t="shared" si="41"/>
        <v>75000</v>
      </c>
      <c r="S47" s="467">
        <f t="shared" si="42"/>
        <v>95000</v>
      </c>
      <c r="T47" s="467">
        <f t="shared" si="43"/>
        <v>336000</v>
      </c>
      <c r="U47" s="467">
        <f t="shared" si="47"/>
        <v>1415101.44</v>
      </c>
      <c r="V47" s="467">
        <f t="shared" si="44"/>
        <v>1975101.44</v>
      </c>
      <c r="W47" s="474">
        <v>12</v>
      </c>
      <c r="X47" s="467">
        <f t="shared" si="45"/>
        <v>164591.786666667</v>
      </c>
      <c r="Y47" s="470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3"/>
        <v>10591146</v>
      </c>
      <c r="F48" s="470"/>
      <c r="G48" s="468">
        <v>693691.68</v>
      </c>
      <c r="H48" s="470"/>
      <c r="I48" s="467">
        <f t="shared" si="34"/>
        <v>9897454.32</v>
      </c>
      <c r="J48" s="467">
        <v>200000</v>
      </c>
      <c r="K48" s="467">
        <v>0.2</v>
      </c>
      <c r="L48" s="467">
        <f t="shared" si="35"/>
        <v>1979490.864</v>
      </c>
      <c r="M48" s="467">
        <f t="shared" si="36"/>
        <v>2179490.864</v>
      </c>
      <c r="N48" s="467">
        <f t="shared" si="37"/>
        <v>2873182.544</v>
      </c>
      <c r="O48" s="467">
        <f t="shared" si="38"/>
        <v>7717963.456</v>
      </c>
      <c r="P48" s="467">
        <f t="shared" si="39"/>
        <v>21000</v>
      </c>
      <c r="Q48" s="467">
        <f t="shared" si="40"/>
        <v>33000</v>
      </c>
      <c r="R48" s="467">
        <f t="shared" si="41"/>
        <v>75000</v>
      </c>
      <c r="S48" s="467">
        <f t="shared" si="42"/>
        <v>95000</v>
      </c>
      <c r="T48" s="467">
        <f t="shared" si="43"/>
        <v>336000</v>
      </c>
      <c r="U48" s="467">
        <f t="shared" si="47"/>
        <v>1084311.22944</v>
      </c>
      <c r="V48" s="467">
        <f t="shared" si="44"/>
        <v>1644311.22944</v>
      </c>
      <c r="W48" s="474">
        <v>12</v>
      </c>
      <c r="X48" s="467">
        <f t="shared" si="45"/>
        <v>137025.935786667</v>
      </c>
      <c r="Y48" s="470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3"/>
        <v>10328567</v>
      </c>
      <c r="F49" s="467"/>
      <c r="G49" s="468">
        <v>672685.36</v>
      </c>
      <c r="H49" s="470"/>
      <c r="I49" s="467">
        <f t="shared" si="34"/>
        <v>9655881.63999999</v>
      </c>
      <c r="J49" s="467">
        <v>200000</v>
      </c>
      <c r="K49" s="467">
        <v>0.2</v>
      </c>
      <c r="L49" s="467">
        <f t="shared" si="35"/>
        <v>1931176.328</v>
      </c>
      <c r="M49" s="467">
        <f t="shared" si="36"/>
        <v>2131176.328</v>
      </c>
      <c r="N49" s="467">
        <f t="shared" si="37"/>
        <v>2803861.688</v>
      </c>
      <c r="O49" s="467">
        <f t="shared" si="38"/>
        <v>7524705.31199999</v>
      </c>
      <c r="P49" s="467">
        <f t="shared" si="39"/>
        <v>21000</v>
      </c>
      <c r="Q49" s="467">
        <f t="shared" si="40"/>
        <v>33000</v>
      </c>
      <c r="R49" s="467">
        <f t="shared" si="41"/>
        <v>75000</v>
      </c>
      <c r="S49" s="467">
        <f t="shared" si="42"/>
        <v>95000</v>
      </c>
      <c r="T49" s="467">
        <f t="shared" si="43"/>
        <v>336000</v>
      </c>
      <c r="U49" s="467">
        <f t="shared" si="47"/>
        <v>1037929.27488</v>
      </c>
      <c r="V49" s="467">
        <f t="shared" si="44"/>
        <v>1597929.27488</v>
      </c>
      <c r="W49" s="474">
        <v>12</v>
      </c>
      <c r="X49" s="467">
        <f t="shared" si="45"/>
        <v>133160.772906667</v>
      </c>
      <c r="Y49" s="470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3"/>
        <v>5881630.00000001</v>
      </c>
      <c r="F50" s="467"/>
      <c r="G50" s="468">
        <v>374530.4</v>
      </c>
      <c r="H50" s="470"/>
      <c r="I50" s="467">
        <f t="shared" si="34"/>
        <v>5507099.60000001</v>
      </c>
      <c r="J50" s="467">
        <v>200000</v>
      </c>
      <c r="K50" s="467">
        <v>0.2</v>
      </c>
      <c r="L50" s="467">
        <f t="shared" si="35"/>
        <v>1101419.92</v>
      </c>
      <c r="M50" s="467">
        <f t="shared" si="36"/>
        <v>1301419.92</v>
      </c>
      <c r="N50" s="467">
        <f t="shared" si="37"/>
        <v>1675950.32</v>
      </c>
      <c r="O50" s="467">
        <f t="shared" si="38"/>
        <v>4205679.68000001</v>
      </c>
      <c r="P50" s="467">
        <f t="shared" si="39"/>
        <v>21000</v>
      </c>
      <c r="Q50" s="467">
        <f t="shared" si="40"/>
        <v>33000</v>
      </c>
      <c r="R50" s="467">
        <f t="shared" si="41"/>
        <v>75000</v>
      </c>
      <c r="S50" s="467">
        <f t="shared" si="42"/>
        <v>95000</v>
      </c>
      <c r="T50" s="467">
        <f t="shared" si="43"/>
        <v>336000</v>
      </c>
      <c r="U50" s="467">
        <f t="shared" si="47"/>
        <v>241363.123200002</v>
      </c>
      <c r="V50" s="467">
        <f t="shared" si="44"/>
        <v>801363.123200002</v>
      </c>
      <c r="W50" s="474">
        <v>12</v>
      </c>
      <c r="X50" s="467">
        <f t="shared" si="45"/>
        <v>66780.2602666668</v>
      </c>
      <c r="Y50" s="470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3"/>
        <v>5364193.99999999</v>
      </c>
      <c r="F51" s="467"/>
      <c r="G51" s="468">
        <v>333135.52</v>
      </c>
      <c r="H51" s="470"/>
      <c r="I51" s="467">
        <f t="shared" si="34"/>
        <v>5031058.47999999</v>
      </c>
      <c r="J51" s="467">
        <v>200000</v>
      </c>
      <c r="K51" s="467">
        <v>0.2</v>
      </c>
      <c r="L51" s="467">
        <f t="shared" si="35"/>
        <v>1006211.696</v>
      </c>
      <c r="M51" s="467">
        <f t="shared" si="36"/>
        <v>1206211.696</v>
      </c>
      <c r="N51" s="467">
        <f t="shared" si="37"/>
        <v>1539347.216</v>
      </c>
      <c r="O51" s="467">
        <f t="shared" si="38"/>
        <v>3824846.78399999</v>
      </c>
      <c r="P51" s="467">
        <f t="shared" si="39"/>
        <v>21000</v>
      </c>
      <c r="Q51" s="467">
        <f t="shared" si="40"/>
        <v>33000</v>
      </c>
      <c r="R51" s="467">
        <f t="shared" si="41"/>
        <v>75000</v>
      </c>
      <c r="S51" s="467">
        <f t="shared" si="42"/>
        <v>95000</v>
      </c>
      <c r="T51" s="467">
        <f t="shared" si="43"/>
        <v>336000</v>
      </c>
      <c r="U51" s="467">
        <f t="shared" si="47"/>
        <v>149963.228159998</v>
      </c>
      <c r="V51" s="467">
        <f t="shared" si="44"/>
        <v>709963.228159998</v>
      </c>
      <c r="W51" s="474">
        <v>12</v>
      </c>
      <c r="X51" s="467">
        <f t="shared" si="45"/>
        <v>59163.6023466665</v>
      </c>
      <c r="Y51" s="470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3"/>
        <v>5364193.99999999</v>
      </c>
      <c r="F52" s="467"/>
      <c r="G52" s="468">
        <v>333135.52</v>
      </c>
      <c r="H52" s="470"/>
      <c r="I52" s="467">
        <f t="shared" si="34"/>
        <v>5031058.47999999</v>
      </c>
      <c r="J52" s="467">
        <v>200000</v>
      </c>
      <c r="K52" s="467">
        <v>0.2</v>
      </c>
      <c r="L52" s="467">
        <f t="shared" si="35"/>
        <v>1006211.696</v>
      </c>
      <c r="M52" s="467">
        <f t="shared" si="36"/>
        <v>1206211.696</v>
      </c>
      <c r="N52" s="467">
        <f t="shared" si="37"/>
        <v>1539347.216</v>
      </c>
      <c r="O52" s="467">
        <f t="shared" si="38"/>
        <v>3824846.78399999</v>
      </c>
      <c r="P52" s="467">
        <f t="shared" si="39"/>
        <v>21000</v>
      </c>
      <c r="Q52" s="467">
        <f t="shared" si="40"/>
        <v>33000</v>
      </c>
      <c r="R52" s="467">
        <f t="shared" si="41"/>
        <v>75000</v>
      </c>
      <c r="S52" s="467">
        <f t="shared" si="42"/>
        <v>95000</v>
      </c>
      <c r="T52" s="467">
        <f t="shared" si="43"/>
        <v>336000</v>
      </c>
      <c r="U52" s="467">
        <f t="shared" si="47"/>
        <v>149963.228159998</v>
      </c>
      <c r="V52" s="467">
        <f t="shared" si="44"/>
        <v>709963.228159998</v>
      </c>
      <c r="W52" s="474">
        <v>12</v>
      </c>
      <c r="X52" s="467">
        <f t="shared" si="45"/>
        <v>59163.6023466665</v>
      </c>
      <c r="Y52" s="470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8" si="48">C55*D55</f>
        <v>23365276.9999999</v>
      </c>
      <c r="F55" s="467"/>
      <c r="G55" s="468">
        <v>1677222.16</v>
      </c>
      <c r="H55" s="470"/>
      <c r="I55" s="467">
        <f t="shared" ref="I55:I68" si="49">E55-F55-G55-H55</f>
        <v>21688054.8399999</v>
      </c>
      <c r="J55" s="467">
        <v>200000</v>
      </c>
      <c r="K55" s="467">
        <v>0.2</v>
      </c>
      <c r="L55" s="467">
        <f t="shared" ref="L55:L68" si="50">I55*K55</f>
        <v>4337610.96799998</v>
      </c>
      <c r="M55" s="467">
        <f t="shared" ref="M55:M68" si="51">J55+L55</f>
        <v>4537610.96799998</v>
      </c>
      <c r="N55" s="467">
        <f t="shared" ref="N55:N68" si="52">F55+G55+H55+M55</f>
        <v>6214833.12799998</v>
      </c>
      <c r="O55" s="467">
        <f t="shared" ref="O55:O68" si="53">E55-N55</f>
        <v>17150443.8719999</v>
      </c>
      <c r="P55" s="467">
        <f t="shared" ref="P55:P68" si="54">IF(O55&lt;300000,0.07*O55,21000)</f>
        <v>21000</v>
      </c>
      <c r="Q55" s="467">
        <f t="shared" ref="Q55:Q68" si="55">IF((O55-300000)&lt;0,0,IF((O55-300000)&lt;300000,0.11*(O55-300000),33000))</f>
        <v>33000</v>
      </c>
      <c r="R55" s="467">
        <f t="shared" ref="R55:R68" si="56">IF((O55-600000)&lt;0,0,IF((O55-600000)&lt;500000,0.15*(O55-600000),75000))</f>
        <v>75000</v>
      </c>
      <c r="S55" s="467">
        <f t="shared" ref="S55:S68" si="57">IF((O55-1100000)&lt;0,0,IF((O55-1100000)&lt;500000,0.19*(O55-1100000),95000))</f>
        <v>95000</v>
      </c>
      <c r="T55" s="467">
        <f t="shared" ref="T55:T68" si="58">IF((O55-1600000)&lt;0,0,IF((O55-1600000)&lt;1600000,0.21*(O55-1600000),336000))</f>
        <v>336000</v>
      </c>
      <c r="U55" s="467">
        <f t="shared" ref="U55:U68" si="59">24%*(O55-3200000)</f>
        <v>3348106.52927998</v>
      </c>
      <c r="V55" s="467">
        <f t="shared" ref="V55:V68" si="60">P55+Q55+R55+S55+T55+U55</f>
        <v>3908106.52927998</v>
      </c>
      <c r="W55" s="474">
        <v>12</v>
      </c>
      <c r="X55" s="467">
        <f t="shared" ref="X55:X68" si="61">V55/W55</f>
        <v>325675.544106665</v>
      </c>
      <c r="Y55" s="470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161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</v>
      </c>
      <c r="V61" s="467">
        <f t="shared" si="60"/>
        <v>991205.68832</v>
      </c>
      <c r="W61" s="474">
        <v>12</v>
      </c>
      <c r="X61" s="467">
        <f t="shared" si="61"/>
        <v>82600.4740266666</v>
      </c>
      <c r="Y61" s="470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9"/>
      <c r="AD61" s="479"/>
      <c r="AE61" s="479"/>
    </row>
    <row r="62" ht="15.5" spans="1:31">
      <c r="A62" s="464">
        <v>53</v>
      </c>
      <c r="B62" s="351" t="s">
        <v>163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</v>
      </c>
      <c r="V62" s="467">
        <f t="shared" si="60"/>
        <v>991205.68832</v>
      </c>
      <c r="W62" s="474">
        <v>12</v>
      </c>
      <c r="X62" s="467">
        <f t="shared" si="61"/>
        <v>82600.4740266666</v>
      </c>
      <c r="Y62" s="470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9"/>
      <c r="AD62" s="479"/>
      <c r="AE62" s="479"/>
    </row>
    <row r="63" ht="15.5" spans="1:31">
      <c r="A63" s="464">
        <v>54</v>
      </c>
      <c r="B63" s="639" t="s">
        <v>164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</v>
      </c>
      <c r="V63" s="467">
        <f t="shared" si="60"/>
        <v>991205.68832</v>
      </c>
      <c r="W63" s="474">
        <v>12</v>
      </c>
      <c r="X63" s="467">
        <f t="shared" si="61"/>
        <v>82600.4740266666</v>
      </c>
      <c r="Y63" s="470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9"/>
      <c r="AD63" s="479"/>
      <c r="AE63" s="479"/>
    </row>
    <row r="64" ht="15.5" spans="1:31">
      <c r="A64" s="464">
        <v>55</v>
      </c>
      <c r="B64" s="643" t="s">
        <v>165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9"/>
      <c r="AD64" s="479"/>
      <c r="AE64" s="479"/>
    </row>
    <row r="65" ht="15.5" spans="1:31">
      <c r="A65" s="464">
        <v>56</v>
      </c>
      <c r="B65" s="643" t="s">
        <v>168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169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170</v>
      </c>
      <c r="C68" s="467">
        <v>1947106.41666666</v>
      </c>
      <c r="D68" s="466">
        <v>12</v>
      </c>
      <c r="E68" s="467">
        <f t="shared" ref="E68:E74" si="63">C68*D68</f>
        <v>23365276.9999999</v>
      </c>
      <c r="F68" s="467"/>
      <c r="G68" s="468">
        <v>1677222.16</v>
      </c>
      <c r="H68" s="470"/>
      <c r="I68" s="467">
        <f t="shared" ref="I68:I74" si="64">E68-F68-G68-H68</f>
        <v>21688054.8399999</v>
      </c>
      <c r="J68" s="467">
        <v>200000</v>
      </c>
      <c r="K68" s="467">
        <v>0.2</v>
      </c>
      <c r="L68" s="467">
        <f t="shared" ref="L68:L74" si="65">I68*K68</f>
        <v>4337610.96799998</v>
      </c>
      <c r="M68" s="467">
        <f t="shared" ref="M68:M74" si="66">J68+L68</f>
        <v>4537610.96799998</v>
      </c>
      <c r="N68" s="467">
        <f t="shared" ref="N68:N74" si="67">F68+G68+H68+M68</f>
        <v>6214833.12799998</v>
      </c>
      <c r="O68" s="467">
        <f t="shared" ref="O68:O74" si="68">E68-N68</f>
        <v>17150443.8719999</v>
      </c>
      <c r="P68" s="467">
        <f t="shared" ref="P68:P74" si="69">IF(O68&lt;300000,0.07*O68,21000)</f>
        <v>21000</v>
      </c>
      <c r="Q68" s="467">
        <f t="shared" ref="Q68:Q74" si="70">IF((O68-300000)&lt;0,0,IF((O68-300000)&lt;300000,0.11*(O68-300000),33000))</f>
        <v>33000</v>
      </c>
      <c r="R68" s="467">
        <f t="shared" ref="R68:R74" si="71">IF((O68-600000)&lt;0,0,IF((O68-600000)&lt;500000,0.15*(O68-600000),75000))</f>
        <v>75000</v>
      </c>
      <c r="S68" s="467">
        <f t="shared" ref="S68:S74" si="72">IF((O68-1100000)&lt;0,0,IF((O68-1100000)&lt;500000,0.19*(O68-1100000),95000))</f>
        <v>95000</v>
      </c>
      <c r="T68" s="467">
        <f t="shared" ref="T68:T74" si="73">IF((O68-1600000)&lt;0,0,IF((O68-1600000)&lt;1600000,0.21*(O68-1600000),336000))</f>
        <v>336000</v>
      </c>
      <c r="U68" s="467">
        <f t="shared" ref="U68:U71" si="74">24%*(O68-3200000)</f>
        <v>3348106.52927999</v>
      </c>
      <c r="V68" s="467">
        <f t="shared" ref="V68:V74" si="75">P68+Q68+R68+S68+T68+U68</f>
        <v>3908106.52927999</v>
      </c>
      <c r="W68" s="474">
        <v>12</v>
      </c>
      <c r="X68" s="467">
        <f t="shared" ref="X68:X74" si="76">V68/W68</f>
        <v>325675.544106665</v>
      </c>
      <c r="Y68" s="470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174</v>
      </c>
      <c r="C69" s="467">
        <v>882595.5</v>
      </c>
      <c r="D69" s="466">
        <v>12</v>
      </c>
      <c r="E69" s="467">
        <f t="shared" si="63"/>
        <v>10591146</v>
      </c>
      <c r="F69" s="467"/>
      <c r="G69" s="468">
        <v>693691.68</v>
      </c>
      <c r="H69" s="470"/>
      <c r="I69" s="467">
        <f t="shared" si="64"/>
        <v>9897454.32</v>
      </c>
      <c r="J69" s="467">
        <v>200000</v>
      </c>
      <c r="K69" s="467">
        <v>0.2</v>
      </c>
      <c r="L69" s="467">
        <f t="shared" si="65"/>
        <v>1979490.864</v>
      </c>
      <c r="M69" s="467">
        <f t="shared" si="66"/>
        <v>2179490.864</v>
      </c>
      <c r="N69" s="467">
        <f t="shared" si="67"/>
        <v>2873182.544</v>
      </c>
      <c r="O69" s="467">
        <f t="shared" si="68"/>
        <v>7717963.456</v>
      </c>
      <c r="P69" s="467">
        <f t="shared" si="69"/>
        <v>21000</v>
      </c>
      <c r="Q69" s="467">
        <f t="shared" si="70"/>
        <v>33000</v>
      </c>
      <c r="R69" s="467">
        <f t="shared" si="71"/>
        <v>75000</v>
      </c>
      <c r="S69" s="467">
        <f t="shared" si="72"/>
        <v>95000</v>
      </c>
      <c r="T69" s="467">
        <f t="shared" si="73"/>
        <v>336000</v>
      </c>
      <c r="U69" s="467">
        <f t="shared" si="74"/>
        <v>1084311.22944</v>
      </c>
      <c r="V69" s="467">
        <f t="shared" si="75"/>
        <v>1644311.22944</v>
      </c>
      <c r="W69" s="474">
        <v>12</v>
      </c>
      <c r="X69" s="467">
        <f t="shared" si="76"/>
        <v>137025.935786667</v>
      </c>
      <c r="Y69" s="470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176</v>
      </c>
      <c r="C70" s="467">
        <v>713911.083333334</v>
      </c>
      <c r="D70" s="466">
        <v>12</v>
      </c>
      <c r="E70" s="467">
        <f t="shared" si="63"/>
        <v>8566933.00000001</v>
      </c>
      <c r="F70" s="467">
        <v>107120</v>
      </c>
      <c r="G70" s="468">
        <v>550954.64</v>
      </c>
      <c r="H70" s="470"/>
      <c r="I70" s="467">
        <f t="shared" si="64"/>
        <v>7908858.36000001</v>
      </c>
      <c r="J70" s="467">
        <v>200000</v>
      </c>
      <c r="K70" s="467">
        <v>0.2</v>
      </c>
      <c r="L70" s="467">
        <f t="shared" si="65"/>
        <v>1581771.672</v>
      </c>
      <c r="M70" s="467">
        <f t="shared" si="66"/>
        <v>1781771.672</v>
      </c>
      <c r="N70" s="467">
        <f t="shared" si="67"/>
        <v>2439846.312</v>
      </c>
      <c r="O70" s="467">
        <f t="shared" si="68"/>
        <v>6127086.68800001</v>
      </c>
      <c r="P70" s="467">
        <f t="shared" si="69"/>
        <v>21000</v>
      </c>
      <c r="Q70" s="467">
        <f t="shared" si="70"/>
        <v>33000</v>
      </c>
      <c r="R70" s="467">
        <f t="shared" si="71"/>
        <v>75000</v>
      </c>
      <c r="S70" s="467">
        <f t="shared" si="72"/>
        <v>95000</v>
      </c>
      <c r="T70" s="467">
        <f t="shared" si="73"/>
        <v>336000</v>
      </c>
      <c r="U70" s="467">
        <f t="shared" si="74"/>
        <v>702500.805120001</v>
      </c>
      <c r="V70" s="467">
        <f t="shared" si="75"/>
        <v>1262500.80512</v>
      </c>
      <c r="W70" s="474">
        <v>12</v>
      </c>
      <c r="X70" s="467">
        <f t="shared" si="76"/>
        <v>105208.400426667</v>
      </c>
      <c r="Y70" s="470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183</v>
      </c>
      <c r="C71" s="467">
        <v>564993.583333333</v>
      </c>
      <c r="D71" s="466">
        <v>12</v>
      </c>
      <c r="E71" s="467">
        <f t="shared" si="63"/>
        <v>6779923</v>
      </c>
      <c r="F71" s="467"/>
      <c r="G71" s="468">
        <v>436793.839999999</v>
      </c>
      <c r="H71" s="470"/>
      <c r="I71" s="467">
        <f t="shared" si="64"/>
        <v>6343129.16</v>
      </c>
      <c r="J71" s="467">
        <v>200000</v>
      </c>
      <c r="K71" s="467">
        <v>0.2</v>
      </c>
      <c r="L71" s="467">
        <f t="shared" si="65"/>
        <v>1268625.832</v>
      </c>
      <c r="M71" s="467">
        <f t="shared" si="66"/>
        <v>1468625.832</v>
      </c>
      <c r="N71" s="467">
        <f t="shared" si="67"/>
        <v>1905419.672</v>
      </c>
      <c r="O71" s="467">
        <f t="shared" si="68"/>
        <v>4874503.328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401880.798719999</v>
      </c>
      <c r="V71" s="467">
        <f t="shared" si="75"/>
        <v>961880.798719999</v>
      </c>
      <c r="W71" s="474">
        <v>12</v>
      </c>
      <c r="X71" s="467">
        <f t="shared" si="76"/>
        <v>80156.7332266666</v>
      </c>
      <c r="Y71" s="470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185</v>
      </c>
      <c r="C72" s="467">
        <v>447016.166666666</v>
      </c>
      <c r="D72" s="466">
        <v>12</v>
      </c>
      <c r="E72" s="467">
        <f t="shared" si="63"/>
        <v>5364193.99999999</v>
      </c>
      <c r="F72" s="467"/>
      <c r="G72" s="468">
        <v>333135.52</v>
      </c>
      <c r="H72" s="470"/>
      <c r="I72" s="467">
        <f t="shared" si="64"/>
        <v>5031058.47999999</v>
      </c>
      <c r="J72" s="467">
        <v>200000</v>
      </c>
      <c r="K72" s="467">
        <v>0.2</v>
      </c>
      <c r="L72" s="467">
        <f t="shared" si="65"/>
        <v>1006211.696</v>
      </c>
      <c r="M72" s="467">
        <f t="shared" si="66"/>
        <v>1206211.696</v>
      </c>
      <c r="N72" s="467">
        <f t="shared" si="67"/>
        <v>1539347.216</v>
      </c>
      <c r="O72" s="467">
        <f t="shared" si="68"/>
        <v>3824846.78399999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>0.24*(O72-3200000)</f>
        <v>149963.228159998</v>
      </c>
      <c r="V72" s="467">
        <f t="shared" si="75"/>
        <v>709963.228159998</v>
      </c>
      <c r="W72" s="474">
        <v>12</v>
      </c>
      <c r="X72" s="467">
        <f t="shared" si="76"/>
        <v>59163.6023466665</v>
      </c>
      <c r="Y72" s="470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9"/>
      <c r="AD72" s="479"/>
      <c r="AE72" s="479"/>
    </row>
    <row r="73" ht="24.75" customHeight="1" spans="1:31">
      <c r="A73" s="464"/>
      <c r="B73" s="643" t="s">
        <v>187</v>
      </c>
      <c r="C73" s="467">
        <v>401910.75</v>
      </c>
      <c r="D73" s="466">
        <v>12</v>
      </c>
      <c r="E73" s="467">
        <f t="shared" si="63"/>
        <v>4822929</v>
      </c>
      <c r="F73" s="467"/>
      <c r="G73" s="468">
        <v>289834.32</v>
      </c>
      <c r="H73" s="470"/>
      <c r="I73" s="467">
        <f t="shared" si="64"/>
        <v>4533094.68</v>
      </c>
      <c r="J73" s="467">
        <v>200000</v>
      </c>
      <c r="K73" s="467">
        <v>0.2</v>
      </c>
      <c r="L73" s="467">
        <f t="shared" si="65"/>
        <v>906618.936</v>
      </c>
      <c r="M73" s="467">
        <f t="shared" si="66"/>
        <v>1106618.936</v>
      </c>
      <c r="N73" s="467">
        <f t="shared" si="67"/>
        <v>1396453.256</v>
      </c>
      <c r="O73" s="467">
        <f t="shared" si="68"/>
        <v>3426475.744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>0.24*(O73-3200000)</f>
        <v>54354.17856</v>
      </c>
      <c r="V73" s="467">
        <f t="shared" si="75"/>
        <v>614354.17856</v>
      </c>
      <c r="W73" s="474">
        <v>12</v>
      </c>
      <c r="X73" s="467">
        <f t="shared" si="76"/>
        <v>51196.1815466667</v>
      </c>
      <c r="Y73" s="470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189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190</v>
      </c>
      <c r="C76" s="467">
        <v>1847612</v>
      </c>
      <c r="D76" s="466">
        <v>12</v>
      </c>
      <c r="E76" s="467">
        <f t="shared" ref="E76:E85" si="79">C76*D76</f>
        <v>22171344</v>
      </c>
      <c r="F76" s="467">
        <v>307730.499999999</v>
      </c>
      <c r="G76" s="468">
        <v>1581707.52</v>
      </c>
      <c r="H76" s="470"/>
      <c r="I76" s="467">
        <f t="shared" ref="I76:I85" si="80">E76-F76-G76-H76</f>
        <v>20281905.98</v>
      </c>
      <c r="J76" s="467">
        <v>200000</v>
      </c>
      <c r="K76" s="467">
        <v>0.2</v>
      </c>
      <c r="L76" s="467">
        <f t="shared" ref="L76:L85" si="81">I76*K76</f>
        <v>4056381.196</v>
      </c>
      <c r="M76" s="467">
        <f t="shared" ref="M76:M85" si="82">J76+L76</f>
        <v>4256381.196</v>
      </c>
      <c r="N76" s="467">
        <f t="shared" ref="N76:N85" si="83">F76+G76+H76+M76</f>
        <v>6145819.216</v>
      </c>
      <c r="O76" s="467">
        <f t="shared" ref="O76:O85" si="84">E76-N76</f>
        <v>16025524.784</v>
      </c>
      <c r="P76" s="467">
        <f t="shared" ref="P76:P85" si="85">IF(O76&lt;300000,0.07*O76,21000)</f>
        <v>21000</v>
      </c>
      <c r="Q76" s="467">
        <f t="shared" ref="Q76:Q85" si="86">IF((O76-300000)&lt;0,0,IF((O76-300000)&lt;300000,0.11*(O76-300000),33000))</f>
        <v>33000</v>
      </c>
      <c r="R76" s="467">
        <f t="shared" ref="R76:R85" si="87">IF((O76-600000)&lt;0,0,IF((O76-600000)&lt;500000,0.15*(O76-600000),75000))</f>
        <v>75000</v>
      </c>
      <c r="S76" s="467">
        <f t="shared" ref="S76:S85" si="88">IF((O76-1100000)&lt;0,0,IF((O76-1100000)&lt;500000,0.19*(O76-1100000),95000))</f>
        <v>95000</v>
      </c>
      <c r="T76" s="467">
        <f t="shared" ref="T76:T85" si="89">IF((O76-1600000)&lt;0,0,IF((O76-1600000)&lt;1600000,0.21*(O76-1600000),336000))</f>
        <v>336000</v>
      </c>
      <c r="U76" s="467">
        <f t="shared" ref="U76:U85" si="90">24%*(O76-3200000)</f>
        <v>3078125.94816</v>
      </c>
      <c r="V76" s="467">
        <f t="shared" ref="V76:V85" si="91">P76+Q76+R76+S76+T76+U76</f>
        <v>3638125.94816</v>
      </c>
      <c r="W76" s="474">
        <v>12</v>
      </c>
      <c r="X76" s="467">
        <f t="shared" ref="X76:X85" si="92">V76/W76</f>
        <v>303177.162346667</v>
      </c>
      <c r="Y76" s="470"/>
      <c r="Z76" s="929">
        <f t="shared" ref="Z76:Z85" si="93">X76</f>
        <v>303177.162346667</v>
      </c>
      <c r="AA76" s="467">
        <v>251101.24</v>
      </c>
      <c r="AB76" s="806">
        <f t="shared" si="78"/>
        <v>52075.9223466666</v>
      </c>
      <c r="AC76" s="479"/>
      <c r="AD76" s="479"/>
      <c r="AE76" s="479"/>
    </row>
    <row r="77" ht="15.5" spans="1:31">
      <c r="A77" s="464">
        <v>69</v>
      </c>
      <c r="B77" s="643" t="s">
        <v>192</v>
      </c>
      <c r="C77" s="467">
        <v>1232711.08333333</v>
      </c>
      <c r="D77" s="466">
        <v>12</v>
      </c>
      <c r="E77" s="467">
        <f t="shared" si="79"/>
        <v>14792533</v>
      </c>
      <c r="F77" s="467"/>
      <c r="G77" s="468">
        <v>818602.639999999</v>
      </c>
      <c r="H77" s="470"/>
      <c r="I77" s="467">
        <f t="shared" si="80"/>
        <v>13973930.36</v>
      </c>
      <c r="J77" s="467">
        <v>200000</v>
      </c>
      <c r="K77" s="467">
        <v>0.2</v>
      </c>
      <c r="L77" s="467">
        <f t="shared" si="81"/>
        <v>2794786.07199999</v>
      </c>
      <c r="M77" s="467">
        <f t="shared" si="82"/>
        <v>2994786.07199999</v>
      </c>
      <c r="N77" s="467">
        <f t="shared" si="83"/>
        <v>3813388.71199999</v>
      </c>
      <c r="O77" s="467">
        <f t="shared" si="84"/>
        <v>10979144.288</v>
      </c>
      <c r="P77" s="467">
        <f t="shared" si="85"/>
        <v>21000</v>
      </c>
      <c r="Q77" s="467">
        <f t="shared" si="86"/>
        <v>33000</v>
      </c>
      <c r="R77" s="467">
        <f t="shared" si="87"/>
        <v>75000</v>
      </c>
      <c r="S77" s="467">
        <f t="shared" si="88"/>
        <v>95000</v>
      </c>
      <c r="T77" s="467">
        <f t="shared" si="89"/>
        <v>336000</v>
      </c>
      <c r="U77" s="467">
        <f t="shared" si="90"/>
        <v>1866994.62911999</v>
      </c>
      <c r="V77" s="467">
        <f t="shared" si="91"/>
        <v>2426994.62911999</v>
      </c>
      <c r="W77" s="474">
        <v>12</v>
      </c>
      <c r="X77" s="467">
        <f t="shared" si="92"/>
        <v>202249.552426666</v>
      </c>
      <c r="Y77" s="470"/>
      <c r="Z77" s="929">
        <f t="shared" si="93"/>
        <v>202249.552426666</v>
      </c>
      <c r="AA77" s="467">
        <v>177751.03</v>
      </c>
      <c r="AB77" s="806">
        <f t="shared" si="78"/>
        <v>24498.522426666</v>
      </c>
      <c r="AC77" s="479"/>
      <c r="AD77" s="479"/>
      <c r="AE77" s="479"/>
    </row>
    <row r="78" ht="31" spans="1:31">
      <c r="A78" s="464">
        <v>70</v>
      </c>
      <c r="B78" s="643" t="s">
        <v>195</v>
      </c>
      <c r="C78" s="467">
        <v>882595.5</v>
      </c>
      <c r="D78" s="466">
        <v>12</v>
      </c>
      <c r="E78" s="467">
        <f t="shared" si="79"/>
        <v>10591146</v>
      </c>
      <c r="F78" s="467"/>
      <c r="G78" s="468">
        <v>693691.68</v>
      </c>
      <c r="H78" s="470"/>
      <c r="I78" s="467">
        <f t="shared" si="80"/>
        <v>9897454.32</v>
      </c>
      <c r="J78" s="467">
        <v>200000</v>
      </c>
      <c r="K78" s="467">
        <v>0.2</v>
      </c>
      <c r="L78" s="467">
        <f t="shared" si="81"/>
        <v>1979490.864</v>
      </c>
      <c r="M78" s="467">
        <f t="shared" si="82"/>
        <v>2179490.864</v>
      </c>
      <c r="N78" s="467">
        <f t="shared" si="83"/>
        <v>2873182.544</v>
      </c>
      <c r="O78" s="467">
        <f t="shared" si="84"/>
        <v>7717963.456</v>
      </c>
      <c r="P78" s="467">
        <f t="shared" si="85"/>
        <v>21000</v>
      </c>
      <c r="Q78" s="467">
        <f t="shared" si="86"/>
        <v>33000</v>
      </c>
      <c r="R78" s="467">
        <f t="shared" si="87"/>
        <v>75000</v>
      </c>
      <c r="S78" s="467">
        <f t="shared" si="88"/>
        <v>95000</v>
      </c>
      <c r="T78" s="467">
        <f t="shared" si="89"/>
        <v>336000</v>
      </c>
      <c r="U78" s="467">
        <f t="shared" si="90"/>
        <v>1084311.22944</v>
      </c>
      <c r="V78" s="467">
        <f t="shared" si="91"/>
        <v>1644311.22944</v>
      </c>
      <c r="W78" s="474">
        <v>12</v>
      </c>
      <c r="X78" s="467">
        <f t="shared" si="92"/>
        <v>137025.935786667</v>
      </c>
      <c r="Y78" s="470"/>
      <c r="Z78" s="929">
        <f t="shared" si="93"/>
        <v>137025.935786667</v>
      </c>
      <c r="AA78" s="467">
        <v>112212.004906667</v>
      </c>
      <c r="AB78" s="806">
        <f t="shared" si="78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196</v>
      </c>
      <c r="C79" s="467">
        <v>698165.25</v>
      </c>
      <c r="D79" s="466">
        <v>12</v>
      </c>
      <c r="E79" s="467">
        <f t="shared" si="79"/>
        <v>8377983</v>
      </c>
      <c r="F79" s="467"/>
      <c r="G79" s="468">
        <v>535838.64</v>
      </c>
      <c r="H79" s="470"/>
      <c r="I79" s="467">
        <f t="shared" si="80"/>
        <v>7842144.36</v>
      </c>
      <c r="J79" s="467">
        <v>200000</v>
      </c>
      <c r="K79" s="467">
        <v>0.2</v>
      </c>
      <c r="L79" s="467">
        <f t="shared" si="81"/>
        <v>1568428.872</v>
      </c>
      <c r="M79" s="467">
        <f t="shared" si="82"/>
        <v>1768428.872</v>
      </c>
      <c r="N79" s="467">
        <f t="shared" si="83"/>
        <v>2304267.512</v>
      </c>
      <c r="O79" s="467">
        <f t="shared" si="84"/>
        <v>6073715.488</v>
      </c>
      <c r="P79" s="467">
        <f t="shared" si="85"/>
        <v>21000</v>
      </c>
      <c r="Q79" s="467">
        <f t="shared" si="86"/>
        <v>33000</v>
      </c>
      <c r="R79" s="467">
        <f t="shared" si="87"/>
        <v>75000</v>
      </c>
      <c r="S79" s="467">
        <f t="shared" si="88"/>
        <v>95000</v>
      </c>
      <c r="T79" s="467">
        <f t="shared" si="89"/>
        <v>336000</v>
      </c>
      <c r="U79" s="467">
        <f t="shared" si="90"/>
        <v>689691.717119999</v>
      </c>
      <c r="V79" s="467">
        <f t="shared" si="91"/>
        <v>1249691.71712</v>
      </c>
      <c r="W79" s="474">
        <v>12</v>
      </c>
      <c r="X79" s="467">
        <f t="shared" si="92"/>
        <v>104140.976426667</v>
      </c>
      <c r="Y79" s="470"/>
      <c r="Z79" s="929">
        <f t="shared" si="93"/>
        <v>104140.976426667</v>
      </c>
      <c r="AA79" s="467">
        <v>83767.87</v>
      </c>
      <c r="AB79" s="806">
        <f t="shared" si="78"/>
        <v>20373.1064266666</v>
      </c>
      <c r="AC79" s="479"/>
      <c r="AD79" s="479"/>
      <c r="AE79" s="479"/>
    </row>
    <row r="80" ht="15.5" spans="1:31">
      <c r="A80" s="464">
        <v>72</v>
      </c>
      <c r="B80" s="643" t="s">
        <v>197</v>
      </c>
      <c r="C80" s="467">
        <v>698166.25</v>
      </c>
      <c r="D80" s="466">
        <v>12</v>
      </c>
      <c r="E80" s="467">
        <f t="shared" si="79"/>
        <v>8377995</v>
      </c>
      <c r="F80" s="467">
        <v>104315.075</v>
      </c>
      <c r="G80" s="468">
        <v>535839.6</v>
      </c>
      <c r="H80" s="470"/>
      <c r="I80" s="467">
        <f t="shared" si="80"/>
        <v>7737840.325</v>
      </c>
      <c r="J80" s="467">
        <v>200000</v>
      </c>
      <c r="K80" s="467">
        <v>0.2</v>
      </c>
      <c r="L80" s="467">
        <f t="shared" si="81"/>
        <v>1547568.065</v>
      </c>
      <c r="M80" s="467">
        <f t="shared" si="82"/>
        <v>1747568.065</v>
      </c>
      <c r="N80" s="467">
        <f t="shared" si="83"/>
        <v>2387722.74</v>
      </c>
      <c r="O80" s="467">
        <f t="shared" si="84"/>
        <v>5990272.26</v>
      </c>
      <c r="P80" s="467">
        <f t="shared" si="85"/>
        <v>21000</v>
      </c>
      <c r="Q80" s="467">
        <f t="shared" si="86"/>
        <v>33000</v>
      </c>
      <c r="R80" s="467">
        <f t="shared" si="87"/>
        <v>75000</v>
      </c>
      <c r="S80" s="467">
        <f t="shared" si="88"/>
        <v>95000</v>
      </c>
      <c r="T80" s="467">
        <f t="shared" si="89"/>
        <v>336000</v>
      </c>
      <c r="U80" s="467">
        <f t="shared" si="90"/>
        <v>669665.342399999</v>
      </c>
      <c r="V80" s="467">
        <f t="shared" si="91"/>
        <v>1229665.3424</v>
      </c>
      <c r="W80" s="474">
        <v>12</v>
      </c>
      <c r="X80" s="467">
        <f t="shared" si="92"/>
        <v>102472.111866667</v>
      </c>
      <c r="Y80" s="470"/>
      <c r="Z80" s="929">
        <f t="shared" si="93"/>
        <v>102472.111866667</v>
      </c>
      <c r="AA80" s="467">
        <v>83753.4084266666</v>
      </c>
      <c r="AB80" s="806">
        <f t="shared" si="78"/>
        <v>18718.70344</v>
      </c>
      <c r="AC80" s="479"/>
      <c r="AD80" s="479"/>
      <c r="AE80" s="479"/>
    </row>
    <row r="81" ht="31" spans="1:31">
      <c r="A81" s="464">
        <v>73</v>
      </c>
      <c r="B81" s="643" t="s">
        <v>198</v>
      </c>
      <c r="C81" s="467">
        <v>682419.5</v>
      </c>
      <c r="D81" s="466">
        <v>12</v>
      </c>
      <c r="E81" s="467">
        <f t="shared" si="79"/>
        <v>8189034</v>
      </c>
      <c r="F81" s="467"/>
      <c r="G81" s="468">
        <v>520722.72</v>
      </c>
      <c r="H81" s="470"/>
      <c r="I81" s="467">
        <f t="shared" si="80"/>
        <v>7668311.28</v>
      </c>
      <c r="J81" s="467">
        <v>200000</v>
      </c>
      <c r="K81" s="467">
        <v>0.2</v>
      </c>
      <c r="L81" s="467">
        <f t="shared" si="81"/>
        <v>1533662.256</v>
      </c>
      <c r="M81" s="467">
        <f t="shared" si="82"/>
        <v>1733662.256</v>
      </c>
      <c r="N81" s="467">
        <f t="shared" si="83"/>
        <v>2254384.976</v>
      </c>
      <c r="O81" s="467">
        <f t="shared" si="84"/>
        <v>5934649.024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656315.76576</v>
      </c>
      <c r="V81" s="467">
        <f t="shared" si="91"/>
        <v>1216315.76576</v>
      </c>
      <c r="W81" s="474">
        <v>12</v>
      </c>
      <c r="X81" s="467">
        <f t="shared" si="92"/>
        <v>101359.647146667</v>
      </c>
      <c r="Y81" s="470"/>
      <c r="Z81" s="929">
        <f t="shared" si="93"/>
        <v>101359.647146667</v>
      </c>
      <c r="AA81" s="467">
        <v>81302.3959466667</v>
      </c>
      <c r="AB81" s="806">
        <f t="shared" si="78"/>
        <v>20057.2512</v>
      </c>
      <c r="AC81" s="479"/>
      <c r="AD81" s="479"/>
      <c r="AE81" s="479"/>
    </row>
    <row r="82" ht="15.5" spans="1:31">
      <c r="A82" s="464">
        <v>74</v>
      </c>
      <c r="B82" s="643" t="s">
        <v>200</v>
      </c>
      <c r="C82" s="467">
        <v>578828.166666667</v>
      </c>
      <c r="D82" s="466">
        <v>12</v>
      </c>
      <c r="E82" s="467">
        <f t="shared" si="79"/>
        <v>6945938</v>
      </c>
      <c r="F82" s="467"/>
      <c r="G82" s="473">
        <v>450075.040000001</v>
      </c>
      <c r="H82" s="470"/>
      <c r="I82" s="467">
        <f t="shared" si="80"/>
        <v>6495862.96</v>
      </c>
      <c r="J82" s="467">
        <v>200000</v>
      </c>
      <c r="K82" s="467">
        <v>0.2</v>
      </c>
      <c r="L82" s="467">
        <f t="shared" si="81"/>
        <v>1299172.592</v>
      </c>
      <c r="M82" s="467">
        <f t="shared" si="82"/>
        <v>1499172.592</v>
      </c>
      <c r="N82" s="467">
        <f t="shared" si="83"/>
        <v>1949247.632</v>
      </c>
      <c r="O82" s="467">
        <f t="shared" si="84"/>
        <v>4996690.368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431205.688320001</v>
      </c>
      <c r="V82" s="467">
        <f t="shared" si="91"/>
        <v>991205.688320001</v>
      </c>
      <c r="W82" s="474">
        <v>12</v>
      </c>
      <c r="X82" s="467">
        <f t="shared" si="92"/>
        <v>82600.4740266667</v>
      </c>
      <c r="Y82" s="470"/>
      <c r="Z82" s="929">
        <f t="shared" si="93"/>
        <v>82600.4740266667</v>
      </c>
      <c r="AA82" s="467">
        <v>64384.5917866667</v>
      </c>
      <c r="AB82" s="806">
        <f t="shared" si="78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201</v>
      </c>
      <c r="C83" s="467">
        <v>617472.75</v>
      </c>
      <c r="D83" s="466">
        <v>12</v>
      </c>
      <c r="E83" s="467">
        <f t="shared" si="79"/>
        <v>7409673</v>
      </c>
      <c r="F83" s="467">
        <v>93501.975</v>
      </c>
      <c r="G83" s="468">
        <v>477573.84</v>
      </c>
      <c r="H83" s="470"/>
      <c r="I83" s="467">
        <f t="shared" si="80"/>
        <v>6838597.185</v>
      </c>
      <c r="J83" s="467">
        <v>200000</v>
      </c>
      <c r="K83" s="467">
        <v>0.2</v>
      </c>
      <c r="L83" s="467">
        <f t="shared" si="81"/>
        <v>1367719.437</v>
      </c>
      <c r="M83" s="467">
        <f t="shared" si="82"/>
        <v>1567719.437</v>
      </c>
      <c r="N83" s="467">
        <f t="shared" si="83"/>
        <v>2138795.252</v>
      </c>
      <c r="O83" s="467">
        <f t="shared" si="84"/>
        <v>5270877.748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497010.65952</v>
      </c>
      <c r="V83" s="467">
        <f t="shared" si="91"/>
        <v>1057010.65952</v>
      </c>
      <c r="W83" s="474">
        <v>12</v>
      </c>
      <c r="X83" s="467">
        <f t="shared" si="92"/>
        <v>88084.2216266667</v>
      </c>
      <c r="Y83" s="470"/>
      <c r="Z83" s="929">
        <f t="shared" si="93"/>
        <v>88084.2216266667</v>
      </c>
      <c r="AA83" s="467">
        <v>70529.4753546667</v>
      </c>
      <c r="AB83" s="806">
        <f t="shared" si="78"/>
        <v>17554.746272</v>
      </c>
      <c r="AC83" s="479"/>
      <c r="AD83" s="479"/>
      <c r="AE83" s="479"/>
    </row>
    <row r="84" ht="15.5" spans="1:31">
      <c r="A84" s="464">
        <v>76</v>
      </c>
      <c r="B84" s="643" t="s">
        <v>204</v>
      </c>
      <c r="C84" s="467">
        <v>490135.833333334</v>
      </c>
      <c r="D84" s="466">
        <v>12</v>
      </c>
      <c r="E84" s="467">
        <f t="shared" si="79"/>
        <v>5881630.00000001</v>
      </c>
      <c r="F84" s="467"/>
      <c r="G84" s="468">
        <v>374530.4</v>
      </c>
      <c r="H84" s="470"/>
      <c r="I84" s="467">
        <f t="shared" si="80"/>
        <v>5507099.60000001</v>
      </c>
      <c r="J84" s="467">
        <v>200000</v>
      </c>
      <c r="K84" s="467">
        <v>0.2</v>
      </c>
      <c r="L84" s="467">
        <f t="shared" si="81"/>
        <v>1101419.92</v>
      </c>
      <c r="M84" s="467">
        <f t="shared" si="82"/>
        <v>1301419.92</v>
      </c>
      <c r="N84" s="467">
        <f t="shared" si="83"/>
        <v>1675950.32</v>
      </c>
      <c r="O84" s="467">
        <f t="shared" si="84"/>
        <v>4205679.68000001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241363.123200002</v>
      </c>
      <c r="V84" s="467">
        <f t="shared" si="91"/>
        <v>801363.123200002</v>
      </c>
      <c r="W84" s="474">
        <v>12</v>
      </c>
      <c r="X84" s="467">
        <f t="shared" si="92"/>
        <v>66780.2602666668</v>
      </c>
      <c r="Y84" s="470"/>
      <c r="Z84" s="929">
        <f t="shared" si="93"/>
        <v>66780.2602666668</v>
      </c>
      <c r="AA84" s="467">
        <v>51029.2273066667</v>
      </c>
      <c r="AB84" s="806">
        <f t="shared" si="78"/>
        <v>15751.0329600001</v>
      </c>
      <c r="AC84" s="479"/>
      <c r="AD84" s="479"/>
      <c r="AE84" s="479"/>
    </row>
    <row r="85" ht="15.5" spans="1:31">
      <c r="A85" s="464"/>
      <c r="B85" s="643" t="s">
        <v>206</v>
      </c>
      <c r="C85" s="467">
        <v>408920.666666667</v>
      </c>
      <c r="D85" s="466">
        <v>12</v>
      </c>
      <c r="E85" s="467">
        <f t="shared" si="79"/>
        <v>4907048</v>
      </c>
      <c r="F85" s="467"/>
      <c r="G85" s="468">
        <v>296563.840000001</v>
      </c>
      <c r="H85" s="470"/>
      <c r="I85" s="467">
        <f t="shared" si="80"/>
        <v>4610484.16</v>
      </c>
      <c r="J85" s="467">
        <v>200000</v>
      </c>
      <c r="K85" s="467">
        <v>0.2</v>
      </c>
      <c r="L85" s="467">
        <f t="shared" si="81"/>
        <v>922096.832000001</v>
      </c>
      <c r="M85" s="467">
        <f t="shared" si="82"/>
        <v>1122096.832</v>
      </c>
      <c r="N85" s="467">
        <f t="shared" si="83"/>
        <v>1418660.672</v>
      </c>
      <c r="O85" s="467">
        <f t="shared" si="84"/>
        <v>3488387.328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69212.9587200005</v>
      </c>
      <c r="V85" s="467">
        <f t="shared" si="91"/>
        <v>629212.95872</v>
      </c>
      <c r="W85" s="474">
        <v>12</v>
      </c>
      <c r="X85" s="467">
        <f t="shared" si="92"/>
        <v>52434.4132266667</v>
      </c>
      <c r="Y85" s="470"/>
      <c r="Z85" s="929">
        <f t="shared" si="93"/>
        <v>52434.4132266667</v>
      </c>
      <c r="AA85" s="467">
        <v>39613.1357066667</v>
      </c>
      <c r="AB85" s="806">
        <f t="shared" si="78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209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210</v>
      </c>
      <c r="C89" s="467">
        <v>1797359.33333333</v>
      </c>
      <c r="D89" s="466">
        <v>12</v>
      </c>
      <c r="E89" s="467">
        <f t="shared" ref="E89:E93" si="94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5">E89-F89-G89-H89</f>
        <v>19621965.19</v>
      </c>
      <c r="J89" s="467">
        <v>200000</v>
      </c>
      <c r="K89" s="467">
        <v>0.2</v>
      </c>
      <c r="L89" s="467">
        <f t="shared" ref="L89:L93" si="96">I89*K89</f>
        <v>3924393.03799999</v>
      </c>
      <c r="M89" s="467">
        <f t="shared" ref="M89:M93" si="97">J89+L89</f>
        <v>4124393.03799999</v>
      </c>
      <c r="N89" s="467">
        <f t="shared" ref="N89:N93" si="98">F89+G89+H89+M89</f>
        <v>6070739.84799998</v>
      </c>
      <c r="O89" s="467">
        <f t="shared" ref="O89:O93" si="99">E89-N89</f>
        <v>15497572.152</v>
      </c>
      <c r="P89" s="467">
        <f t="shared" ref="P89:P93" si="100">IF(O89&lt;300000,0.07*O89,21000)</f>
        <v>21000</v>
      </c>
      <c r="Q89" s="467">
        <f t="shared" ref="Q89:Q93" si="101">IF((O89-300000)&lt;0,0,IF((O89-300000)&lt;300000,0.11*(O89-300000),33000))</f>
        <v>33000</v>
      </c>
      <c r="R89" s="467">
        <f t="shared" ref="R89:R93" si="102">IF((O89-600000)&lt;0,0,IF((O89-600000)&lt;500000,0.15*(O89-600000),75000))</f>
        <v>75000</v>
      </c>
      <c r="S89" s="467">
        <f t="shared" ref="S89:S93" si="103">IF((O89-1100000)&lt;0,0,IF((O89-1100000)&lt;500000,0.19*(O89-1100000),95000))</f>
        <v>95000</v>
      </c>
      <c r="T89" s="467">
        <f t="shared" ref="T89:T93" si="104">IF((O89-1600000)&lt;0,0,IF((O89-1600000)&lt;1600000,0.21*(O89-1600000),336000))</f>
        <v>336000</v>
      </c>
      <c r="U89" s="467">
        <f t="shared" ref="U89:U93" si="105">24%*(O89-3200000)</f>
        <v>2951417.31647999</v>
      </c>
      <c r="V89" s="467">
        <f t="shared" ref="V89:V93" si="106">P89+Q89+R89+S89+T89+U89</f>
        <v>3511417.31647999</v>
      </c>
      <c r="W89" s="474">
        <v>12</v>
      </c>
      <c r="X89" s="467">
        <f t="shared" ref="X89:X93" si="107">V89/W89</f>
        <v>292618.109706666</v>
      </c>
      <c r="Y89" s="470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9"/>
      <c r="AD89" s="479"/>
      <c r="AE89" s="479"/>
    </row>
    <row r="90" ht="18" spans="1:31">
      <c r="A90" s="464">
        <v>80</v>
      </c>
      <c r="B90" s="643" t="s">
        <v>213</v>
      </c>
      <c r="C90" s="937">
        <v>870286.75</v>
      </c>
      <c r="D90" s="466">
        <v>12</v>
      </c>
      <c r="E90" s="467">
        <f t="shared" si="94"/>
        <v>10443441</v>
      </c>
      <c r="F90" s="467"/>
      <c r="G90" s="468">
        <v>550954.64</v>
      </c>
      <c r="H90" s="470"/>
      <c r="I90" s="467">
        <f t="shared" si="95"/>
        <v>9892486.36</v>
      </c>
      <c r="J90" s="467">
        <v>200000</v>
      </c>
      <c r="K90" s="467">
        <v>0.2</v>
      </c>
      <c r="L90" s="467">
        <f t="shared" si="96"/>
        <v>1978497.272</v>
      </c>
      <c r="M90" s="467">
        <f t="shared" si="97"/>
        <v>2178497.272</v>
      </c>
      <c r="N90" s="467">
        <f t="shared" si="98"/>
        <v>2729451.912</v>
      </c>
      <c r="O90" s="467">
        <f t="shared" si="99"/>
        <v>7713989.088</v>
      </c>
      <c r="P90" s="467">
        <f t="shared" si="100"/>
        <v>21000</v>
      </c>
      <c r="Q90" s="467">
        <f t="shared" si="101"/>
        <v>33000</v>
      </c>
      <c r="R90" s="467">
        <f t="shared" si="102"/>
        <v>75000</v>
      </c>
      <c r="S90" s="467">
        <f t="shared" si="103"/>
        <v>95000</v>
      </c>
      <c r="T90" s="467">
        <f t="shared" si="104"/>
        <v>336000</v>
      </c>
      <c r="U90" s="467">
        <f t="shared" si="105"/>
        <v>1083357.38112</v>
      </c>
      <c r="V90" s="467">
        <f t="shared" si="106"/>
        <v>1643357.38112</v>
      </c>
      <c r="W90" s="474">
        <v>12</v>
      </c>
      <c r="X90" s="467">
        <f t="shared" si="107"/>
        <v>136946.448426667</v>
      </c>
      <c r="Y90" s="470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215</v>
      </c>
      <c r="C91" s="467">
        <v>567472.75</v>
      </c>
      <c r="D91" s="466">
        <v>12</v>
      </c>
      <c r="E91" s="467">
        <f t="shared" si="94"/>
        <v>6809673</v>
      </c>
      <c r="F91" s="467">
        <v>93501.975</v>
      </c>
      <c r="G91" s="468">
        <v>477573.84</v>
      </c>
      <c r="H91" s="470"/>
      <c r="I91" s="467">
        <f t="shared" si="95"/>
        <v>6238597.185</v>
      </c>
      <c r="J91" s="467">
        <v>200000</v>
      </c>
      <c r="K91" s="467">
        <v>0.2</v>
      </c>
      <c r="L91" s="467">
        <f t="shared" si="96"/>
        <v>1247719.437</v>
      </c>
      <c r="M91" s="467">
        <f t="shared" si="97"/>
        <v>1447719.437</v>
      </c>
      <c r="N91" s="467">
        <f t="shared" si="98"/>
        <v>2018795.252</v>
      </c>
      <c r="O91" s="467">
        <f t="shared" si="99"/>
        <v>4790877.748</v>
      </c>
      <c r="P91" s="467">
        <f t="shared" si="100"/>
        <v>21000</v>
      </c>
      <c r="Q91" s="467">
        <f t="shared" si="101"/>
        <v>33000</v>
      </c>
      <c r="R91" s="467">
        <f t="shared" si="102"/>
        <v>75000</v>
      </c>
      <c r="S91" s="467">
        <f t="shared" si="103"/>
        <v>95000</v>
      </c>
      <c r="T91" s="467">
        <f t="shared" si="104"/>
        <v>336000</v>
      </c>
      <c r="U91" s="467">
        <f t="shared" si="105"/>
        <v>381810.65952</v>
      </c>
      <c r="V91" s="467">
        <f t="shared" si="106"/>
        <v>941810.65952</v>
      </c>
      <c r="W91" s="474">
        <v>12</v>
      </c>
      <c r="X91" s="467">
        <f t="shared" si="107"/>
        <v>78484.2216266667</v>
      </c>
      <c r="Y91" s="470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9"/>
      <c r="AD91" s="479"/>
      <c r="AE91" s="479"/>
    </row>
    <row r="92" ht="15.5" spans="1:31">
      <c r="A92" s="464"/>
      <c r="B92" s="643" t="s">
        <v>219</v>
      </c>
      <c r="C92" s="467">
        <v>542662.666666667</v>
      </c>
      <c r="D92" s="466">
        <v>12</v>
      </c>
      <c r="E92" s="467">
        <f t="shared" si="94"/>
        <v>6511952</v>
      </c>
      <c r="F92" s="467"/>
      <c r="G92" s="468">
        <v>463356.160000001</v>
      </c>
      <c r="H92" s="470"/>
      <c r="I92" s="467">
        <f t="shared" si="95"/>
        <v>6048595.84</v>
      </c>
      <c r="J92" s="467">
        <v>200000</v>
      </c>
      <c r="K92" s="467">
        <v>0.2</v>
      </c>
      <c r="L92" s="467">
        <f t="shared" si="96"/>
        <v>1209719.168</v>
      </c>
      <c r="M92" s="467">
        <f t="shared" si="97"/>
        <v>1409719.168</v>
      </c>
      <c r="N92" s="467">
        <f t="shared" si="98"/>
        <v>1873075.328</v>
      </c>
      <c r="O92" s="467">
        <f t="shared" si="99"/>
        <v>4638876.672</v>
      </c>
      <c r="P92" s="467">
        <f t="shared" si="100"/>
        <v>21000</v>
      </c>
      <c r="Q92" s="467">
        <f t="shared" si="101"/>
        <v>33000</v>
      </c>
      <c r="R92" s="467">
        <f t="shared" si="102"/>
        <v>75000</v>
      </c>
      <c r="S92" s="467">
        <f t="shared" si="103"/>
        <v>95000</v>
      </c>
      <c r="T92" s="467">
        <f t="shared" si="104"/>
        <v>336000</v>
      </c>
      <c r="U92" s="467">
        <f t="shared" si="105"/>
        <v>345330.401280001</v>
      </c>
      <c r="V92" s="467">
        <f t="shared" si="106"/>
        <v>905330.401280001</v>
      </c>
      <c r="W92" s="474">
        <v>12</v>
      </c>
      <c r="X92" s="467">
        <f t="shared" si="107"/>
        <v>75444.2001066667</v>
      </c>
      <c r="Y92" s="470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9"/>
      <c r="AD92" s="479"/>
      <c r="AE92" s="479"/>
    </row>
    <row r="93" ht="15.5" spans="1:31">
      <c r="A93" s="464"/>
      <c r="B93" s="643" t="s">
        <v>221</v>
      </c>
      <c r="C93" s="467">
        <v>450135.833333334</v>
      </c>
      <c r="D93" s="466">
        <v>12</v>
      </c>
      <c r="E93" s="467">
        <f t="shared" si="94"/>
        <v>5401630.00000001</v>
      </c>
      <c r="F93" s="467"/>
      <c r="G93" s="468">
        <v>374530.4</v>
      </c>
      <c r="H93" s="470"/>
      <c r="I93" s="467">
        <f t="shared" si="95"/>
        <v>5027099.60000001</v>
      </c>
      <c r="J93" s="467">
        <v>200000</v>
      </c>
      <c r="K93" s="467">
        <v>0.2</v>
      </c>
      <c r="L93" s="467">
        <f t="shared" si="96"/>
        <v>1005419.92</v>
      </c>
      <c r="M93" s="467">
        <f t="shared" si="97"/>
        <v>1205419.92</v>
      </c>
      <c r="N93" s="467">
        <f t="shared" si="98"/>
        <v>1579950.32</v>
      </c>
      <c r="O93" s="467">
        <f t="shared" si="99"/>
        <v>3821679.68000001</v>
      </c>
      <c r="P93" s="467">
        <f t="shared" si="100"/>
        <v>21000</v>
      </c>
      <c r="Q93" s="467">
        <f t="shared" si="101"/>
        <v>33000</v>
      </c>
      <c r="R93" s="467">
        <f t="shared" si="102"/>
        <v>75000</v>
      </c>
      <c r="S93" s="467">
        <f t="shared" si="103"/>
        <v>95000</v>
      </c>
      <c r="T93" s="467">
        <f t="shared" si="104"/>
        <v>336000</v>
      </c>
      <c r="U93" s="467">
        <f t="shared" si="105"/>
        <v>149203.123200002</v>
      </c>
      <c r="V93" s="467">
        <f t="shared" si="106"/>
        <v>709203.123200002</v>
      </c>
      <c r="W93" s="474">
        <v>12</v>
      </c>
      <c r="X93" s="467">
        <f t="shared" si="107"/>
        <v>59100.2602666668</v>
      </c>
      <c r="Y93" s="470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223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224</v>
      </c>
      <c r="C96" s="467">
        <v>1947106.41666666</v>
      </c>
      <c r="D96" s="466">
        <v>12</v>
      </c>
      <c r="E96" s="467">
        <f t="shared" ref="E96:E102" si="109">C96*D96</f>
        <v>23365276.9999999</v>
      </c>
      <c r="F96" s="467"/>
      <c r="G96" s="468">
        <v>1677222.16</v>
      </c>
      <c r="H96" s="470"/>
      <c r="I96" s="467">
        <f t="shared" ref="I96:I102" si="110">E96-F96-G96-H96</f>
        <v>21688054.8399999</v>
      </c>
      <c r="J96" s="467">
        <v>200000</v>
      </c>
      <c r="K96" s="467">
        <v>0.2</v>
      </c>
      <c r="L96" s="467">
        <f t="shared" ref="L96:L102" si="111">I96*K96</f>
        <v>4337610.96799998</v>
      </c>
      <c r="M96" s="467">
        <f t="shared" ref="M96:M102" si="112">J96+L96</f>
        <v>4537610.96799998</v>
      </c>
      <c r="N96" s="467">
        <f t="shared" ref="N96:N102" si="113">F96+G96+H96+M96</f>
        <v>6214833.12799998</v>
      </c>
      <c r="O96" s="467">
        <f t="shared" ref="O96:O102" si="114">E96-N96</f>
        <v>17150443.8719999</v>
      </c>
      <c r="P96" s="467">
        <f t="shared" ref="P96:P102" si="115">IF(O96&lt;300000,0.07*O96,21000)</f>
        <v>21000</v>
      </c>
      <c r="Q96" s="467">
        <f t="shared" ref="Q96:Q102" si="116">IF((O96-300000)&lt;0,0,IF((O96-300000)&lt;300000,0.11*(O96-300000),33000))</f>
        <v>33000</v>
      </c>
      <c r="R96" s="467">
        <f t="shared" ref="R96:R102" si="117">IF((O96-600000)&lt;0,0,IF((O96-600000)&lt;500000,0.15*(O96-600000),75000))</f>
        <v>75000</v>
      </c>
      <c r="S96" s="467">
        <f t="shared" ref="S96:S102" si="118">IF((O96-1100000)&lt;0,0,IF((O96-1100000)&lt;500000,0.19*(O96-1100000),95000))</f>
        <v>95000</v>
      </c>
      <c r="T96" s="467">
        <f t="shared" ref="T96:T102" si="119">IF((O96-1600000)&lt;0,0,IF((O96-1600000)&lt;1600000,0.21*(O96-1600000),336000))</f>
        <v>336000</v>
      </c>
      <c r="U96" s="467">
        <f t="shared" ref="U96:U98" si="120">24%*(O96-3200000)</f>
        <v>3348106.52927998</v>
      </c>
      <c r="V96" s="467">
        <f t="shared" ref="V96:V102" si="121">P96+Q96+R96+S96+T96+U96</f>
        <v>3908106.52927998</v>
      </c>
      <c r="W96" s="474">
        <v>12</v>
      </c>
      <c r="X96" s="467">
        <f t="shared" ref="X96:X102" si="122">V96/W96</f>
        <v>325675.544106665</v>
      </c>
      <c r="Y96" s="470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226</v>
      </c>
      <c r="C97" s="467">
        <v>1085306.75</v>
      </c>
      <c r="D97" s="466">
        <v>12</v>
      </c>
      <c r="E97" s="467">
        <f t="shared" si="109"/>
        <v>13023681</v>
      </c>
      <c r="F97" s="467">
        <v>166400.85</v>
      </c>
      <c r="G97" s="468">
        <v>869094.48</v>
      </c>
      <c r="H97" s="470"/>
      <c r="I97" s="467">
        <f t="shared" si="110"/>
        <v>11988185.67</v>
      </c>
      <c r="J97" s="467">
        <v>200000</v>
      </c>
      <c r="K97" s="467">
        <v>0.2</v>
      </c>
      <c r="L97" s="467">
        <f t="shared" si="111"/>
        <v>2397637.134</v>
      </c>
      <c r="M97" s="467">
        <f t="shared" si="112"/>
        <v>2597637.134</v>
      </c>
      <c r="N97" s="467">
        <f t="shared" si="113"/>
        <v>3633132.464</v>
      </c>
      <c r="O97" s="467">
        <f t="shared" si="114"/>
        <v>9390548.536</v>
      </c>
      <c r="P97" s="467">
        <f t="shared" si="115"/>
        <v>21000</v>
      </c>
      <c r="Q97" s="467">
        <f t="shared" si="116"/>
        <v>33000</v>
      </c>
      <c r="R97" s="467">
        <f t="shared" si="117"/>
        <v>75000</v>
      </c>
      <c r="S97" s="467">
        <f t="shared" si="118"/>
        <v>95000</v>
      </c>
      <c r="T97" s="467">
        <f t="shared" si="119"/>
        <v>336000</v>
      </c>
      <c r="U97" s="467">
        <f t="shared" si="120"/>
        <v>1485731.64864</v>
      </c>
      <c r="V97" s="467">
        <f t="shared" si="121"/>
        <v>2045731.64864</v>
      </c>
      <c r="W97" s="474">
        <v>12</v>
      </c>
      <c r="X97" s="467">
        <f t="shared" si="122"/>
        <v>170477.637386667</v>
      </c>
      <c r="Y97" s="470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228</v>
      </c>
      <c r="C98" s="467">
        <v>720899.98</v>
      </c>
      <c r="D98" s="466">
        <v>12</v>
      </c>
      <c r="E98" s="467">
        <f t="shared" si="109"/>
        <v>8650799.76</v>
      </c>
      <c r="F98" s="467">
        <v>101319.25</v>
      </c>
      <c r="G98" s="468">
        <v>519697.279999999</v>
      </c>
      <c r="H98" s="470"/>
      <c r="I98" s="467">
        <f t="shared" si="110"/>
        <v>8029783.23</v>
      </c>
      <c r="J98" s="467">
        <v>200000</v>
      </c>
      <c r="K98" s="467">
        <v>0.2</v>
      </c>
      <c r="L98" s="467">
        <f t="shared" si="111"/>
        <v>1605956.646</v>
      </c>
      <c r="M98" s="467">
        <f t="shared" si="112"/>
        <v>1805956.646</v>
      </c>
      <c r="N98" s="467">
        <f t="shared" si="113"/>
        <v>2426973.176</v>
      </c>
      <c r="O98" s="467">
        <f t="shared" si="114"/>
        <v>6223826.584</v>
      </c>
      <c r="P98" s="467">
        <f t="shared" si="115"/>
        <v>21000</v>
      </c>
      <c r="Q98" s="467">
        <f t="shared" si="116"/>
        <v>33000</v>
      </c>
      <c r="R98" s="467">
        <f t="shared" si="117"/>
        <v>75000</v>
      </c>
      <c r="S98" s="467">
        <f t="shared" si="118"/>
        <v>95000</v>
      </c>
      <c r="T98" s="467">
        <f t="shared" si="119"/>
        <v>336000</v>
      </c>
      <c r="U98" s="467">
        <f t="shared" si="120"/>
        <v>725718.38016</v>
      </c>
      <c r="V98" s="467">
        <f t="shared" si="121"/>
        <v>1285718.38016</v>
      </c>
      <c r="W98" s="474">
        <v>12</v>
      </c>
      <c r="X98" s="467">
        <f t="shared" si="122"/>
        <v>107143.198346667</v>
      </c>
      <c r="Y98" s="470"/>
      <c r="Z98" s="929">
        <f t="shared" si="123"/>
        <v>107143.198346667</v>
      </c>
      <c r="AA98" s="806">
        <v>87575.7827034667</v>
      </c>
      <c r="AB98" s="806">
        <f t="shared" si="78"/>
        <v>19567.4156432</v>
      </c>
      <c r="AC98" s="479"/>
      <c r="AD98" s="479"/>
      <c r="AE98" s="479"/>
    </row>
    <row r="99" ht="15.5" spans="1:31">
      <c r="A99" s="464">
        <v>88</v>
      </c>
      <c r="B99" s="643" t="s">
        <v>231</v>
      </c>
      <c r="C99" s="467">
        <v>742085.645</v>
      </c>
      <c r="D99" s="466">
        <v>12</v>
      </c>
      <c r="E99" s="467">
        <f t="shared" si="109"/>
        <v>8905027.74</v>
      </c>
      <c r="F99" s="467"/>
      <c r="G99" s="468">
        <v>519697.279999999</v>
      </c>
      <c r="H99" s="470"/>
      <c r="I99" s="467">
        <f t="shared" si="110"/>
        <v>8385330.46</v>
      </c>
      <c r="J99" s="467">
        <v>200000</v>
      </c>
      <c r="K99" s="467">
        <v>0.2</v>
      </c>
      <c r="L99" s="467">
        <f t="shared" si="111"/>
        <v>1677066.092</v>
      </c>
      <c r="M99" s="467">
        <f t="shared" si="112"/>
        <v>1877066.092</v>
      </c>
      <c r="N99" s="467">
        <f t="shared" si="113"/>
        <v>2396763.372</v>
      </c>
      <c r="O99" s="467">
        <f t="shared" si="114"/>
        <v>6508264.368</v>
      </c>
      <c r="P99" s="467">
        <f t="shared" si="115"/>
        <v>21000</v>
      </c>
      <c r="Q99" s="467">
        <f t="shared" si="116"/>
        <v>33000</v>
      </c>
      <c r="R99" s="467">
        <f t="shared" si="117"/>
        <v>75000</v>
      </c>
      <c r="S99" s="467">
        <f t="shared" si="118"/>
        <v>95000</v>
      </c>
      <c r="T99" s="467">
        <f t="shared" si="119"/>
        <v>336000</v>
      </c>
      <c r="U99" s="467">
        <f t="shared" ref="U99:U102" si="124">0.24*(O99-3200000)</f>
        <v>793983.44832</v>
      </c>
      <c r="V99" s="467">
        <f t="shared" si="121"/>
        <v>1353983.44832</v>
      </c>
      <c r="W99" s="474">
        <v>12</v>
      </c>
      <c r="X99" s="467">
        <f t="shared" si="122"/>
        <v>112831.954026667</v>
      </c>
      <c r="Y99" s="470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232</v>
      </c>
      <c r="C100" s="467">
        <v>466244.9625</v>
      </c>
      <c r="D100" s="466">
        <v>12</v>
      </c>
      <c r="E100" s="467">
        <f t="shared" si="109"/>
        <v>5594939.55</v>
      </c>
      <c r="F100" s="467"/>
      <c r="G100" s="468">
        <v>316752.400000001</v>
      </c>
      <c r="H100" s="470"/>
      <c r="I100" s="467">
        <f t="shared" si="110"/>
        <v>5278187.15</v>
      </c>
      <c r="J100" s="467">
        <v>200000</v>
      </c>
      <c r="K100" s="467">
        <v>0.2</v>
      </c>
      <c r="L100" s="467">
        <f t="shared" si="111"/>
        <v>1055637.43</v>
      </c>
      <c r="M100" s="467">
        <f t="shared" si="112"/>
        <v>1255637.43</v>
      </c>
      <c r="N100" s="467">
        <f t="shared" si="113"/>
        <v>1572389.83</v>
      </c>
      <c r="O100" s="467">
        <f t="shared" si="114"/>
        <v>4022549.72</v>
      </c>
      <c r="P100" s="467">
        <f t="shared" si="115"/>
        <v>21000</v>
      </c>
      <c r="Q100" s="467">
        <f t="shared" si="116"/>
        <v>33000</v>
      </c>
      <c r="R100" s="467">
        <f t="shared" si="117"/>
        <v>75000</v>
      </c>
      <c r="S100" s="467">
        <f t="shared" si="118"/>
        <v>95000</v>
      </c>
      <c r="T100" s="467">
        <f t="shared" si="119"/>
        <v>336000</v>
      </c>
      <c r="U100" s="467">
        <f t="shared" si="124"/>
        <v>197411.9328</v>
      </c>
      <c r="V100" s="467">
        <f t="shared" si="121"/>
        <v>757411.9328</v>
      </c>
      <c r="W100" s="474">
        <v>12</v>
      </c>
      <c r="X100" s="467">
        <f t="shared" si="122"/>
        <v>63117.6610666667</v>
      </c>
      <c r="Y100" s="470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9"/>
      <c r="AD100" s="479"/>
      <c r="AE100" s="479"/>
    </row>
    <row r="101" ht="31" spans="1:31">
      <c r="A101" s="464"/>
      <c r="B101" s="351" t="s">
        <v>235</v>
      </c>
      <c r="C101" s="467">
        <v>466751.8625</v>
      </c>
      <c r="D101" s="466">
        <v>12</v>
      </c>
      <c r="E101" s="467">
        <f t="shared" si="109"/>
        <v>5601022.35</v>
      </c>
      <c r="F101" s="467"/>
      <c r="G101" s="468">
        <v>317190.799999999</v>
      </c>
      <c r="H101" s="470"/>
      <c r="I101" s="467">
        <f t="shared" si="110"/>
        <v>5283831.55</v>
      </c>
      <c r="J101" s="467">
        <v>200000</v>
      </c>
      <c r="K101" s="467">
        <v>0.2</v>
      </c>
      <c r="L101" s="467">
        <f t="shared" si="111"/>
        <v>1056766.31</v>
      </c>
      <c r="M101" s="467">
        <f t="shared" si="112"/>
        <v>1256766.31</v>
      </c>
      <c r="N101" s="467">
        <f t="shared" si="113"/>
        <v>1573957.11</v>
      </c>
      <c r="O101" s="467">
        <f t="shared" si="114"/>
        <v>4027065.24</v>
      </c>
      <c r="P101" s="467">
        <f t="shared" si="115"/>
        <v>21000</v>
      </c>
      <c r="Q101" s="467">
        <f t="shared" si="116"/>
        <v>33000</v>
      </c>
      <c r="R101" s="467">
        <f t="shared" si="117"/>
        <v>75000</v>
      </c>
      <c r="S101" s="467">
        <f t="shared" si="118"/>
        <v>95000</v>
      </c>
      <c r="T101" s="467">
        <f t="shared" si="119"/>
        <v>336000</v>
      </c>
      <c r="U101" s="467">
        <f t="shared" si="124"/>
        <v>198495.657599999</v>
      </c>
      <c r="V101" s="467">
        <f t="shared" si="121"/>
        <v>758495.657599999</v>
      </c>
      <c r="W101" s="474">
        <v>12</v>
      </c>
      <c r="X101" s="467">
        <f t="shared" si="122"/>
        <v>63207.9714666666</v>
      </c>
      <c r="Y101" s="470"/>
      <c r="Z101" s="929">
        <f t="shared" si="123"/>
        <v>63207.9714666666</v>
      </c>
      <c r="AA101" s="806">
        <v>87883.38</v>
      </c>
      <c r="AB101" s="806">
        <f t="shared" si="78"/>
        <v>-24675.4085333334</v>
      </c>
      <c r="AC101" s="479"/>
      <c r="AD101" s="479"/>
      <c r="AE101" s="479"/>
    </row>
    <row r="102" ht="15.5" spans="1:31">
      <c r="A102" s="464"/>
      <c r="B102" s="351" t="s">
        <v>236</v>
      </c>
      <c r="C102" s="467">
        <v>442901.94</v>
      </c>
      <c r="D102" s="466">
        <v>12</v>
      </c>
      <c r="E102" s="467">
        <f t="shared" si="109"/>
        <v>5314823.28</v>
      </c>
      <c r="G102" s="468">
        <v>296563.840000001</v>
      </c>
      <c r="H102" s="470"/>
      <c r="I102" s="467">
        <f t="shared" si="110"/>
        <v>5018259.44</v>
      </c>
      <c r="J102" s="467">
        <v>200000</v>
      </c>
      <c r="K102" s="467">
        <v>0.2</v>
      </c>
      <c r="L102" s="467">
        <f t="shared" si="111"/>
        <v>1003651.888</v>
      </c>
      <c r="M102" s="467">
        <f t="shared" si="112"/>
        <v>1203651.888</v>
      </c>
      <c r="N102" s="467">
        <f t="shared" si="113"/>
        <v>1500215.728</v>
      </c>
      <c r="O102" s="467">
        <f t="shared" si="114"/>
        <v>3814607.552</v>
      </c>
      <c r="P102" s="467">
        <f t="shared" si="115"/>
        <v>21000</v>
      </c>
      <c r="Q102" s="467">
        <f t="shared" si="116"/>
        <v>33000</v>
      </c>
      <c r="R102" s="467">
        <f t="shared" si="117"/>
        <v>75000</v>
      </c>
      <c r="S102" s="467">
        <f t="shared" si="118"/>
        <v>95000</v>
      </c>
      <c r="T102" s="467">
        <f t="shared" si="119"/>
        <v>336000</v>
      </c>
      <c r="U102" s="467">
        <f t="shared" si="124"/>
        <v>147505.81248</v>
      </c>
      <c r="V102" s="467">
        <f t="shared" si="121"/>
        <v>707505.81248</v>
      </c>
      <c r="W102" s="474">
        <v>12</v>
      </c>
      <c r="X102" s="467">
        <f t="shared" si="122"/>
        <v>58958.8177066667</v>
      </c>
      <c r="Y102" s="470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237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238</v>
      </c>
      <c r="C105" s="467">
        <v>592662.666666667</v>
      </c>
      <c r="D105" s="466">
        <v>12</v>
      </c>
      <c r="E105" s="467">
        <f t="shared" ref="E105:E107" si="125">C105*D105</f>
        <v>7111952</v>
      </c>
      <c r="F105" s="467"/>
      <c r="G105" s="468">
        <v>463356.160000001</v>
      </c>
      <c r="H105" s="470"/>
      <c r="I105" s="467">
        <f t="shared" ref="I105:I107" si="126">E105-F105-G105-H105</f>
        <v>6648595.84</v>
      </c>
      <c r="J105" s="467">
        <v>200000</v>
      </c>
      <c r="K105" s="467">
        <v>0.2</v>
      </c>
      <c r="L105" s="467">
        <f t="shared" ref="L105:L107" si="127">I105*K105</f>
        <v>1329719.168</v>
      </c>
      <c r="M105" s="467">
        <f t="shared" ref="M105:M107" si="128">J105+L105</f>
        <v>1529719.168</v>
      </c>
      <c r="N105" s="467">
        <f t="shared" ref="N105:N107" si="129">F105+G105+H105+M105</f>
        <v>1993075.328</v>
      </c>
      <c r="O105" s="467">
        <f t="shared" ref="O105:O107" si="130">E105-N105</f>
        <v>5118876.672</v>
      </c>
      <c r="P105" s="467">
        <f t="shared" ref="P105:P107" si="131">IF(O105&lt;300000,0.07*O105,21000)</f>
        <v>21000</v>
      </c>
      <c r="Q105" s="467">
        <f t="shared" ref="Q105:Q107" si="132">IF((O105-300000)&lt;0,0,IF((O105-300000)&lt;300000,0.11*(O105-300000),33000))</f>
        <v>33000</v>
      </c>
      <c r="R105" s="467">
        <f t="shared" ref="R105:R107" si="133">IF((O105-600000)&lt;0,0,IF((O105-600000)&lt;500000,0.15*(O105-600000),75000))</f>
        <v>75000</v>
      </c>
      <c r="S105" s="467">
        <f t="shared" ref="S105:S107" si="134">IF((O105-1100000)&lt;0,0,IF((O105-1100000)&lt;500000,0.19*(O105-1100000),95000))</f>
        <v>95000</v>
      </c>
      <c r="T105" s="467">
        <f t="shared" ref="T105:T107" si="135">IF((O105-1600000)&lt;0,0,IF((O105-1600000)&lt;1600000,0.21*(O105-1600000),336000))</f>
        <v>336000</v>
      </c>
      <c r="U105" s="467">
        <f t="shared" ref="U105:U107" si="136">0.24*(O105-3200000)</f>
        <v>460530.401280001</v>
      </c>
      <c r="V105" s="467">
        <f t="shared" ref="V105:V107" si="137">P105+Q105+R105+S105+T105+U105</f>
        <v>1020530.40128</v>
      </c>
      <c r="W105" s="474">
        <v>12</v>
      </c>
      <c r="X105" s="467">
        <f t="shared" ref="X105:X107" si="138">V105/W105</f>
        <v>85044.2001066667</v>
      </c>
      <c r="Y105" s="470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240</v>
      </c>
      <c r="C106" s="467">
        <v>578828.166666667</v>
      </c>
      <c r="D106" s="466">
        <v>12</v>
      </c>
      <c r="E106" s="467">
        <f t="shared" si="125"/>
        <v>6945938</v>
      </c>
      <c r="F106" s="467"/>
      <c r="G106" s="468">
        <v>450075.040000001</v>
      </c>
      <c r="H106" s="470"/>
      <c r="I106" s="467">
        <f t="shared" si="126"/>
        <v>6495862.96</v>
      </c>
      <c r="J106" s="467">
        <v>200000</v>
      </c>
      <c r="K106" s="467">
        <v>0.2</v>
      </c>
      <c r="L106" s="467">
        <f t="shared" si="127"/>
        <v>1299172.592</v>
      </c>
      <c r="M106" s="467">
        <f t="shared" si="128"/>
        <v>1499172.592</v>
      </c>
      <c r="N106" s="467">
        <f t="shared" si="129"/>
        <v>1949247.632</v>
      </c>
      <c r="O106" s="467">
        <f t="shared" si="130"/>
        <v>4996690.368</v>
      </c>
      <c r="P106" s="467">
        <f t="shared" si="131"/>
        <v>21000</v>
      </c>
      <c r="Q106" s="467">
        <f t="shared" si="132"/>
        <v>33000</v>
      </c>
      <c r="R106" s="467">
        <f t="shared" si="133"/>
        <v>75000</v>
      </c>
      <c r="S106" s="467">
        <f t="shared" si="134"/>
        <v>95000</v>
      </c>
      <c r="T106" s="467">
        <f t="shared" si="135"/>
        <v>336000</v>
      </c>
      <c r="U106" s="467">
        <f t="shared" si="136"/>
        <v>431205.688320001</v>
      </c>
      <c r="V106" s="467">
        <f t="shared" si="137"/>
        <v>991205.688320001</v>
      </c>
      <c r="W106" s="474">
        <v>12</v>
      </c>
      <c r="X106" s="467">
        <f t="shared" si="138"/>
        <v>82600.4740266667</v>
      </c>
      <c r="Y106" s="470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179</v>
      </c>
      <c r="C107" s="473">
        <v>981346.583333334</v>
      </c>
      <c r="D107" s="466">
        <v>12</v>
      </c>
      <c r="E107" s="467">
        <f t="shared" si="125"/>
        <v>11776159</v>
      </c>
      <c r="F107" s="467">
        <v>90896.2250000001</v>
      </c>
      <c r="G107" s="468">
        <v>463532.72</v>
      </c>
      <c r="H107" s="470"/>
      <c r="I107" s="467">
        <f t="shared" si="126"/>
        <v>11221730.055</v>
      </c>
      <c r="J107" s="467">
        <v>200000</v>
      </c>
      <c r="K107" s="467">
        <v>0.2</v>
      </c>
      <c r="L107" s="467">
        <f t="shared" si="127"/>
        <v>2244346.011</v>
      </c>
      <c r="M107" s="467">
        <f t="shared" si="128"/>
        <v>2444346.011</v>
      </c>
      <c r="N107" s="467">
        <f t="shared" si="129"/>
        <v>2998774.956</v>
      </c>
      <c r="O107" s="467">
        <f t="shared" si="130"/>
        <v>8777384.04400001</v>
      </c>
      <c r="P107" s="467">
        <f t="shared" si="131"/>
        <v>21000</v>
      </c>
      <c r="Q107" s="467">
        <f t="shared" si="132"/>
        <v>33000</v>
      </c>
      <c r="R107" s="467">
        <f t="shared" si="133"/>
        <v>75000</v>
      </c>
      <c r="S107" s="467">
        <f t="shared" si="134"/>
        <v>95000</v>
      </c>
      <c r="T107" s="467">
        <f t="shared" si="135"/>
        <v>336000</v>
      </c>
      <c r="U107" s="467">
        <f t="shared" si="136"/>
        <v>1338572.17056</v>
      </c>
      <c r="V107" s="467">
        <f t="shared" si="137"/>
        <v>1898572.17056</v>
      </c>
      <c r="W107" s="474">
        <v>12</v>
      </c>
      <c r="X107" s="467">
        <f t="shared" si="138"/>
        <v>158214.347546667</v>
      </c>
      <c r="Y107" s="470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530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248</v>
      </c>
      <c r="C110" s="467">
        <v>337890.916666667</v>
      </c>
      <c r="D110" s="466">
        <v>12</v>
      </c>
      <c r="E110" s="467">
        <f>C110*D110</f>
        <v>4054691</v>
      </c>
      <c r="F110" s="467"/>
      <c r="G110" s="468">
        <v>276375.280000001</v>
      </c>
      <c r="H110" s="470"/>
      <c r="I110" s="467">
        <f>E110-F110-G110-H110</f>
        <v>3778315.72</v>
      </c>
      <c r="J110" s="467">
        <v>200000</v>
      </c>
      <c r="K110" s="467">
        <v>0.2</v>
      </c>
      <c r="L110" s="467">
        <f>I110*K110</f>
        <v>755663.144000001</v>
      </c>
      <c r="M110" s="467">
        <f>J110+L110</f>
        <v>955663.144000001</v>
      </c>
      <c r="N110" s="467">
        <f>F110+G110+H110+M110</f>
        <v>1232038.424</v>
      </c>
      <c r="O110" s="467">
        <f>E110-N110</f>
        <v>2822652.576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256757.04096</v>
      </c>
      <c r="U110" s="467"/>
      <c r="V110" s="467">
        <f>P110+Q110+R110+S110+T110+U110</f>
        <v>480757.04096</v>
      </c>
      <c r="W110" s="474">
        <v>12</v>
      </c>
      <c r="X110" s="467">
        <f>V110/W110</f>
        <v>40063.0867466667</v>
      </c>
      <c r="Y110" s="470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9"/>
      <c r="AD110" s="479"/>
      <c r="AE110" s="479"/>
    </row>
    <row r="111" ht="15.5" spans="1:31">
      <c r="A111" s="464">
        <v>93</v>
      </c>
      <c r="B111" s="643" t="s">
        <v>250</v>
      </c>
      <c r="C111" s="467">
        <v>337890.916666667</v>
      </c>
      <c r="D111" s="466">
        <v>12</v>
      </c>
      <c r="E111" s="467">
        <f>C111*D111</f>
        <v>4054691</v>
      </c>
      <c r="F111" s="467"/>
      <c r="G111" s="468">
        <v>276375.280000001</v>
      </c>
      <c r="H111" s="470"/>
      <c r="I111" s="467">
        <f>E111-F111-G111-H111</f>
        <v>3778315.72</v>
      </c>
      <c r="J111" s="467">
        <v>200000</v>
      </c>
      <c r="K111" s="467">
        <v>0.2</v>
      </c>
      <c r="L111" s="467">
        <f>I111*K111</f>
        <v>755663.144000001</v>
      </c>
      <c r="M111" s="467">
        <f>J111+L111</f>
        <v>955663.144000001</v>
      </c>
      <c r="N111" s="467">
        <f>F111+G111+H111+M111</f>
        <v>1232038.424</v>
      </c>
      <c r="O111" s="467">
        <f>E111-N111</f>
        <v>2822652.576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256757.04096</v>
      </c>
      <c r="U111" s="467"/>
      <c r="V111" s="467">
        <f>P111+Q111+R111+S111+T111+U111</f>
        <v>480757.04096</v>
      </c>
      <c r="W111" s="474">
        <v>12</v>
      </c>
      <c r="X111" s="467">
        <f>V111/W111</f>
        <v>40063.0867466667</v>
      </c>
      <c r="Y111" s="470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252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253</v>
      </c>
      <c r="C115" s="467">
        <v>1947106.41666666</v>
      </c>
      <c r="D115" s="466">
        <v>12</v>
      </c>
      <c r="E115" s="467">
        <f t="shared" ref="E115:E124" si="141">C115*D115</f>
        <v>23365276.9999999</v>
      </c>
      <c r="F115" s="467">
        <v>326033.124999999</v>
      </c>
      <c r="G115" s="468">
        <v>1677222.16</v>
      </c>
      <c r="H115" s="470"/>
      <c r="I115" s="467">
        <f t="shared" ref="I115:I124" si="142">E115-F115-G115-H115</f>
        <v>21362021.7149999</v>
      </c>
      <c r="J115" s="467">
        <v>200000</v>
      </c>
      <c r="K115" s="467">
        <v>0.2</v>
      </c>
      <c r="L115" s="467">
        <f t="shared" ref="L115:L124" si="143">I115*K115</f>
        <v>4272404.34299998</v>
      </c>
      <c r="M115" s="467">
        <f t="shared" ref="M115:M124" si="144">J115+L115</f>
        <v>4472404.34299998</v>
      </c>
      <c r="N115" s="467">
        <f t="shared" ref="N115:N124" si="145">F115+G115+H115+M115</f>
        <v>6475659.62799998</v>
      </c>
      <c r="O115" s="467">
        <f t="shared" ref="O115:O124" si="146">E115-N115</f>
        <v>16889617.3719999</v>
      </c>
      <c r="P115" s="467">
        <f t="shared" ref="P115:P124" si="147">IF(O115&lt;300000,0.07*O115,21000)</f>
        <v>21000</v>
      </c>
      <c r="Q115" s="467">
        <f t="shared" ref="Q115:Q124" si="148">IF((O115-300000)&lt;0,0,IF((O115-300000)&lt;300000,0.11*(O115-300000),33000))</f>
        <v>33000</v>
      </c>
      <c r="R115" s="467">
        <f t="shared" ref="R115:R124" si="149">IF((O115-600000)&lt;0,0,IF((O115-600000)&lt;500000,0.15*(O115-600000),75000))</f>
        <v>75000</v>
      </c>
      <c r="S115" s="467">
        <f t="shared" ref="S115:S124" si="150">IF((O115-1100000)&lt;0,0,IF((O115-1100000)&lt;500000,0.19*(O115-1100000),95000))</f>
        <v>95000</v>
      </c>
      <c r="T115" s="467">
        <f t="shared" ref="T115:T124" si="151">IF((O115-1600000)&lt;0,0,IF((O115-1600000)&lt;1600000,0.21*(O115-1600000),336000))</f>
        <v>336000</v>
      </c>
      <c r="U115" s="467">
        <f t="shared" ref="U115:U121" si="152">0.24*(O115-3200000)</f>
        <v>3285508.16927998</v>
      </c>
      <c r="V115" s="467">
        <f t="shared" ref="V115:V124" si="153">P115+Q115+R115+S115+T115+U115</f>
        <v>3845508.16927998</v>
      </c>
      <c r="W115" s="474">
        <v>12</v>
      </c>
      <c r="X115" s="467">
        <f t="shared" ref="X115:X124" si="154">V115/W115</f>
        <v>320459.014106665</v>
      </c>
      <c r="Y115" s="470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255</v>
      </c>
      <c r="C116" s="467">
        <v>1095306.75</v>
      </c>
      <c r="D116" s="466">
        <v>12</v>
      </c>
      <c r="E116" s="467">
        <f t="shared" si="141"/>
        <v>13143681</v>
      </c>
      <c r="F116" s="467">
        <v>166400.85</v>
      </c>
      <c r="G116" s="468">
        <v>869094.48</v>
      </c>
      <c r="H116" s="470"/>
      <c r="I116" s="467">
        <f t="shared" si="142"/>
        <v>12108185.67</v>
      </c>
      <c r="J116" s="467">
        <v>200000</v>
      </c>
      <c r="K116" s="467">
        <v>0.2</v>
      </c>
      <c r="L116" s="467">
        <f t="shared" si="143"/>
        <v>2421637.134</v>
      </c>
      <c r="M116" s="467">
        <f t="shared" si="144"/>
        <v>2621637.134</v>
      </c>
      <c r="N116" s="467">
        <f t="shared" si="145"/>
        <v>3657132.464</v>
      </c>
      <c r="O116" s="467">
        <f t="shared" si="146"/>
        <v>9486548.536</v>
      </c>
      <c r="P116" s="467">
        <f t="shared" si="147"/>
        <v>21000</v>
      </c>
      <c r="Q116" s="467">
        <f t="shared" si="148"/>
        <v>33000</v>
      </c>
      <c r="R116" s="467">
        <f t="shared" si="149"/>
        <v>75000</v>
      </c>
      <c r="S116" s="467">
        <f t="shared" si="150"/>
        <v>95000</v>
      </c>
      <c r="T116" s="467">
        <f t="shared" si="151"/>
        <v>336000</v>
      </c>
      <c r="U116" s="467">
        <f t="shared" si="152"/>
        <v>1508771.64864</v>
      </c>
      <c r="V116" s="467">
        <f t="shared" si="153"/>
        <v>2068771.64864</v>
      </c>
      <c r="W116" s="474">
        <v>12</v>
      </c>
      <c r="X116" s="467">
        <f t="shared" si="154"/>
        <v>172397.637386667</v>
      </c>
      <c r="Y116" s="470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9"/>
      <c r="AD116" s="479"/>
      <c r="AE116" s="479"/>
    </row>
    <row r="117" ht="15.5" spans="1:31">
      <c r="A117" s="464"/>
      <c r="B117" s="639" t="s">
        <v>257</v>
      </c>
      <c r="C117" s="467">
        <v>1099008.91666667</v>
      </c>
      <c r="D117" s="466">
        <v>12</v>
      </c>
      <c r="E117" s="467">
        <f t="shared" si="141"/>
        <v>13188107</v>
      </c>
      <c r="F117" s="467">
        <v>157015.95</v>
      </c>
      <c r="G117" s="468">
        <v>818602.639999999</v>
      </c>
      <c r="H117" s="470"/>
      <c r="I117" s="467">
        <f t="shared" si="142"/>
        <v>12212488.41</v>
      </c>
      <c r="J117" s="467">
        <v>200000</v>
      </c>
      <c r="K117" s="467">
        <v>0.2</v>
      </c>
      <c r="L117" s="467">
        <f t="shared" si="143"/>
        <v>2442497.682</v>
      </c>
      <c r="M117" s="467">
        <f t="shared" si="144"/>
        <v>2642497.682</v>
      </c>
      <c r="N117" s="467">
        <f t="shared" si="145"/>
        <v>3618116.272</v>
      </c>
      <c r="O117" s="467">
        <f t="shared" si="146"/>
        <v>9569990.728</v>
      </c>
      <c r="P117" s="467">
        <f t="shared" si="147"/>
        <v>21000</v>
      </c>
      <c r="Q117" s="467">
        <f t="shared" si="148"/>
        <v>33000</v>
      </c>
      <c r="R117" s="467">
        <f t="shared" si="149"/>
        <v>75000</v>
      </c>
      <c r="S117" s="467">
        <f t="shared" si="150"/>
        <v>95000</v>
      </c>
      <c r="T117" s="467">
        <f t="shared" si="151"/>
        <v>336000</v>
      </c>
      <c r="U117" s="467">
        <f t="shared" si="152"/>
        <v>1528797.77472</v>
      </c>
      <c r="V117" s="467">
        <f t="shared" si="153"/>
        <v>2088797.77472</v>
      </c>
      <c r="W117" s="474">
        <v>12</v>
      </c>
      <c r="X117" s="467">
        <f t="shared" si="154"/>
        <v>174066.481226667</v>
      </c>
      <c r="Y117" s="470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9"/>
      <c r="AD117" s="479"/>
      <c r="AE117" s="479"/>
    </row>
    <row r="118" ht="15.5" spans="1:31">
      <c r="A118" s="464"/>
      <c r="B118" s="643" t="s">
        <v>259</v>
      </c>
      <c r="C118" s="467">
        <v>659657</v>
      </c>
      <c r="D118" s="466">
        <v>12</v>
      </c>
      <c r="E118" s="467">
        <f t="shared" si="141"/>
        <v>7915884</v>
      </c>
      <c r="F118" s="467"/>
      <c r="G118" s="468">
        <v>566070.72</v>
      </c>
      <c r="H118" s="470"/>
      <c r="I118" s="467">
        <f t="shared" si="142"/>
        <v>7349813.28</v>
      </c>
      <c r="J118" s="467">
        <v>200000</v>
      </c>
      <c r="K118" s="467">
        <v>0.2</v>
      </c>
      <c r="L118" s="467">
        <f t="shared" si="143"/>
        <v>1469962.656</v>
      </c>
      <c r="M118" s="467">
        <f t="shared" si="144"/>
        <v>1669962.656</v>
      </c>
      <c r="N118" s="467">
        <f t="shared" si="145"/>
        <v>2236033.376</v>
      </c>
      <c r="O118" s="467">
        <f t="shared" si="146"/>
        <v>5679850.624</v>
      </c>
      <c r="P118" s="467">
        <f t="shared" si="147"/>
        <v>21000</v>
      </c>
      <c r="Q118" s="467">
        <f t="shared" si="148"/>
        <v>33000</v>
      </c>
      <c r="R118" s="467">
        <f t="shared" si="149"/>
        <v>75000</v>
      </c>
      <c r="S118" s="467">
        <f t="shared" si="150"/>
        <v>95000</v>
      </c>
      <c r="T118" s="467">
        <f t="shared" si="151"/>
        <v>336000</v>
      </c>
      <c r="U118" s="467">
        <f t="shared" si="152"/>
        <v>595164.14976</v>
      </c>
      <c r="V118" s="467">
        <f t="shared" si="153"/>
        <v>1155164.14976</v>
      </c>
      <c r="W118" s="474">
        <v>12</v>
      </c>
      <c r="X118" s="467">
        <f t="shared" si="154"/>
        <v>96263.6791466667</v>
      </c>
      <c r="Y118" s="470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261</v>
      </c>
      <c r="C119" s="467">
        <v>628165.25</v>
      </c>
      <c r="D119" s="466">
        <v>12</v>
      </c>
      <c r="E119" s="467">
        <f t="shared" si="141"/>
        <v>7537983</v>
      </c>
      <c r="F119" s="467">
        <v>104314.775</v>
      </c>
      <c r="G119" s="468">
        <v>535838.64</v>
      </c>
      <c r="H119" s="470"/>
      <c r="I119" s="467">
        <f t="shared" si="142"/>
        <v>6897829.585</v>
      </c>
      <c r="J119" s="467">
        <v>200000</v>
      </c>
      <c r="K119" s="467">
        <v>0.2</v>
      </c>
      <c r="L119" s="467">
        <f t="shared" si="143"/>
        <v>1379565.917</v>
      </c>
      <c r="M119" s="467">
        <f t="shared" si="144"/>
        <v>1579565.917</v>
      </c>
      <c r="N119" s="467">
        <f t="shared" si="145"/>
        <v>2219719.332</v>
      </c>
      <c r="O119" s="467">
        <f t="shared" si="146"/>
        <v>5318263.668</v>
      </c>
      <c r="P119" s="467">
        <f t="shared" si="147"/>
        <v>21000</v>
      </c>
      <c r="Q119" s="467">
        <f t="shared" si="148"/>
        <v>33000</v>
      </c>
      <c r="R119" s="467">
        <f t="shared" si="149"/>
        <v>75000</v>
      </c>
      <c r="S119" s="467">
        <f t="shared" si="150"/>
        <v>95000</v>
      </c>
      <c r="T119" s="467">
        <f t="shared" si="151"/>
        <v>336000</v>
      </c>
      <c r="U119" s="467">
        <f t="shared" si="152"/>
        <v>508383.28032</v>
      </c>
      <c r="V119" s="467">
        <f t="shared" si="153"/>
        <v>1068383.28032</v>
      </c>
      <c r="W119" s="474">
        <v>12</v>
      </c>
      <c r="X119" s="467">
        <f t="shared" si="154"/>
        <v>89031.9400266667</v>
      </c>
      <c r="Y119" s="470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262</v>
      </c>
      <c r="C120" s="467">
        <v>643911.083333334</v>
      </c>
      <c r="D120" s="466">
        <v>12</v>
      </c>
      <c r="E120" s="467">
        <f t="shared" si="141"/>
        <v>7726933.00000001</v>
      </c>
      <c r="F120" s="473">
        <v>107120</v>
      </c>
      <c r="G120" s="468">
        <v>550954.64</v>
      </c>
      <c r="H120" s="470"/>
      <c r="I120" s="467">
        <f t="shared" si="142"/>
        <v>7068858.36000001</v>
      </c>
      <c r="J120" s="467">
        <v>200000</v>
      </c>
      <c r="K120" s="467">
        <v>0.2</v>
      </c>
      <c r="L120" s="467">
        <f t="shared" si="143"/>
        <v>1413771.672</v>
      </c>
      <c r="M120" s="467">
        <f t="shared" si="144"/>
        <v>1613771.672</v>
      </c>
      <c r="N120" s="467">
        <f t="shared" si="145"/>
        <v>2271846.312</v>
      </c>
      <c r="O120" s="467">
        <f t="shared" si="146"/>
        <v>5455086.68800001</v>
      </c>
      <c r="P120" s="467">
        <f t="shared" si="147"/>
        <v>21000</v>
      </c>
      <c r="Q120" s="467">
        <f t="shared" si="148"/>
        <v>33000</v>
      </c>
      <c r="R120" s="467">
        <f t="shared" si="149"/>
        <v>75000</v>
      </c>
      <c r="S120" s="467">
        <f t="shared" si="150"/>
        <v>95000</v>
      </c>
      <c r="T120" s="467">
        <f t="shared" si="151"/>
        <v>336000</v>
      </c>
      <c r="U120" s="467">
        <f t="shared" si="152"/>
        <v>541220.805120001</v>
      </c>
      <c r="V120" s="467">
        <f t="shared" si="153"/>
        <v>1101220.80512</v>
      </c>
      <c r="W120" s="474">
        <v>12</v>
      </c>
      <c r="X120" s="467">
        <f t="shared" si="154"/>
        <v>91768.4004266668</v>
      </c>
      <c r="Y120" s="470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265</v>
      </c>
      <c r="C121" s="467">
        <v>415320.666666667</v>
      </c>
      <c r="D121" s="466">
        <v>12</v>
      </c>
      <c r="E121" s="467">
        <f t="shared" si="141"/>
        <v>4983848</v>
      </c>
      <c r="F121" s="473"/>
      <c r="G121" s="468">
        <v>341107.840000001</v>
      </c>
      <c r="H121" s="470"/>
      <c r="I121" s="467">
        <f t="shared" si="142"/>
        <v>4642740.16</v>
      </c>
      <c r="J121" s="467">
        <v>200000</v>
      </c>
      <c r="K121" s="467">
        <v>0.2</v>
      </c>
      <c r="L121" s="467">
        <f t="shared" si="143"/>
        <v>928548.032000001</v>
      </c>
      <c r="M121" s="467">
        <f t="shared" si="144"/>
        <v>1128548.032</v>
      </c>
      <c r="N121" s="467">
        <f t="shared" si="145"/>
        <v>1469655.872</v>
      </c>
      <c r="O121" s="467">
        <f t="shared" si="146"/>
        <v>3514192.128</v>
      </c>
      <c r="P121" s="467">
        <f t="shared" si="147"/>
        <v>21000</v>
      </c>
      <c r="Q121" s="467">
        <f t="shared" si="148"/>
        <v>33000</v>
      </c>
      <c r="R121" s="467">
        <f t="shared" si="149"/>
        <v>75000</v>
      </c>
      <c r="S121" s="467">
        <f t="shared" si="150"/>
        <v>95000</v>
      </c>
      <c r="T121" s="467">
        <f t="shared" si="151"/>
        <v>336000</v>
      </c>
      <c r="U121" s="467">
        <f t="shared" si="152"/>
        <v>75406.1107200006</v>
      </c>
      <c r="V121" s="467">
        <f t="shared" si="153"/>
        <v>635406.110720001</v>
      </c>
      <c r="W121" s="474">
        <v>12</v>
      </c>
      <c r="X121" s="467">
        <f t="shared" si="154"/>
        <v>52950.5092266667</v>
      </c>
      <c r="Y121" s="470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267</v>
      </c>
      <c r="C122" s="467">
        <v>351910.75</v>
      </c>
      <c r="D122" s="466">
        <v>12</v>
      </c>
      <c r="E122" s="467">
        <f t="shared" si="141"/>
        <v>4222929</v>
      </c>
      <c r="F122" s="467"/>
      <c r="G122" s="468">
        <v>289834.32</v>
      </c>
      <c r="H122" s="470"/>
      <c r="I122" s="467">
        <f t="shared" si="142"/>
        <v>3933094.68</v>
      </c>
      <c r="J122" s="467">
        <v>200000</v>
      </c>
      <c r="K122" s="467">
        <v>0.2</v>
      </c>
      <c r="L122" s="467">
        <f t="shared" si="143"/>
        <v>786618.936</v>
      </c>
      <c r="M122" s="467">
        <f t="shared" si="144"/>
        <v>986618.936</v>
      </c>
      <c r="N122" s="467">
        <f t="shared" si="145"/>
        <v>1276453.256</v>
      </c>
      <c r="O122" s="467">
        <f t="shared" si="146"/>
        <v>2946475.744</v>
      </c>
      <c r="P122" s="467">
        <f t="shared" si="147"/>
        <v>21000</v>
      </c>
      <c r="Q122" s="467">
        <f t="shared" si="148"/>
        <v>33000</v>
      </c>
      <c r="R122" s="467">
        <f t="shared" si="149"/>
        <v>75000</v>
      </c>
      <c r="S122" s="467">
        <f t="shared" si="150"/>
        <v>95000</v>
      </c>
      <c r="T122" s="467">
        <f t="shared" si="151"/>
        <v>282759.90624</v>
      </c>
      <c r="U122" s="467"/>
      <c r="V122" s="467">
        <f t="shared" si="153"/>
        <v>506759.90624</v>
      </c>
      <c r="W122" s="474">
        <v>12</v>
      </c>
      <c r="X122" s="467">
        <f t="shared" si="154"/>
        <v>42229.9921866667</v>
      </c>
      <c r="Y122" s="470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269</v>
      </c>
      <c r="C123" s="467">
        <v>351910.75</v>
      </c>
      <c r="D123" s="466">
        <v>12</v>
      </c>
      <c r="E123" s="467">
        <f t="shared" si="141"/>
        <v>4222929</v>
      </c>
      <c r="F123" s="467"/>
      <c r="G123" s="468">
        <v>289834.32</v>
      </c>
      <c r="H123" s="470"/>
      <c r="I123" s="467">
        <f t="shared" si="142"/>
        <v>3933094.68</v>
      </c>
      <c r="J123" s="467">
        <v>200000</v>
      </c>
      <c r="K123" s="467">
        <v>0.2</v>
      </c>
      <c r="L123" s="467">
        <f t="shared" si="143"/>
        <v>786618.936</v>
      </c>
      <c r="M123" s="467">
        <f t="shared" si="144"/>
        <v>986618.936</v>
      </c>
      <c r="N123" s="467">
        <f t="shared" si="145"/>
        <v>1276453.256</v>
      </c>
      <c r="O123" s="467">
        <f t="shared" si="146"/>
        <v>2946475.744</v>
      </c>
      <c r="P123" s="467">
        <f t="shared" si="147"/>
        <v>21000</v>
      </c>
      <c r="Q123" s="467">
        <f t="shared" si="148"/>
        <v>33000</v>
      </c>
      <c r="R123" s="467">
        <f t="shared" si="149"/>
        <v>75000</v>
      </c>
      <c r="S123" s="467">
        <f t="shared" si="150"/>
        <v>95000</v>
      </c>
      <c r="T123" s="467">
        <f t="shared" si="151"/>
        <v>282759.90624</v>
      </c>
      <c r="U123" s="467"/>
      <c r="V123" s="467">
        <f t="shared" si="153"/>
        <v>506759.90624</v>
      </c>
      <c r="W123" s="474">
        <v>12</v>
      </c>
      <c r="X123" s="467">
        <f t="shared" si="154"/>
        <v>42229.9921866667</v>
      </c>
      <c r="Y123" s="470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270</v>
      </c>
      <c r="C124" s="467">
        <v>344900.833333334</v>
      </c>
      <c r="D124" s="466">
        <v>12</v>
      </c>
      <c r="E124" s="467">
        <f t="shared" si="141"/>
        <v>4138810.00000001</v>
      </c>
      <c r="F124" s="467"/>
      <c r="G124" s="468">
        <v>283104.8</v>
      </c>
      <c r="H124" s="470"/>
      <c r="I124" s="467">
        <f t="shared" si="142"/>
        <v>3855705.20000001</v>
      </c>
      <c r="J124" s="467">
        <v>200000</v>
      </c>
      <c r="K124" s="467">
        <v>0.2</v>
      </c>
      <c r="L124" s="467">
        <f t="shared" si="143"/>
        <v>771141.040000002</v>
      </c>
      <c r="M124" s="467">
        <f t="shared" si="144"/>
        <v>971141.040000002</v>
      </c>
      <c r="N124" s="467">
        <f t="shared" si="145"/>
        <v>1254245.84</v>
      </c>
      <c r="O124" s="467">
        <f t="shared" si="146"/>
        <v>2884564.16000001</v>
      </c>
      <c r="P124" s="467">
        <f t="shared" si="147"/>
        <v>21000</v>
      </c>
      <c r="Q124" s="467">
        <f t="shared" si="148"/>
        <v>33000</v>
      </c>
      <c r="R124" s="467">
        <f t="shared" si="149"/>
        <v>75000</v>
      </c>
      <c r="S124" s="467">
        <f t="shared" si="150"/>
        <v>95000</v>
      </c>
      <c r="T124" s="467">
        <f t="shared" si="151"/>
        <v>269758.473600001</v>
      </c>
      <c r="U124" s="467"/>
      <c r="V124" s="467">
        <f t="shared" si="153"/>
        <v>493758.473600001</v>
      </c>
      <c r="W124" s="474">
        <v>12</v>
      </c>
      <c r="X124" s="467">
        <f t="shared" si="154"/>
        <v>41146.5394666668</v>
      </c>
      <c r="Y124" s="470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111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272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273</v>
      </c>
      <c r="C128" s="467">
        <v>1747612</v>
      </c>
      <c r="D128" s="466">
        <v>12</v>
      </c>
      <c r="E128" s="467">
        <f t="shared" ref="E128:E187" si="156">C128*D128</f>
        <v>20971344</v>
      </c>
      <c r="F128" s="467">
        <v>307730.499999999</v>
      </c>
      <c r="G128" s="468">
        <v>1581707.52</v>
      </c>
      <c r="H128" s="470"/>
      <c r="I128" s="467">
        <f t="shared" ref="I128:I187" si="157">E128-F128-G128-H128</f>
        <v>19081905.98</v>
      </c>
      <c r="J128" s="467">
        <v>200000</v>
      </c>
      <c r="K128" s="467">
        <v>0.2</v>
      </c>
      <c r="L128" s="467">
        <f t="shared" ref="L128:L187" si="158">I128*K128</f>
        <v>3816381.196</v>
      </c>
      <c r="M128" s="467">
        <f t="shared" ref="M128:M187" si="159">J128+L128</f>
        <v>4016381.196</v>
      </c>
      <c r="N128" s="467">
        <f t="shared" ref="N128:N187" si="160">F128+G128+H128+M128</f>
        <v>5905819.216</v>
      </c>
      <c r="O128" s="467">
        <f t="shared" ref="O128:O187" si="161">E128-N128</f>
        <v>15065524.784</v>
      </c>
      <c r="P128" s="467">
        <f t="shared" ref="P128:P187" si="162">IF(O128&lt;300000,0.07*O128,21000)</f>
        <v>21000</v>
      </c>
      <c r="Q128" s="467">
        <f t="shared" ref="Q128:Q187" si="163">IF((O128-300000)&lt;0,0,IF((O128-300000)&lt;300000,0.11*(O128-300000),33000))</f>
        <v>33000</v>
      </c>
      <c r="R128" s="467">
        <f t="shared" ref="R128:R187" si="164">IF((O128-600000)&lt;0,0,IF((O128-600000)&lt;500000,0.15*(O128-600000),75000))</f>
        <v>75000</v>
      </c>
      <c r="S128" s="467">
        <f t="shared" ref="S128:S187" si="165">IF((O128-1100000)&lt;0,0,IF((O128-1100000)&lt;500000,0.19*(O128-1100000),95000))</f>
        <v>95000</v>
      </c>
      <c r="T128" s="467">
        <f t="shared" ref="T128:T187" si="166">IF((O128-1600000)&lt;0,0,IF((O128-1600000)&lt;1600000,0.21*(O128-1600000),336000))</f>
        <v>336000</v>
      </c>
      <c r="U128" s="467">
        <f t="shared" ref="U128:U140" si="167">0.24*(O128-3200000)</f>
        <v>2847725.94816</v>
      </c>
      <c r="V128" s="467">
        <f t="shared" ref="V128:V187" si="168">P128+Q128+R128+S128+T128+U128</f>
        <v>3407725.94816</v>
      </c>
      <c r="W128" s="474">
        <v>12</v>
      </c>
      <c r="X128" s="467">
        <f t="shared" ref="X128:X187" si="169">V128/W128</f>
        <v>283977.162346667</v>
      </c>
      <c r="Y128" s="470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276</v>
      </c>
      <c r="C129" s="467">
        <v>1045306.75</v>
      </c>
      <c r="D129" s="466">
        <v>12</v>
      </c>
      <c r="E129" s="467">
        <f t="shared" si="156"/>
        <v>12543681</v>
      </c>
      <c r="F129" s="467">
        <v>166400.85</v>
      </c>
      <c r="G129" s="468">
        <v>869094.48</v>
      </c>
      <c r="H129" s="470"/>
      <c r="I129" s="467">
        <f t="shared" si="157"/>
        <v>11508185.67</v>
      </c>
      <c r="J129" s="467">
        <v>200000</v>
      </c>
      <c r="K129" s="467">
        <v>0.2</v>
      </c>
      <c r="L129" s="467">
        <f t="shared" si="158"/>
        <v>2301637.134</v>
      </c>
      <c r="M129" s="467">
        <f t="shared" si="159"/>
        <v>2501637.134</v>
      </c>
      <c r="N129" s="467">
        <f t="shared" si="160"/>
        <v>3537132.464</v>
      </c>
      <c r="O129" s="467">
        <f t="shared" si="161"/>
        <v>9006548.536</v>
      </c>
      <c r="P129" s="467">
        <f t="shared" si="162"/>
        <v>21000</v>
      </c>
      <c r="Q129" s="467">
        <f t="shared" si="163"/>
        <v>33000</v>
      </c>
      <c r="R129" s="467">
        <f t="shared" si="164"/>
        <v>75000</v>
      </c>
      <c r="S129" s="467">
        <f t="shared" si="165"/>
        <v>95000</v>
      </c>
      <c r="T129" s="467">
        <f t="shared" si="166"/>
        <v>336000</v>
      </c>
      <c r="U129" s="467">
        <f t="shared" si="167"/>
        <v>1393571.64864</v>
      </c>
      <c r="V129" s="467">
        <f t="shared" si="168"/>
        <v>1953571.64864</v>
      </c>
      <c r="W129" s="474">
        <v>12</v>
      </c>
      <c r="X129" s="467">
        <f t="shared" si="169"/>
        <v>162797.637386667</v>
      </c>
      <c r="Y129" s="470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278</v>
      </c>
      <c r="C130" s="467">
        <v>780713.916666666</v>
      </c>
      <c r="D130" s="466">
        <v>12</v>
      </c>
      <c r="E130" s="467">
        <f t="shared" si="156"/>
        <v>9368566.99999999</v>
      </c>
      <c r="F130" s="467">
        <v>129894.325</v>
      </c>
      <c r="G130" s="468">
        <v>672685.36</v>
      </c>
      <c r="H130" s="470"/>
      <c r="I130" s="467">
        <f t="shared" si="157"/>
        <v>8565987.31499999</v>
      </c>
      <c r="J130" s="467">
        <v>200000</v>
      </c>
      <c r="K130" s="467">
        <v>0.2</v>
      </c>
      <c r="L130" s="467">
        <f t="shared" si="158"/>
        <v>1713197.463</v>
      </c>
      <c r="M130" s="467">
        <f t="shared" si="159"/>
        <v>1913197.463</v>
      </c>
      <c r="N130" s="467">
        <f t="shared" si="160"/>
        <v>2715777.148</v>
      </c>
      <c r="O130" s="467">
        <f t="shared" si="161"/>
        <v>6652789.85199999</v>
      </c>
      <c r="P130" s="467">
        <f t="shared" si="162"/>
        <v>21000</v>
      </c>
      <c r="Q130" s="467">
        <f t="shared" si="163"/>
        <v>33000</v>
      </c>
      <c r="R130" s="467">
        <f t="shared" si="164"/>
        <v>75000</v>
      </c>
      <c r="S130" s="467">
        <f t="shared" si="165"/>
        <v>95000</v>
      </c>
      <c r="T130" s="467">
        <f t="shared" si="166"/>
        <v>336000</v>
      </c>
      <c r="U130" s="467">
        <f t="shared" si="167"/>
        <v>828669.564479999</v>
      </c>
      <c r="V130" s="467">
        <f t="shared" si="168"/>
        <v>1388669.56448</v>
      </c>
      <c r="W130" s="474">
        <v>12</v>
      </c>
      <c r="X130" s="467">
        <f t="shared" si="169"/>
        <v>115722.463706667</v>
      </c>
      <c r="Y130" s="470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280</v>
      </c>
      <c r="C131" s="467">
        <v>780713.916666666</v>
      </c>
      <c r="D131" s="466">
        <v>12</v>
      </c>
      <c r="E131" s="467">
        <f t="shared" si="156"/>
        <v>9368566.99999999</v>
      </c>
      <c r="F131" s="467">
        <v>129894.325</v>
      </c>
      <c r="G131" s="468">
        <v>672685.36</v>
      </c>
      <c r="H131" s="470"/>
      <c r="I131" s="467">
        <f t="shared" si="157"/>
        <v>8565987.31499999</v>
      </c>
      <c r="J131" s="467">
        <v>200000</v>
      </c>
      <c r="K131" s="467">
        <v>0.2</v>
      </c>
      <c r="L131" s="467">
        <f t="shared" si="158"/>
        <v>1713197.463</v>
      </c>
      <c r="M131" s="467">
        <f t="shared" si="159"/>
        <v>1913197.463</v>
      </c>
      <c r="N131" s="467">
        <f t="shared" si="160"/>
        <v>2715777.148</v>
      </c>
      <c r="O131" s="467">
        <f t="shared" si="161"/>
        <v>6652789.85199999</v>
      </c>
      <c r="P131" s="467">
        <f t="shared" si="162"/>
        <v>21000</v>
      </c>
      <c r="Q131" s="467">
        <f t="shared" si="163"/>
        <v>33000</v>
      </c>
      <c r="R131" s="467">
        <f t="shared" si="164"/>
        <v>75000</v>
      </c>
      <c r="S131" s="467">
        <f t="shared" si="165"/>
        <v>95000</v>
      </c>
      <c r="T131" s="467">
        <f t="shared" si="166"/>
        <v>336000</v>
      </c>
      <c r="U131" s="467">
        <f t="shared" si="167"/>
        <v>828669.564479999</v>
      </c>
      <c r="V131" s="467">
        <f t="shared" si="168"/>
        <v>1388669.56448</v>
      </c>
      <c r="W131" s="474">
        <v>12</v>
      </c>
      <c r="X131" s="467">
        <f t="shared" si="169"/>
        <v>115722.463706667</v>
      </c>
      <c r="Y131" s="470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282</v>
      </c>
      <c r="C132" s="467">
        <v>780713.916666666</v>
      </c>
      <c r="D132" s="466">
        <v>12</v>
      </c>
      <c r="E132" s="467">
        <f t="shared" si="156"/>
        <v>9368566.99999999</v>
      </c>
      <c r="F132" s="467">
        <v>129894.325</v>
      </c>
      <c r="G132" s="468">
        <v>672685.36</v>
      </c>
      <c r="H132" s="470"/>
      <c r="I132" s="467">
        <f t="shared" si="157"/>
        <v>8565987.31499999</v>
      </c>
      <c r="J132" s="467">
        <v>200000</v>
      </c>
      <c r="K132" s="467">
        <v>0.2</v>
      </c>
      <c r="L132" s="467">
        <f t="shared" si="158"/>
        <v>1713197.463</v>
      </c>
      <c r="M132" s="467">
        <f t="shared" si="159"/>
        <v>1913197.463</v>
      </c>
      <c r="N132" s="467">
        <f t="shared" si="160"/>
        <v>2715777.148</v>
      </c>
      <c r="O132" s="467">
        <f t="shared" si="161"/>
        <v>6652789.85199999</v>
      </c>
      <c r="P132" s="467">
        <f t="shared" si="162"/>
        <v>21000</v>
      </c>
      <c r="Q132" s="467">
        <f t="shared" si="163"/>
        <v>33000</v>
      </c>
      <c r="R132" s="467">
        <f t="shared" si="164"/>
        <v>75000</v>
      </c>
      <c r="S132" s="467">
        <f t="shared" si="165"/>
        <v>95000</v>
      </c>
      <c r="T132" s="467">
        <f t="shared" si="166"/>
        <v>336000</v>
      </c>
      <c r="U132" s="467">
        <f t="shared" si="167"/>
        <v>828669.564479999</v>
      </c>
      <c r="V132" s="467">
        <f t="shared" si="168"/>
        <v>1388669.56448</v>
      </c>
      <c r="W132" s="474">
        <v>12</v>
      </c>
      <c r="X132" s="467">
        <f t="shared" si="169"/>
        <v>115722.463706667</v>
      </c>
      <c r="Y132" s="470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283</v>
      </c>
      <c r="C133" s="467">
        <v>567472.75</v>
      </c>
      <c r="D133" s="466">
        <v>12</v>
      </c>
      <c r="E133" s="467">
        <f t="shared" si="156"/>
        <v>6809673</v>
      </c>
      <c r="F133" s="467"/>
      <c r="G133" s="468">
        <v>477573.84</v>
      </c>
      <c r="H133" s="470"/>
      <c r="I133" s="467">
        <f t="shared" si="157"/>
        <v>6332099.16</v>
      </c>
      <c r="J133" s="467">
        <v>200000</v>
      </c>
      <c r="K133" s="467">
        <v>0.2</v>
      </c>
      <c r="L133" s="467">
        <f t="shared" si="158"/>
        <v>1266419.832</v>
      </c>
      <c r="M133" s="467">
        <f t="shared" si="159"/>
        <v>1466419.832</v>
      </c>
      <c r="N133" s="467">
        <f t="shared" si="160"/>
        <v>1943993.672</v>
      </c>
      <c r="O133" s="467">
        <f t="shared" si="161"/>
        <v>4865679.328</v>
      </c>
      <c r="P133" s="467">
        <f t="shared" si="162"/>
        <v>21000</v>
      </c>
      <c r="Q133" s="467">
        <f t="shared" si="163"/>
        <v>33000</v>
      </c>
      <c r="R133" s="467">
        <f t="shared" si="164"/>
        <v>75000</v>
      </c>
      <c r="S133" s="467">
        <f t="shared" si="165"/>
        <v>95000</v>
      </c>
      <c r="T133" s="467">
        <f t="shared" si="166"/>
        <v>336000</v>
      </c>
      <c r="U133" s="467">
        <f t="shared" si="167"/>
        <v>399763.03872</v>
      </c>
      <c r="V133" s="467">
        <f t="shared" si="168"/>
        <v>959763.03872</v>
      </c>
      <c r="W133" s="474">
        <v>12</v>
      </c>
      <c r="X133" s="467">
        <f t="shared" si="169"/>
        <v>79980.2532266667</v>
      </c>
      <c r="Y133" s="470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284</v>
      </c>
      <c r="C134" s="467">
        <v>602846.583333334</v>
      </c>
      <c r="D134" s="466">
        <v>12</v>
      </c>
      <c r="E134" s="467">
        <f t="shared" si="156"/>
        <v>7234159.00000001</v>
      </c>
      <c r="F134" s="467"/>
      <c r="G134" s="468">
        <v>463532.72</v>
      </c>
      <c r="H134" s="470"/>
      <c r="I134" s="467">
        <f t="shared" si="157"/>
        <v>6770626.28000001</v>
      </c>
      <c r="J134" s="467">
        <v>200000</v>
      </c>
      <c r="K134" s="467">
        <v>0.2</v>
      </c>
      <c r="L134" s="467">
        <f t="shared" si="158"/>
        <v>1354125.256</v>
      </c>
      <c r="M134" s="467">
        <f t="shared" si="159"/>
        <v>1554125.256</v>
      </c>
      <c r="N134" s="467">
        <f t="shared" si="160"/>
        <v>2017657.976</v>
      </c>
      <c r="O134" s="467">
        <f t="shared" si="161"/>
        <v>5216501.02400001</v>
      </c>
      <c r="P134" s="467">
        <f t="shared" si="162"/>
        <v>21000</v>
      </c>
      <c r="Q134" s="467">
        <f t="shared" si="163"/>
        <v>33000</v>
      </c>
      <c r="R134" s="467">
        <f t="shared" si="164"/>
        <v>75000</v>
      </c>
      <c r="S134" s="467">
        <f t="shared" si="165"/>
        <v>95000</v>
      </c>
      <c r="T134" s="467">
        <f t="shared" si="166"/>
        <v>336000</v>
      </c>
      <c r="U134" s="467">
        <f t="shared" si="167"/>
        <v>483960.245760001</v>
      </c>
      <c r="V134" s="467">
        <f t="shared" si="168"/>
        <v>1043960.24576</v>
      </c>
      <c r="W134" s="474">
        <v>12</v>
      </c>
      <c r="X134" s="467">
        <f t="shared" si="169"/>
        <v>86996.6871466668</v>
      </c>
      <c r="Y134" s="470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286</v>
      </c>
      <c r="C135" s="467">
        <v>542662.666666667</v>
      </c>
      <c r="D135" s="466">
        <v>12</v>
      </c>
      <c r="E135" s="467">
        <f t="shared" si="156"/>
        <v>6511952</v>
      </c>
      <c r="F135" s="467"/>
      <c r="G135" s="468">
        <v>463356.160000001</v>
      </c>
      <c r="H135" s="470"/>
      <c r="I135" s="467">
        <f t="shared" si="157"/>
        <v>6048595.84</v>
      </c>
      <c r="J135" s="467">
        <v>200000</v>
      </c>
      <c r="K135" s="467">
        <v>0.2</v>
      </c>
      <c r="L135" s="467">
        <f t="shared" si="158"/>
        <v>1209719.168</v>
      </c>
      <c r="M135" s="467">
        <f t="shared" si="159"/>
        <v>1409719.168</v>
      </c>
      <c r="N135" s="467">
        <f t="shared" si="160"/>
        <v>1873075.328</v>
      </c>
      <c r="O135" s="467">
        <f t="shared" si="161"/>
        <v>4638876.672</v>
      </c>
      <c r="P135" s="467">
        <f t="shared" si="162"/>
        <v>21000</v>
      </c>
      <c r="Q135" s="467">
        <f t="shared" si="163"/>
        <v>33000</v>
      </c>
      <c r="R135" s="467">
        <f t="shared" si="164"/>
        <v>75000</v>
      </c>
      <c r="S135" s="467">
        <f t="shared" si="165"/>
        <v>95000</v>
      </c>
      <c r="T135" s="467">
        <f t="shared" si="166"/>
        <v>336000</v>
      </c>
      <c r="U135" s="467">
        <f t="shared" si="167"/>
        <v>345330.401280001</v>
      </c>
      <c r="V135" s="467">
        <f t="shared" si="168"/>
        <v>905330.401280001</v>
      </c>
      <c r="W135" s="474">
        <v>12</v>
      </c>
      <c r="X135" s="467">
        <f t="shared" si="169"/>
        <v>75444.2001066667</v>
      </c>
      <c r="Y135" s="470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288</v>
      </c>
      <c r="C136" s="467">
        <v>528828.166666667</v>
      </c>
      <c r="D136" s="466">
        <v>12</v>
      </c>
      <c r="E136" s="467">
        <f t="shared" si="156"/>
        <v>6345938</v>
      </c>
      <c r="F136" s="467">
        <v>88398.8750000001</v>
      </c>
      <c r="G136" s="468">
        <v>450075.040000001</v>
      </c>
      <c r="H136" s="470"/>
      <c r="I136" s="467">
        <f t="shared" si="157"/>
        <v>5807464.085</v>
      </c>
      <c r="J136" s="467">
        <v>200000</v>
      </c>
      <c r="K136" s="467">
        <v>0.2</v>
      </c>
      <c r="L136" s="467">
        <f t="shared" si="158"/>
        <v>1161492.817</v>
      </c>
      <c r="M136" s="467">
        <f t="shared" si="159"/>
        <v>1361492.817</v>
      </c>
      <c r="N136" s="467">
        <f t="shared" si="160"/>
        <v>1899966.732</v>
      </c>
      <c r="O136" s="467">
        <f t="shared" si="161"/>
        <v>4445971.268</v>
      </c>
      <c r="P136" s="467">
        <f t="shared" si="162"/>
        <v>21000</v>
      </c>
      <c r="Q136" s="467">
        <f t="shared" si="163"/>
        <v>33000</v>
      </c>
      <c r="R136" s="467">
        <f t="shared" si="164"/>
        <v>75000</v>
      </c>
      <c r="S136" s="467">
        <f t="shared" si="165"/>
        <v>95000</v>
      </c>
      <c r="T136" s="467">
        <f t="shared" si="166"/>
        <v>336000</v>
      </c>
      <c r="U136" s="467">
        <f t="shared" si="167"/>
        <v>299033.10432</v>
      </c>
      <c r="V136" s="467">
        <f t="shared" si="168"/>
        <v>859033.10432</v>
      </c>
      <c r="W136" s="474">
        <v>12</v>
      </c>
      <c r="X136" s="467">
        <f t="shared" si="169"/>
        <v>71586.0920266667</v>
      </c>
      <c r="Y136" s="470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290</v>
      </c>
      <c r="C137" s="467">
        <v>514993.583333333</v>
      </c>
      <c r="D137" s="466">
        <v>12</v>
      </c>
      <c r="E137" s="467">
        <f t="shared" si="156"/>
        <v>6179923</v>
      </c>
      <c r="F137" s="467"/>
      <c r="G137" s="468">
        <v>436793.839999999</v>
      </c>
      <c r="H137" s="470"/>
      <c r="I137" s="467">
        <f t="shared" si="157"/>
        <v>5743129.16</v>
      </c>
      <c r="J137" s="467">
        <v>200000</v>
      </c>
      <c r="K137" s="467">
        <v>0.2</v>
      </c>
      <c r="L137" s="467">
        <f t="shared" si="158"/>
        <v>1148625.832</v>
      </c>
      <c r="M137" s="467">
        <f t="shared" si="159"/>
        <v>1348625.832</v>
      </c>
      <c r="N137" s="467">
        <f t="shared" si="160"/>
        <v>1785419.672</v>
      </c>
      <c r="O137" s="467">
        <f t="shared" si="161"/>
        <v>4394503.328</v>
      </c>
      <c r="P137" s="467">
        <f t="shared" si="162"/>
        <v>21000</v>
      </c>
      <c r="Q137" s="467">
        <f t="shared" si="163"/>
        <v>33000</v>
      </c>
      <c r="R137" s="467">
        <f t="shared" si="164"/>
        <v>75000</v>
      </c>
      <c r="S137" s="467">
        <f t="shared" si="165"/>
        <v>95000</v>
      </c>
      <c r="T137" s="467">
        <f t="shared" si="166"/>
        <v>336000</v>
      </c>
      <c r="U137" s="467">
        <f t="shared" si="167"/>
        <v>286680.798719999</v>
      </c>
      <c r="V137" s="467">
        <f t="shared" si="168"/>
        <v>846680.798719999</v>
      </c>
      <c r="W137" s="474">
        <v>12</v>
      </c>
      <c r="X137" s="467">
        <f t="shared" si="169"/>
        <v>70556.7332266666</v>
      </c>
      <c r="Y137" s="470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292</v>
      </c>
      <c r="C138" s="467">
        <v>501159</v>
      </c>
      <c r="D138" s="466">
        <v>12</v>
      </c>
      <c r="E138" s="467">
        <f t="shared" si="156"/>
        <v>6013908</v>
      </c>
      <c r="F138" s="467"/>
      <c r="G138" s="468">
        <v>423512.64</v>
      </c>
      <c r="H138" s="470"/>
      <c r="I138" s="467">
        <f t="shared" si="157"/>
        <v>5590395.36</v>
      </c>
      <c r="J138" s="467">
        <v>200000</v>
      </c>
      <c r="K138" s="467">
        <v>0.2</v>
      </c>
      <c r="L138" s="467">
        <f t="shared" si="158"/>
        <v>1118079.072</v>
      </c>
      <c r="M138" s="467">
        <f t="shared" si="159"/>
        <v>1318079.072</v>
      </c>
      <c r="N138" s="467">
        <f t="shared" si="160"/>
        <v>1741591.712</v>
      </c>
      <c r="O138" s="467">
        <f t="shared" si="161"/>
        <v>4272316.288</v>
      </c>
      <c r="P138" s="467">
        <f t="shared" si="162"/>
        <v>21000</v>
      </c>
      <c r="Q138" s="467">
        <f t="shared" si="163"/>
        <v>33000</v>
      </c>
      <c r="R138" s="467">
        <f t="shared" si="164"/>
        <v>75000</v>
      </c>
      <c r="S138" s="467">
        <f t="shared" si="165"/>
        <v>95000</v>
      </c>
      <c r="T138" s="467">
        <f t="shared" si="166"/>
        <v>336000</v>
      </c>
      <c r="U138" s="467">
        <f t="shared" si="167"/>
        <v>257355.90912</v>
      </c>
      <c r="V138" s="467">
        <f t="shared" si="168"/>
        <v>817355.90912</v>
      </c>
      <c r="W138" s="474">
        <v>12</v>
      </c>
      <c r="X138" s="467">
        <f t="shared" si="169"/>
        <v>68112.9924266667</v>
      </c>
      <c r="Y138" s="470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293</v>
      </c>
      <c r="C139" s="467">
        <v>501159</v>
      </c>
      <c r="D139" s="466">
        <v>12</v>
      </c>
      <c r="E139" s="467">
        <f t="shared" si="156"/>
        <v>6013908</v>
      </c>
      <c r="F139" s="467">
        <v>83469.375</v>
      </c>
      <c r="G139" s="468">
        <v>423512.64</v>
      </c>
      <c r="H139" s="470"/>
      <c r="I139" s="467">
        <f t="shared" si="157"/>
        <v>5506925.985</v>
      </c>
      <c r="J139" s="467">
        <v>200000</v>
      </c>
      <c r="K139" s="467">
        <v>0.2</v>
      </c>
      <c r="L139" s="467">
        <f t="shared" si="158"/>
        <v>1101385.197</v>
      </c>
      <c r="M139" s="467">
        <f t="shared" si="159"/>
        <v>1301385.197</v>
      </c>
      <c r="N139" s="467">
        <f t="shared" si="160"/>
        <v>1808367.212</v>
      </c>
      <c r="O139" s="467">
        <f t="shared" si="161"/>
        <v>4205540.788</v>
      </c>
      <c r="P139" s="467">
        <f t="shared" si="162"/>
        <v>21000</v>
      </c>
      <c r="Q139" s="467">
        <f t="shared" si="163"/>
        <v>33000</v>
      </c>
      <c r="R139" s="467">
        <f t="shared" si="164"/>
        <v>75000</v>
      </c>
      <c r="S139" s="467">
        <f t="shared" si="165"/>
        <v>95000</v>
      </c>
      <c r="T139" s="467">
        <f t="shared" si="166"/>
        <v>336000</v>
      </c>
      <c r="U139" s="467">
        <f t="shared" si="167"/>
        <v>241329.78912</v>
      </c>
      <c r="V139" s="467">
        <f t="shared" si="168"/>
        <v>801329.78912</v>
      </c>
      <c r="W139" s="474">
        <v>12</v>
      </c>
      <c r="X139" s="467">
        <f t="shared" si="169"/>
        <v>66777.4824266667</v>
      </c>
      <c r="Y139" s="470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295</v>
      </c>
      <c r="C140" s="467">
        <v>514993.583333333</v>
      </c>
      <c r="D140" s="466">
        <v>12</v>
      </c>
      <c r="E140" s="467">
        <f t="shared" si="156"/>
        <v>6179923</v>
      </c>
      <c r="F140" s="467"/>
      <c r="G140" s="468">
        <v>436793.839999999</v>
      </c>
      <c r="H140" s="470"/>
      <c r="I140" s="467">
        <f t="shared" si="157"/>
        <v>5743129.16</v>
      </c>
      <c r="J140" s="467">
        <v>200000</v>
      </c>
      <c r="K140" s="467">
        <v>0.2</v>
      </c>
      <c r="L140" s="467">
        <f t="shared" si="158"/>
        <v>1148625.832</v>
      </c>
      <c r="M140" s="467">
        <f t="shared" si="159"/>
        <v>1348625.832</v>
      </c>
      <c r="N140" s="467">
        <f t="shared" si="160"/>
        <v>1785419.672</v>
      </c>
      <c r="O140" s="467">
        <f t="shared" si="161"/>
        <v>4394503.328</v>
      </c>
      <c r="P140" s="467">
        <f t="shared" si="162"/>
        <v>21000</v>
      </c>
      <c r="Q140" s="467">
        <f t="shared" si="163"/>
        <v>33000</v>
      </c>
      <c r="R140" s="467">
        <f t="shared" si="164"/>
        <v>75000</v>
      </c>
      <c r="S140" s="467">
        <f t="shared" si="165"/>
        <v>95000</v>
      </c>
      <c r="T140" s="467">
        <f t="shared" si="166"/>
        <v>336000</v>
      </c>
      <c r="U140" s="467">
        <f t="shared" si="167"/>
        <v>286680.798719999</v>
      </c>
      <c r="V140" s="467">
        <f t="shared" si="168"/>
        <v>846680.798719999</v>
      </c>
      <c r="W140" s="474">
        <v>12</v>
      </c>
      <c r="X140" s="467">
        <f t="shared" si="169"/>
        <v>70556.7332266666</v>
      </c>
      <c r="Y140" s="470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296</v>
      </c>
      <c r="C141" s="467">
        <v>450135.833333334</v>
      </c>
      <c r="D141" s="466">
        <v>12</v>
      </c>
      <c r="E141" s="467">
        <f t="shared" si="156"/>
        <v>5401630.00000001</v>
      </c>
      <c r="F141" s="467"/>
      <c r="G141" s="468">
        <v>374530.4</v>
      </c>
      <c r="H141" s="470"/>
      <c r="I141" s="467">
        <f t="shared" si="157"/>
        <v>5027099.60000001</v>
      </c>
      <c r="J141" s="467">
        <v>200000</v>
      </c>
      <c r="K141" s="467">
        <v>0.2</v>
      </c>
      <c r="L141" s="467">
        <f t="shared" si="158"/>
        <v>1005419.92</v>
      </c>
      <c r="M141" s="467">
        <f t="shared" si="159"/>
        <v>1205419.92</v>
      </c>
      <c r="N141" s="467">
        <f t="shared" si="160"/>
        <v>1579950.32</v>
      </c>
      <c r="O141" s="467">
        <f t="shared" si="161"/>
        <v>3821679.68000001</v>
      </c>
      <c r="P141" s="467">
        <f t="shared" si="162"/>
        <v>21000</v>
      </c>
      <c r="Q141" s="467">
        <f t="shared" si="163"/>
        <v>33000</v>
      </c>
      <c r="R141" s="467">
        <f t="shared" si="164"/>
        <v>75000</v>
      </c>
      <c r="S141" s="467">
        <f t="shared" si="165"/>
        <v>95000</v>
      </c>
      <c r="T141" s="467">
        <f t="shared" si="166"/>
        <v>336000</v>
      </c>
      <c r="U141" s="467">
        <f t="shared" ref="U141:U149" si="172">0.24*(O141-3200000)</f>
        <v>149203.123200002</v>
      </c>
      <c r="V141" s="467">
        <f t="shared" si="168"/>
        <v>709203.123200002</v>
      </c>
      <c r="W141" s="474">
        <v>12</v>
      </c>
      <c r="X141" s="467">
        <f t="shared" si="169"/>
        <v>59100.2602666668</v>
      </c>
      <c r="Y141" s="470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298</v>
      </c>
      <c r="C142" s="467">
        <v>407016.166666666</v>
      </c>
      <c r="D142" s="466">
        <v>12</v>
      </c>
      <c r="E142" s="467">
        <f t="shared" si="156"/>
        <v>4884193.99999999</v>
      </c>
      <c r="F142" s="467"/>
      <c r="G142" s="468">
        <v>333135.52</v>
      </c>
      <c r="H142" s="470"/>
      <c r="I142" s="467">
        <f t="shared" si="157"/>
        <v>4551058.47999999</v>
      </c>
      <c r="J142" s="467">
        <v>200000</v>
      </c>
      <c r="K142" s="467">
        <v>0.2</v>
      </c>
      <c r="L142" s="467">
        <f t="shared" si="158"/>
        <v>910211.695999998</v>
      </c>
      <c r="M142" s="467">
        <f t="shared" si="159"/>
        <v>1110211.696</v>
      </c>
      <c r="N142" s="467">
        <f t="shared" si="160"/>
        <v>1443347.216</v>
      </c>
      <c r="O142" s="467">
        <f t="shared" si="161"/>
        <v>3440846.78399999</v>
      </c>
      <c r="P142" s="467">
        <f t="shared" si="162"/>
        <v>21000</v>
      </c>
      <c r="Q142" s="467">
        <f t="shared" si="163"/>
        <v>33000</v>
      </c>
      <c r="R142" s="467">
        <f t="shared" si="164"/>
        <v>75000</v>
      </c>
      <c r="S142" s="467">
        <f t="shared" si="165"/>
        <v>95000</v>
      </c>
      <c r="T142" s="467">
        <f t="shared" si="166"/>
        <v>336000</v>
      </c>
      <c r="U142" s="467">
        <f t="shared" si="172"/>
        <v>57803.2281599984</v>
      </c>
      <c r="V142" s="467">
        <f t="shared" si="168"/>
        <v>617803.228159998</v>
      </c>
      <c r="W142" s="474">
        <v>12</v>
      </c>
      <c r="X142" s="467">
        <f t="shared" si="169"/>
        <v>51483.6023466665</v>
      </c>
      <c r="Y142" s="470"/>
      <c r="Z142" s="929">
        <f t="shared" si="170"/>
        <v>51483.6023466665</v>
      </c>
      <c r="AA142" s="806">
        <v>37921.5005866667</v>
      </c>
      <c r="AB142" s="806">
        <f t="shared" si="171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300</v>
      </c>
      <c r="C143" s="467">
        <v>459131.166666667</v>
      </c>
      <c r="D143" s="466">
        <v>12</v>
      </c>
      <c r="E143" s="467">
        <f t="shared" si="156"/>
        <v>5509574</v>
      </c>
      <c r="F143" s="467"/>
      <c r="G143" s="468">
        <v>438302.16</v>
      </c>
      <c r="H143" s="470"/>
      <c r="I143" s="467">
        <f t="shared" si="157"/>
        <v>5071271.84</v>
      </c>
      <c r="J143" s="467">
        <v>200000</v>
      </c>
      <c r="K143" s="467">
        <v>0.2</v>
      </c>
      <c r="L143" s="467">
        <f t="shared" si="158"/>
        <v>1014254.368</v>
      </c>
      <c r="M143" s="467">
        <f t="shared" si="159"/>
        <v>1214254.368</v>
      </c>
      <c r="N143" s="467">
        <f t="shared" si="160"/>
        <v>1652556.528</v>
      </c>
      <c r="O143" s="467">
        <f t="shared" si="161"/>
        <v>3857017.472</v>
      </c>
      <c r="P143" s="467">
        <f t="shared" si="162"/>
        <v>21000</v>
      </c>
      <c r="Q143" s="467">
        <f t="shared" si="163"/>
        <v>33000</v>
      </c>
      <c r="R143" s="467">
        <f t="shared" si="164"/>
        <v>75000</v>
      </c>
      <c r="S143" s="467">
        <f t="shared" si="165"/>
        <v>95000</v>
      </c>
      <c r="T143" s="467">
        <f t="shared" si="166"/>
        <v>336000</v>
      </c>
      <c r="U143" s="467">
        <f t="shared" si="172"/>
        <v>157684.19328</v>
      </c>
      <c r="V143" s="467">
        <f t="shared" si="168"/>
        <v>717684.19328</v>
      </c>
      <c r="W143" s="474">
        <v>12</v>
      </c>
      <c r="X143" s="467">
        <f t="shared" si="169"/>
        <v>59807.0161066667</v>
      </c>
      <c r="Y143" s="470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9"/>
      <c r="AD143" s="479"/>
      <c r="AE143" s="479"/>
    </row>
    <row r="144" ht="15.5" spans="1:31">
      <c r="A144" s="464">
        <v>128</v>
      </c>
      <c r="B144" s="643" t="s">
        <v>303</v>
      </c>
      <c r="C144" s="467">
        <v>415320.666666667</v>
      </c>
      <c r="D144" s="466">
        <v>12</v>
      </c>
      <c r="E144" s="467">
        <f t="shared" si="156"/>
        <v>4983848</v>
      </c>
      <c r="F144" s="467"/>
      <c r="G144" s="468">
        <v>341107.840000001</v>
      </c>
      <c r="H144" s="470"/>
      <c r="I144" s="467">
        <f t="shared" si="157"/>
        <v>4642740.16</v>
      </c>
      <c r="J144" s="467">
        <v>200000</v>
      </c>
      <c r="K144" s="467">
        <v>0.2</v>
      </c>
      <c r="L144" s="467">
        <f t="shared" si="158"/>
        <v>928548.032000001</v>
      </c>
      <c r="M144" s="467">
        <f t="shared" si="159"/>
        <v>1128548.032</v>
      </c>
      <c r="N144" s="467">
        <f t="shared" si="160"/>
        <v>1469655.872</v>
      </c>
      <c r="O144" s="467">
        <f t="shared" si="161"/>
        <v>3514192.128</v>
      </c>
      <c r="P144" s="467">
        <f t="shared" si="162"/>
        <v>21000</v>
      </c>
      <c r="Q144" s="467">
        <f t="shared" si="163"/>
        <v>33000</v>
      </c>
      <c r="R144" s="467">
        <f t="shared" si="164"/>
        <v>75000</v>
      </c>
      <c r="S144" s="467">
        <f t="shared" si="165"/>
        <v>95000</v>
      </c>
      <c r="T144" s="467">
        <f t="shared" si="166"/>
        <v>336000</v>
      </c>
      <c r="U144" s="467">
        <f t="shared" si="172"/>
        <v>75406.1107200006</v>
      </c>
      <c r="V144" s="467">
        <f t="shared" si="168"/>
        <v>635406.110720001</v>
      </c>
      <c r="W144" s="474">
        <v>12</v>
      </c>
      <c r="X144" s="467">
        <f t="shared" si="169"/>
        <v>52950.5092266667</v>
      </c>
      <c r="Y144" s="470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305</v>
      </c>
      <c r="C145" s="467">
        <v>459131.166666667</v>
      </c>
      <c r="D145" s="466">
        <v>12</v>
      </c>
      <c r="E145" s="467">
        <f t="shared" si="156"/>
        <v>5509574</v>
      </c>
      <c r="F145" s="467">
        <v>92670.45</v>
      </c>
      <c r="G145" s="468">
        <v>438302.16</v>
      </c>
      <c r="H145" s="470"/>
      <c r="I145" s="467">
        <f t="shared" si="157"/>
        <v>4978601.39</v>
      </c>
      <c r="J145" s="467">
        <v>200000</v>
      </c>
      <c r="K145" s="467">
        <v>0.2</v>
      </c>
      <c r="L145" s="467">
        <f t="shared" si="158"/>
        <v>995720.278</v>
      </c>
      <c r="M145" s="467">
        <f t="shared" si="159"/>
        <v>1195720.278</v>
      </c>
      <c r="N145" s="467">
        <f t="shared" si="160"/>
        <v>1726692.888</v>
      </c>
      <c r="O145" s="467">
        <f t="shared" si="161"/>
        <v>3782881.112</v>
      </c>
      <c r="P145" s="467">
        <f t="shared" si="162"/>
        <v>21000</v>
      </c>
      <c r="Q145" s="467">
        <f t="shared" si="163"/>
        <v>33000</v>
      </c>
      <c r="R145" s="467">
        <f t="shared" si="164"/>
        <v>75000</v>
      </c>
      <c r="S145" s="467">
        <f t="shared" si="165"/>
        <v>95000</v>
      </c>
      <c r="T145" s="467">
        <f t="shared" si="166"/>
        <v>336000</v>
      </c>
      <c r="U145" s="467">
        <f t="shared" si="172"/>
        <v>139891.46688</v>
      </c>
      <c r="V145" s="467">
        <f t="shared" si="168"/>
        <v>699891.46688</v>
      </c>
      <c r="W145" s="474">
        <v>12</v>
      </c>
      <c r="X145" s="467">
        <f t="shared" si="169"/>
        <v>58324.2889066667</v>
      </c>
      <c r="Y145" s="470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9"/>
      <c r="AD145" s="479"/>
      <c r="AE145" s="479"/>
    </row>
    <row r="146" ht="15.5" spans="1:31">
      <c r="A146" s="464">
        <v>130</v>
      </c>
      <c r="B146" s="643" t="s">
        <v>307</v>
      </c>
      <c r="C146" s="467">
        <v>415320.666666667</v>
      </c>
      <c r="D146" s="466">
        <v>12</v>
      </c>
      <c r="E146" s="467">
        <f t="shared" si="156"/>
        <v>4983848</v>
      </c>
      <c r="F146" s="467"/>
      <c r="G146" s="468">
        <v>341107.840000001</v>
      </c>
      <c r="H146" s="470"/>
      <c r="I146" s="467">
        <f t="shared" si="157"/>
        <v>4642740.16</v>
      </c>
      <c r="J146" s="467">
        <v>200000</v>
      </c>
      <c r="K146" s="467">
        <v>0.2</v>
      </c>
      <c r="L146" s="467">
        <f t="shared" si="158"/>
        <v>928548.032000001</v>
      </c>
      <c r="M146" s="467">
        <f t="shared" si="159"/>
        <v>1128548.032</v>
      </c>
      <c r="N146" s="467">
        <f t="shared" si="160"/>
        <v>1469655.872</v>
      </c>
      <c r="O146" s="467">
        <f t="shared" si="161"/>
        <v>3514192.128</v>
      </c>
      <c r="P146" s="467">
        <f t="shared" si="162"/>
        <v>21000</v>
      </c>
      <c r="Q146" s="467">
        <f t="shared" si="163"/>
        <v>33000</v>
      </c>
      <c r="R146" s="467">
        <f t="shared" si="164"/>
        <v>75000</v>
      </c>
      <c r="S146" s="467">
        <f t="shared" si="165"/>
        <v>95000</v>
      </c>
      <c r="T146" s="467">
        <f t="shared" si="166"/>
        <v>336000</v>
      </c>
      <c r="U146" s="467">
        <f t="shared" si="172"/>
        <v>75406.1107200006</v>
      </c>
      <c r="V146" s="467">
        <f t="shared" si="168"/>
        <v>635406.110720001</v>
      </c>
      <c r="W146" s="474">
        <v>12</v>
      </c>
      <c r="X146" s="467">
        <f t="shared" si="169"/>
        <v>52950.5092266667</v>
      </c>
      <c r="Y146" s="470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309</v>
      </c>
      <c r="C147" s="467">
        <v>398711.666666667</v>
      </c>
      <c r="D147" s="466">
        <v>12</v>
      </c>
      <c r="E147" s="467">
        <f t="shared" si="156"/>
        <v>4784540</v>
      </c>
      <c r="F147" s="467"/>
      <c r="G147" s="468">
        <v>325163.200000001</v>
      </c>
      <c r="H147" s="470"/>
      <c r="I147" s="467">
        <f t="shared" si="157"/>
        <v>4459376.8</v>
      </c>
      <c r="J147" s="467">
        <v>200000</v>
      </c>
      <c r="K147" s="467">
        <v>0.2</v>
      </c>
      <c r="L147" s="467">
        <f t="shared" si="158"/>
        <v>891875.360000001</v>
      </c>
      <c r="M147" s="467">
        <f t="shared" si="159"/>
        <v>1091875.36</v>
      </c>
      <c r="N147" s="467">
        <f t="shared" si="160"/>
        <v>1417038.56</v>
      </c>
      <c r="O147" s="467">
        <f t="shared" si="161"/>
        <v>3367501.44</v>
      </c>
      <c r="P147" s="467">
        <f t="shared" si="162"/>
        <v>21000</v>
      </c>
      <c r="Q147" s="467">
        <f t="shared" si="163"/>
        <v>33000</v>
      </c>
      <c r="R147" s="467">
        <f t="shared" si="164"/>
        <v>75000</v>
      </c>
      <c r="S147" s="467">
        <f t="shared" si="165"/>
        <v>95000</v>
      </c>
      <c r="T147" s="467">
        <f t="shared" si="166"/>
        <v>336000</v>
      </c>
      <c r="U147" s="467">
        <f t="shared" si="172"/>
        <v>40200.3456000005</v>
      </c>
      <c r="V147" s="467">
        <f t="shared" si="168"/>
        <v>600200.345600001</v>
      </c>
      <c r="W147" s="474">
        <v>12</v>
      </c>
      <c r="X147" s="467">
        <f t="shared" si="169"/>
        <v>50016.6954666667</v>
      </c>
      <c r="Y147" s="470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311</v>
      </c>
      <c r="C148" s="467">
        <v>398711.666666667</v>
      </c>
      <c r="D148" s="466">
        <v>12</v>
      </c>
      <c r="E148" s="467">
        <f t="shared" si="156"/>
        <v>4784540</v>
      </c>
      <c r="F148" s="467"/>
      <c r="G148" s="468">
        <v>325163.200000001</v>
      </c>
      <c r="H148" s="470"/>
      <c r="I148" s="467">
        <f t="shared" si="157"/>
        <v>4459376.8</v>
      </c>
      <c r="J148" s="467">
        <v>200000</v>
      </c>
      <c r="K148" s="467">
        <v>0.2</v>
      </c>
      <c r="L148" s="467">
        <f t="shared" si="158"/>
        <v>891875.360000001</v>
      </c>
      <c r="M148" s="467">
        <f t="shared" si="159"/>
        <v>1091875.36</v>
      </c>
      <c r="N148" s="467">
        <f t="shared" si="160"/>
        <v>1417038.56</v>
      </c>
      <c r="O148" s="467">
        <f t="shared" si="161"/>
        <v>3367501.44</v>
      </c>
      <c r="P148" s="467">
        <f t="shared" si="162"/>
        <v>21000</v>
      </c>
      <c r="Q148" s="467">
        <f t="shared" si="163"/>
        <v>33000</v>
      </c>
      <c r="R148" s="467">
        <f t="shared" si="164"/>
        <v>75000</v>
      </c>
      <c r="S148" s="467">
        <f t="shared" si="165"/>
        <v>95000</v>
      </c>
      <c r="T148" s="467">
        <f t="shared" si="166"/>
        <v>336000</v>
      </c>
      <c r="U148" s="467">
        <f t="shared" si="172"/>
        <v>40200.3456000005</v>
      </c>
      <c r="V148" s="467">
        <f t="shared" si="168"/>
        <v>600200.345600001</v>
      </c>
      <c r="W148" s="474">
        <v>12</v>
      </c>
      <c r="X148" s="467">
        <f t="shared" si="169"/>
        <v>50016.6954666667</v>
      </c>
      <c r="Y148" s="470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314</v>
      </c>
      <c r="C149" s="467">
        <v>351910.75</v>
      </c>
      <c r="D149" s="466">
        <v>12</v>
      </c>
      <c r="E149" s="467">
        <f t="shared" si="156"/>
        <v>4222929</v>
      </c>
      <c r="F149" s="467"/>
      <c r="G149" s="468">
        <v>289834.32</v>
      </c>
      <c r="H149" s="470"/>
      <c r="I149" s="467">
        <f t="shared" si="157"/>
        <v>3933094.68</v>
      </c>
      <c r="J149" s="467">
        <v>200000</v>
      </c>
      <c r="K149" s="467">
        <v>0.2</v>
      </c>
      <c r="L149" s="467">
        <f t="shared" si="158"/>
        <v>786618.936</v>
      </c>
      <c r="M149" s="467">
        <f t="shared" si="159"/>
        <v>986618.936</v>
      </c>
      <c r="N149" s="467">
        <f t="shared" si="160"/>
        <v>1276453.256</v>
      </c>
      <c r="O149" s="467">
        <f t="shared" si="161"/>
        <v>2946475.744</v>
      </c>
      <c r="P149" s="467">
        <f t="shared" si="162"/>
        <v>21000</v>
      </c>
      <c r="Q149" s="467">
        <f t="shared" si="163"/>
        <v>33000</v>
      </c>
      <c r="R149" s="467">
        <f t="shared" si="164"/>
        <v>75000</v>
      </c>
      <c r="S149" s="467">
        <f t="shared" si="165"/>
        <v>95000</v>
      </c>
      <c r="T149" s="467">
        <f t="shared" si="166"/>
        <v>282759.90624</v>
      </c>
      <c r="U149" s="467"/>
      <c r="V149" s="467">
        <f t="shared" si="168"/>
        <v>506759.90624</v>
      </c>
      <c r="W149" s="474">
        <v>12</v>
      </c>
      <c r="X149" s="467">
        <f t="shared" si="169"/>
        <v>42229.9921866667</v>
      </c>
      <c r="Y149" s="470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316</v>
      </c>
      <c r="C150" s="467">
        <v>351910.75</v>
      </c>
      <c r="D150" s="466">
        <v>12</v>
      </c>
      <c r="E150" s="467">
        <f t="shared" si="156"/>
        <v>4222929</v>
      </c>
      <c r="F150" s="467"/>
      <c r="G150" s="468">
        <v>289834.32</v>
      </c>
      <c r="H150" s="470"/>
      <c r="I150" s="467">
        <f t="shared" si="157"/>
        <v>3933094.68</v>
      </c>
      <c r="J150" s="467">
        <v>200000</v>
      </c>
      <c r="K150" s="467">
        <v>0.2</v>
      </c>
      <c r="L150" s="467">
        <f t="shared" si="158"/>
        <v>786618.936</v>
      </c>
      <c r="M150" s="467">
        <f t="shared" si="159"/>
        <v>986618.936</v>
      </c>
      <c r="N150" s="467">
        <f t="shared" si="160"/>
        <v>1276453.256</v>
      </c>
      <c r="O150" s="467">
        <f t="shared" si="161"/>
        <v>2946475.744</v>
      </c>
      <c r="P150" s="467">
        <f t="shared" si="162"/>
        <v>21000</v>
      </c>
      <c r="Q150" s="467">
        <f t="shared" si="163"/>
        <v>33000</v>
      </c>
      <c r="R150" s="467">
        <f t="shared" si="164"/>
        <v>75000</v>
      </c>
      <c r="S150" s="467">
        <f t="shared" si="165"/>
        <v>95000</v>
      </c>
      <c r="T150" s="467">
        <f t="shared" si="166"/>
        <v>282759.90624</v>
      </c>
      <c r="U150" s="467"/>
      <c r="V150" s="467">
        <f t="shared" si="168"/>
        <v>506759.90624</v>
      </c>
      <c r="W150" s="474">
        <v>12</v>
      </c>
      <c r="X150" s="467">
        <f t="shared" si="169"/>
        <v>42229.9921866667</v>
      </c>
      <c r="Y150" s="470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318</v>
      </c>
      <c r="C151" s="467">
        <v>351910.75</v>
      </c>
      <c r="D151" s="466">
        <v>12</v>
      </c>
      <c r="E151" s="467">
        <f t="shared" si="156"/>
        <v>4222929</v>
      </c>
      <c r="F151" s="467"/>
      <c r="G151" s="468">
        <v>289834.32</v>
      </c>
      <c r="H151" s="470"/>
      <c r="I151" s="467">
        <f t="shared" si="157"/>
        <v>3933094.68</v>
      </c>
      <c r="J151" s="467">
        <v>200000</v>
      </c>
      <c r="K151" s="467">
        <v>0.2</v>
      </c>
      <c r="L151" s="467">
        <f t="shared" si="158"/>
        <v>786618.936</v>
      </c>
      <c r="M151" s="467">
        <f t="shared" si="159"/>
        <v>986618.936</v>
      </c>
      <c r="N151" s="467">
        <f t="shared" si="160"/>
        <v>1276453.256</v>
      </c>
      <c r="O151" s="467">
        <f t="shared" si="161"/>
        <v>2946475.744</v>
      </c>
      <c r="P151" s="467">
        <f t="shared" si="162"/>
        <v>21000</v>
      </c>
      <c r="Q151" s="467">
        <f t="shared" si="163"/>
        <v>33000</v>
      </c>
      <c r="R151" s="467">
        <f t="shared" si="164"/>
        <v>75000</v>
      </c>
      <c r="S151" s="467">
        <f t="shared" si="165"/>
        <v>95000</v>
      </c>
      <c r="T151" s="467">
        <f t="shared" si="166"/>
        <v>282759.90624</v>
      </c>
      <c r="U151" s="467"/>
      <c r="V151" s="467">
        <f t="shared" si="168"/>
        <v>506759.90624</v>
      </c>
      <c r="W151" s="474">
        <v>12</v>
      </c>
      <c r="X151" s="467">
        <f t="shared" si="169"/>
        <v>42229.9921866667</v>
      </c>
      <c r="Y151" s="470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320</v>
      </c>
      <c r="C152" s="467">
        <v>358920.666666667</v>
      </c>
      <c r="D152" s="466">
        <v>12</v>
      </c>
      <c r="E152" s="467">
        <f t="shared" si="156"/>
        <v>4307048</v>
      </c>
      <c r="F152" s="467"/>
      <c r="G152" s="468">
        <v>296563.840000001</v>
      </c>
      <c r="H152" s="470"/>
      <c r="I152" s="467">
        <f t="shared" si="157"/>
        <v>4010484.16</v>
      </c>
      <c r="J152" s="467">
        <v>200000</v>
      </c>
      <c r="K152" s="467">
        <v>0.2</v>
      </c>
      <c r="L152" s="467">
        <f t="shared" si="158"/>
        <v>802096.832000001</v>
      </c>
      <c r="M152" s="467">
        <f t="shared" si="159"/>
        <v>1002096.832</v>
      </c>
      <c r="N152" s="467">
        <f t="shared" si="160"/>
        <v>1298660.672</v>
      </c>
      <c r="O152" s="467">
        <f t="shared" si="161"/>
        <v>3008387.328</v>
      </c>
      <c r="P152" s="467">
        <f t="shared" si="162"/>
        <v>21000</v>
      </c>
      <c r="Q152" s="467">
        <f t="shared" si="163"/>
        <v>33000</v>
      </c>
      <c r="R152" s="467">
        <f t="shared" si="164"/>
        <v>75000</v>
      </c>
      <c r="S152" s="467">
        <f t="shared" si="165"/>
        <v>95000</v>
      </c>
      <c r="T152" s="467">
        <f t="shared" si="166"/>
        <v>295761.33888</v>
      </c>
      <c r="U152" s="467"/>
      <c r="V152" s="467">
        <f t="shared" si="168"/>
        <v>519761.33888</v>
      </c>
      <c r="W152" s="474">
        <v>12</v>
      </c>
      <c r="X152" s="467">
        <f t="shared" si="169"/>
        <v>43313.4449066667</v>
      </c>
      <c r="Y152" s="470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322</v>
      </c>
      <c r="C153" s="467">
        <v>351910.75</v>
      </c>
      <c r="D153" s="466">
        <v>12</v>
      </c>
      <c r="E153" s="467">
        <f t="shared" si="156"/>
        <v>4222929</v>
      </c>
      <c r="F153" s="467"/>
      <c r="G153" s="468">
        <v>289834.32</v>
      </c>
      <c r="H153" s="470"/>
      <c r="I153" s="467">
        <f t="shared" si="157"/>
        <v>3933094.68</v>
      </c>
      <c r="J153" s="467">
        <v>200000</v>
      </c>
      <c r="K153" s="467">
        <v>0.2</v>
      </c>
      <c r="L153" s="467">
        <f t="shared" si="158"/>
        <v>786618.936</v>
      </c>
      <c r="M153" s="467">
        <f t="shared" si="159"/>
        <v>986618.936</v>
      </c>
      <c r="N153" s="467">
        <f t="shared" si="160"/>
        <v>1276453.256</v>
      </c>
      <c r="O153" s="467">
        <f t="shared" si="161"/>
        <v>2946475.744</v>
      </c>
      <c r="P153" s="467">
        <f t="shared" si="162"/>
        <v>21000</v>
      </c>
      <c r="Q153" s="467">
        <f t="shared" si="163"/>
        <v>33000</v>
      </c>
      <c r="R153" s="467">
        <f t="shared" si="164"/>
        <v>75000</v>
      </c>
      <c r="S153" s="467">
        <f t="shared" si="165"/>
        <v>95000</v>
      </c>
      <c r="T153" s="467">
        <f t="shared" si="166"/>
        <v>282759.90624</v>
      </c>
      <c r="U153" s="467"/>
      <c r="V153" s="467">
        <f t="shared" si="168"/>
        <v>506759.90624</v>
      </c>
      <c r="W153" s="474">
        <v>12</v>
      </c>
      <c r="X153" s="467">
        <f t="shared" si="169"/>
        <v>42229.9921866667</v>
      </c>
      <c r="Y153" s="470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323</v>
      </c>
      <c r="C154" s="467">
        <v>344900.833333334</v>
      </c>
      <c r="D154" s="466">
        <v>12</v>
      </c>
      <c r="E154" s="467">
        <f t="shared" si="156"/>
        <v>4138810.00000001</v>
      </c>
      <c r="F154" s="467"/>
      <c r="G154" s="468">
        <v>283104.8</v>
      </c>
      <c r="H154" s="470"/>
      <c r="I154" s="467">
        <f t="shared" si="157"/>
        <v>3855705.20000001</v>
      </c>
      <c r="J154" s="467">
        <v>200000</v>
      </c>
      <c r="K154" s="467">
        <v>0.2</v>
      </c>
      <c r="L154" s="467">
        <f t="shared" si="158"/>
        <v>771141.040000002</v>
      </c>
      <c r="M154" s="467">
        <f t="shared" si="159"/>
        <v>971141.040000002</v>
      </c>
      <c r="N154" s="467">
        <f t="shared" si="160"/>
        <v>1254245.84</v>
      </c>
      <c r="O154" s="467">
        <f t="shared" si="161"/>
        <v>2884564.16000001</v>
      </c>
      <c r="P154" s="467">
        <f t="shared" si="162"/>
        <v>21000</v>
      </c>
      <c r="Q154" s="467">
        <f t="shared" si="163"/>
        <v>33000</v>
      </c>
      <c r="R154" s="467">
        <f t="shared" si="164"/>
        <v>75000</v>
      </c>
      <c r="S154" s="467">
        <f t="shared" si="165"/>
        <v>95000</v>
      </c>
      <c r="T154" s="467">
        <f t="shared" si="166"/>
        <v>269758.473600001</v>
      </c>
      <c r="U154" s="467"/>
      <c r="V154" s="467">
        <f t="shared" si="168"/>
        <v>493758.473600001</v>
      </c>
      <c r="W154" s="474">
        <v>12</v>
      </c>
      <c r="X154" s="467">
        <f t="shared" si="169"/>
        <v>41146.5394666668</v>
      </c>
      <c r="Y154" s="470"/>
      <c r="Z154" s="929">
        <f t="shared" si="170"/>
        <v>41146.5394666668</v>
      </c>
      <c r="AA154" s="806">
        <v>29305.1955466666</v>
      </c>
      <c r="AB154" s="806">
        <f t="shared" si="171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325</v>
      </c>
      <c r="C155" s="467">
        <v>344900.833333334</v>
      </c>
      <c r="D155" s="466">
        <v>12</v>
      </c>
      <c r="E155" s="467">
        <f t="shared" si="156"/>
        <v>4138810.00000001</v>
      </c>
      <c r="F155" s="467"/>
      <c r="G155" s="468">
        <v>283104.8</v>
      </c>
      <c r="H155" s="470"/>
      <c r="I155" s="467">
        <f t="shared" si="157"/>
        <v>3855705.20000001</v>
      </c>
      <c r="J155" s="467">
        <v>200000</v>
      </c>
      <c r="K155" s="467">
        <v>0.2</v>
      </c>
      <c r="L155" s="467">
        <f t="shared" si="158"/>
        <v>771141.040000002</v>
      </c>
      <c r="M155" s="467">
        <f t="shared" si="159"/>
        <v>971141.040000002</v>
      </c>
      <c r="N155" s="467">
        <f t="shared" si="160"/>
        <v>1254245.84</v>
      </c>
      <c r="O155" s="467">
        <f t="shared" si="161"/>
        <v>2884564.16000001</v>
      </c>
      <c r="P155" s="467">
        <f t="shared" si="162"/>
        <v>21000</v>
      </c>
      <c r="Q155" s="467">
        <f t="shared" si="163"/>
        <v>33000</v>
      </c>
      <c r="R155" s="467">
        <f t="shared" si="164"/>
        <v>75000</v>
      </c>
      <c r="S155" s="467">
        <f t="shared" si="165"/>
        <v>95000</v>
      </c>
      <c r="T155" s="467">
        <f t="shared" si="166"/>
        <v>269758.473600001</v>
      </c>
      <c r="U155" s="467"/>
      <c r="V155" s="467">
        <f t="shared" si="168"/>
        <v>493758.473600001</v>
      </c>
      <c r="W155" s="474">
        <v>12</v>
      </c>
      <c r="X155" s="467">
        <f t="shared" si="169"/>
        <v>41146.5394666668</v>
      </c>
      <c r="Y155" s="470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331</v>
      </c>
      <c r="C156" s="467">
        <v>271717.166666666</v>
      </c>
      <c r="D156" s="466">
        <v>12</v>
      </c>
      <c r="E156" s="467">
        <f t="shared" si="156"/>
        <v>3260605.99999999</v>
      </c>
      <c r="F156" s="467">
        <v>47786.5749999999</v>
      </c>
      <c r="G156" s="468">
        <v>228208.48</v>
      </c>
      <c r="H156" s="470"/>
      <c r="I156" s="467">
        <f t="shared" si="157"/>
        <v>2984610.94499999</v>
      </c>
      <c r="J156" s="467">
        <v>200000</v>
      </c>
      <c r="K156" s="467">
        <v>0.2</v>
      </c>
      <c r="L156" s="467">
        <f t="shared" si="158"/>
        <v>596922.188999998</v>
      </c>
      <c r="M156" s="467">
        <f t="shared" si="159"/>
        <v>796922.188999998</v>
      </c>
      <c r="N156" s="467">
        <f t="shared" si="160"/>
        <v>1072917.244</v>
      </c>
      <c r="O156" s="467">
        <f t="shared" si="161"/>
        <v>2187688.75599999</v>
      </c>
      <c r="P156" s="467">
        <f t="shared" si="162"/>
        <v>21000</v>
      </c>
      <c r="Q156" s="467">
        <f t="shared" si="163"/>
        <v>33000</v>
      </c>
      <c r="R156" s="467">
        <f t="shared" si="164"/>
        <v>75000</v>
      </c>
      <c r="S156" s="467">
        <f t="shared" si="165"/>
        <v>95000</v>
      </c>
      <c r="T156" s="467">
        <f t="shared" si="166"/>
        <v>123414.638759999</v>
      </c>
      <c r="U156" s="467"/>
      <c r="V156" s="467">
        <f t="shared" si="168"/>
        <v>347414.638759999</v>
      </c>
      <c r="W156" s="474">
        <v>12</v>
      </c>
      <c r="X156" s="467">
        <f t="shared" si="169"/>
        <v>28951.2198966665</v>
      </c>
      <c r="Y156" s="470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334</v>
      </c>
      <c r="C157" s="467">
        <v>274717.166666666</v>
      </c>
      <c r="D157" s="466">
        <v>12</v>
      </c>
      <c r="E157" s="467">
        <f t="shared" si="156"/>
        <v>3296605.99999999</v>
      </c>
      <c r="F157" s="467"/>
      <c r="G157" s="468">
        <v>228208.48</v>
      </c>
      <c r="H157" s="470"/>
      <c r="I157" s="467">
        <f t="shared" si="157"/>
        <v>3068397.51999999</v>
      </c>
      <c r="J157" s="467">
        <v>200000</v>
      </c>
      <c r="K157" s="467">
        <v>0.2</v>
      </c>
      <c r="L157" s="467">
        <f t="shared" si="158"/>
        <v>613679.503999998</v>
      </c>
      <c r="M157" s="467">
        <f t="shared" si="159"/>
        <v>813679.503999998</v>
      </c>
      <c r="N157" s="467">
        <f t="shared" si="160"/>
        <v>1041887.984</v>
      </c>
      <c r="O157" s="467">
        <f t="shared" si="161"/>
        <v>2254718.01599999</v>
      </c>
      <c r="P157" s="467">
        <f t="shared" si="162"/>
        <v>21000</v>
      </c>
      <c r="Q157" s="467">
        <f t="shared" si="163"/>
        <v>33000</v>
      </c>
      <c r="R157" s="467">
        <f t="shared" si="164"/>
        <v>75000</v>
      </c>
      <c r="S157" s="467">
        <f t="shared" si="165"/>
        <v>95000</v>
      </c>
      <c r="T157" s="467">
        <f t="shared" si="166"/>
        <v>137490.783359999</v>
      </c>
      <c r="U157" s="467"/>
      <c r="V157" s="467">
        <f t="shared" si="168"/>
        <v>361490.783359999</v>
      </c>
      <c r="W157" s="474">
        <v>12</v>
      </c>
      <c r="X157" s="467">
        <f t="shared" si="169"/>
        <v>30124.2319466666</v>
      </c>
      <c r="Y157" s="470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335</v>
      </c>
      <c r="C158" s="467">
        <v>271717.166666666</v>
      </c>
      <c r="D158" s="466">
        <v>12</v>
      </c>
      <c r="E158" s="467">
        <f t="shared" si="156"/>
        <v>3260605.99999999</v>
      </c>
      <c r="F158" s="467"/>
      <c r="G158" s="468">
        <v>228208.48</v>
      </c>
      <c r="H158" s="470"/>
      <c r="I158" s="467">
        <f t="shared" si="157"/>
        <v>3032397.51999999</v>
      </c>
      <c r="J158" s="467">
        <v>200000</v>
      </c>
      <c r="K158" s="467">
        <v>0.2</v>
      </c>
      <c r="L158" s="467">
        <f t="shared" si="158"/>
        <v>606479.503999998</v>
      </c>
      <c r="M158" s="467">
        <f t="shared" si="159"/>
        <v>806479.503999998</v>
      </c>
      <c r="N158" s="467">
        <f t="shared" si="160"/>
        <v>1034687.984</v>
      </c>
      <c r="O158" s="467">
        <f t="shared" si="161"/>
        <v>2225918.01599999</v>
      </c>
      <c r="P158" s="467">
        <f t="shared" si="162"/>
        <v>21000</v>
      </c>
      <c r="Q158" s="467">
        <f t="shared" si="163"/>
        <v>33000</v>
      </c>
      <c r="R158" s="467">
        <f t="shared" si="164"/>
        <v>75000</v>
      </c>
      <c r="S158" s="467">
        <f t="shared" si="165"/>
        <v>95000</v>
      </c>
      <c r="T158" s="467">
        <f t="shared" si="166"/>
        <v>131442.783359999</v>
      </c>
      <c r="U158" s="467"/>
      <c r="V158" s="467">
        <f t="shared" si="168"/>
        <v>355442.783359999</v>
      </c>
      <c r="W158" s="474">
        <v>12</v>
      </c>
      <c r="X158" s="467">
        <f t="shared" si="169"/>
        <v>29620.2319466666</v>
      </c>
      <c r="Y158" s="470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336</v>
      </c>
      <c r="C159" s="467">
        <v>271717.166666666</v>
      </c>
      <c r="D159" s="466">
        <v>12</v>
      </c>
      <c r="E159" s="467">
        <f t="shared" si="156"/>
        <v>3260605.99999999</v>
      </c>
      <c r="F159" s="467">
        <v>47786.5749999999</v>
      </c>
      <c r="G159" s="468">
        <v>228208.48</v>
      </c>
      <c r="H159" s="470"/>
      <c r="I159" s="467">
        <f t="shared" si="157"/>
        <v>2984610.94499999</v>
      </c>
      <c r="J159" s="467">
        <v>200000</v>
      </c>
      <c r="K159" s="467">
        <v>0.2</v>
      </c>
      <c r="L159" s="467">
        <f t="shared" si="158"/>
        <v>596922.188999998</v>
      </c>
      <c r="M159" s="467">
        <f t="shared" si="159"/>
        <v>796922.188999998</v>
      </c>
      <c r="N159" s="467">
        <f t="shared" si="160"/>
        <v>1072917.244</v>
      </c>
      <c r="O159" s="467">
        <f t="shared" si="161"/>
        <v>2187688.75599999</v>
      </c>
      <c r="P159" s="467">
        <f t="shared" si="162"/>
        <v>21000</v>
      </c>
      <c r="Q159" s="467">
        <f t="shared" si="163"/>
        <v>33000</v>
      </c>
      <c r="R159" s="467">
        <f t="shared" si="164"/>
        <v>75000</v>
      </c>
      <c r="S159" s="467">
        <f t="shared" si="165"/>
        <v>95000</v>
      </c>
      <c r="T159" s="467">
        <f t="shared" si="166"/>
        <v>123414.638759999</v>
      </c>
      <c r="U159" s="467"/>
      <c r="V159" s="467">
        <f t="shared" si="168"/>
        <v>347414.638759999</v>
      </c>
      <c r="W159" s="474">
        <v>12</v>
      </c>
      <c r="X159" s="467">
        <f t="shared" si="169"/>
        <v>28951.2198966665</v>
      </c>
      <c r="Y159" s="470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337</v>
      </c>
      <c r="C160" s="467">
        <v>271717.166666666</v>
      </c>
      <c r="D160" s="466">
        <v>12</v>
      </c>
      <c r="E160" s="467">
        <f t="shared" si="156"/>
        <v>3260605.99999999</v>
      </c>
      <c r="F160" s="467"/>
      <c r="G160" s="468">
        <v>228208.48</v>
      </c>
      <c r="H160" s="470"/>
      <c r="I160" s="467">
        <f t="shared" si="157"/>
        <v>3032397.51999999</v>
      </c>
      <c r="J160" s="467">
        <v>200000</v>
      </c>
      <c r="K160" s="467">
        <v>0.2</v>
      </c>
      <c r="L160" s="467">
        <f t="shared" si="158"/>
        <v>606479.503999998</v>
      </c>
      <c r="M160" s="467">
        <f t="shared" si="159"/>
        <v>806479.503999998</v>
      </c>
      <c r="N160" s="467">
        <f t="shared" si="160"/>
        <v>1034687.984</v>
      </c>
      <c r="O160" s="467">
        <f t="shared" si="161"/>
        <v>2225918.01599999</v>
      </c>
      <c r="P160" s="467">
        <f t="shared" si="162"/>
        <v>21000</v>
      </c>
      <c r="Q160" s="467">
        <f t="shared" si="163"/>
        <v>33000</v>
      </c>
      <c r="R160" s="467">
        <f t="shared" si="164"/>
        <v>75000</v>
      </c>
      <c r="S160" s="467">
        <f t="shared" si="165"/>
        <v>95000</v>
      </c>
      <c r="T160" s="467">
        <f t="shared" si="166"/>
        <v>131442.783359999</v>
      </c>
      <c r="U160" s="467"/>
      <c r="V160" s="467">
        <f t="shared" si="168"/>
        <v>355442.783359999</v>
      </c>
      <c r="W160" s="474">
        <v>12</v>
      </c>
      <c r="X160" s="467">
        <f t="shared" si="169"/>
        <v>29620.2319466666</v>
      </c>
      <c r="Y160" s="470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338</v>
      </c>
      <c r="C161" s="467">
        <v>268733.833333334</v>
      </c>
      <c r="D161" s="466">
        <v>12</v>
      </c>
      <c r="E161" s="467">
        <f t="shared" si="156"/>
        <v>3224806.00000001</v>
      </c>
      <c r="F161" s="467"/>
      <c r="G161" s="468">
        <v>222464.48</v>
      </c>
      <c r="H161" s="470"/>
      <c r="I161" s="467">
        <f t="shared" si="157"/>
        <v>3002341.52000001</v>
      </c>
      <c r="J161" s="467">
        <v>200000</v>
      </c>
      <c r="K161" s="467">
        <v>0.2</v>
      </c>
      <c r="L161" s="467">
        <f t="shared" si="158"/>
        <v>600468.304000002</v>
      </c>
      <c r="M161" s="467">
        <f t="shared" si="159"/>
        <v>800468.304000002</v>
      </c>
      <c r="N161" s="467">
        <f t="shared" si="160"/>
        <v>1022932.784</v>
      </c>
      <c r="O161" s="467">
        <f t="shared" si="161"/>
        <v>2201873.21600001</v>
      </c>
      <c r="P161" s="467">
        <f t="shared" si="162"/>
        <v>21000</v>
      </c>
      <c r="Q161" s="467">
        <f t="shared" si="163"/>
        <v>33000</v>
      </c>
      <c r="R161" s="467">
        <f t="shared" si="164"/>
        <v>75000</v>
      </c>
      <c r="S161" s="467">
        <f t="shared" si="165"/>
        <v>95000</v>
      </c>
      <c r="T161" s="467">
        <f t="shared" si="166"/>
        <v>126393.375360001</v>
      </c>
      <c r="U161" s="467"/>
      <c r="V161" s="467">
        <f t="shared" si="168"/>
        <v>350393.375360001</v>
      </c>
      <c r="W161" s="474">
        <v>12</v>
      </c>
      <c r="X161" s="467">
        <f t="shared" si="169"/>
        <v>29199.4479466668</v>
      </c>
      <c r="Y161" s="470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340</v>
      </c>
      <c r="C162" s="467">
        <v>265733.833333334</v>
      </c>
      <c r="D162" s="466">
        <v>12</v>
      </c>
      <c r="E162" s="467">
        <f t="shared" si="156"/>
        <v>3188806.00000001</v>
      </c>
      <c r="F162" s="467"/>
      <c r="G162" s="468">
        <v>222464.48</v>
      </c>
      <c r="H162" s="470"/>
      <c r="I162" s="467">
        <f t="shared" si="157"/>
        <v>2966341.52000001</v>
      </c>
      <c r="J162" s="467">
        <v>200000</v>
      </c>
      <c r="K162" s="467">
        <v>0.2</v>
      </c>
      <c r="L162" s="467">
        <f t="shared" si="158"/>
        <v>593268.304000002</v>
      </c>
      <c r="M162" s="467">
        <f t="shared" si="159"/>
        <v>793268.304000002</v>
      </c>
      <c r="N162" s="467">
        <f t="shared" si="160"/>
        <v>1015732.784</v>
      </c>
      <c r="O162" s="467">
        <f t="shared" si="161"/>
        <v>2173073.21600001</v>
      </c>
      <c r="P162" s="467">
        <f t="shared" si="162"/>
        <v>21000</v>
      </c>
      <c r="Q162" s="467">
        <f t="shared" si="163"/>
        <v>33000</v>
      </c>
      <c r="R162" s="467">
        <f t="shared" si="164"/>
        <v>75000</v>
      </c>
      <c r="S162" s="467">
        <f t="shared" si="165"/>
        <v>95000</v>
      </c>
      <c r="T162" s="467">
        <f t="shared" si="166"/>
        <v>120345.375360001</v>
      </c>
      <c r="U162" s="467"/>
      <c r="V162" s="467">
        <f t="shared" si="168"/>
        <v>344345.375360001</v>
      </c>
      <c r="W162" s="474">
        <v>12</v>
      </c>
      <c r="X162" s="467">
        <f t="shared" si="169"/>
        <v>28695.4479466668</v>
      </c>
      <c r="Y162" s="470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341</v>
      </c>
      <c r="C163" s="467">
        <v>268733.833333334</v>
      </c>
      <c r="D163" s="466">
        <v>12</v>
      </c>
      <c r="E163" s="467">
        <f t="shared" si="156"/>
        <v>3224806.00000001</v>
      </c>
      <c r="F163" s="467"/>
      <c r="G163" s="468">
        <v>222464.48</v>
      </c>
      <c r="H163" s="470"/>
      <c r="I163" s="467">
        <f t="shared" si="157"/>
        <v>3002341.52000001</v>
      </c>
      <c r="J163" s="467">
        <v>200000</v>
      </c>
      <c r="K163" s="467">
        <v>0.2</v>
      </c>
      <c r="L163" s="467">
        <f t="shared" si="158"/>
        <v>600468.304000002</v>
      </c>
      <c r="M163" s="467">
        <f t="shared" si="159"/>
        <v>800468.304000002</v>
      </c>
      <c r="N163" s="467">
        <f t="shared" si="160"/>
        <v>1022932.784</v>
      </c>
      <c r="O163" s="467">
        <f t="shared" si="161"/>
        <v>2201873.21600001</v>
      </c>
      <c r="P163" s="467">
        <f t="shared" si="162"/>
        <v>21000</v>
      </c>
      <c r="Q163" s="467">
        <f t="shared" si="163"/>
        <v>33000</v>
      </c>
      <c r="R163" s="467">
        <f t="shared" si="164"/>
        <v>75000</v>
      </c>
      <c r="S163" s="467">
        <f t="shared" si="165"/>
        <v>95000</v>
      </c>
      <c r="T163" s="467">
        <f t="shared" si="166"/>
        <v>126393.375360001</v>
      </c>
      <c r="U163" s="467"/>
      <c r="V163" s="467">
        <f t="shared" si="168"/>
        <v>350393.375360001</v>
      </c>
      <c r="W163" s="474">
        <v>12</v>
      </c>
      <c r="X163" s="467">
        <f t="shared" si="169"/>
        <v>29199.4479466668</v>
      </c>
      <c r="Y163" s="470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342</v>
      </c>
      <c r="C164" s="467">
        <v>265733.833333334</v>
      </c>
      <c r="D164" s="466">
        <v>12</v>
      </c>
      <c r="E164" s="467">
        <f t="shared" si="156"/>
        <v>3188806.00000001</v>
      </c>
      <c r="F164" s="467"/>
      <c r="G164" s="468">
        <v>222464.48</v>
      </c>
      <c r="H164" s="470"/>
      <c r="I164" s="467">
        <f t="shared" si="157"/>
        <v>2966341.52000001</v>
      </c>
      <c r="J164" s="467">
        <v>200000</v>
      </c>
      <c r="K164" s="467">
        <v>0.2</v>
      </c>
      <c r="L164" s="467">
        <f t="shared" si="158"/>
        <v>593268.304000002</v>
      </c>
      <c r="M164" s="467">
        <f t="shared" si="159"/>
        <v>793268.304000002</v>
      </c>
      <c r="N164" s="467">
        <f t="shared" si="160"/>
        <v>1015732.784</v>
      </c>
      <c r="O164" s="467">
        <f t="shared" si="161"/>
        <v>2173073.21600001</v>
      </c>
      <c r="P164" s="467">
        <f t="shared" si="162"/>
        <v>21000</v>
      </c>
      <c r="Q164" s="467">
        <f t="shared" si="163"/>
        <v>33000</v>
      </c>
      <c r="R164" s="467">
        <f t="shared" si="164"/>
        <v>75000</v>
      </c>
      <c r="S164" s="467">
        <f t="shared" si="165"/>
        <v>95000</v>
      </c>
      <c r="T164" s="467">
        <f t="shared" si="166"/>
        <v>120345.375360001</v>
      </c>
      <c r="U164" s="467"/>
      <c r="V164" s="467">
        <f t="shared" si="168"/>
        <v>344345.375360001</v>
      </c>
      <c r="W164" s="474">
        <v>12</v>
      </c>
      <c r="X164" s="467">
        <f t="shared" si="169"/>
        <v>28695.4479466668</v>
      </c>
      <c r="Y164" s="470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343</v>
      </c>
      <c r="C165" s="467">
        <v>265733.833333334</v>
      </c>
      <c r="D165" s="466">
        <v>12</v>
      </c>
      <c r="E165" s="467">
        <f t="shared" si="156"/>
        <v>3188806.00000001</v>
      </c>
      <c r="F165" s="467"/>
      <c r="G165" s="468">
        <v>222464.48</v>
      </c>
      <c r="H165" s="470"/>
      <c r="I165" s="467">
        <f t="shared" si="157"/>
        <v>2966341.52000001</v>
      </c>
      <c r="J165" s="467">
        <v>200000</v>
      </c>
      <c r="K165" s="467">
        <v>0.2</v>
      </c>
      <c r="L165" s="467">
        <f t="shared" si="158"/>
        <v>593268.304000002</v>
      </c>
      <c r="M165" s="467">
        <f t="shared" si="159"/>
        <v>793268.304000002</v>
      </c>
      <c r="N165" s="467">
        <f t="shared" si="160"/>
        <v>1015732.784</v>
      </c>
      <c r="O165" s="467">
        <f t="shared" si="161"/>
        <v>2173073.21600001</v>
      </c>
      <c r="P165" s="467">
        <f t="shared" si="162"/>
        <v>21000</v>
      </c>
      <c r="Q165" s="467">
        <f t="shared" si="163"/>
        <v>33000</v>
      </c>
      <c r="R165" s="467">
        <f t="shared" si="164"/>
        <v>75000</v>
      </c>
      <c r="S165" s="467">
        <f t="shared" si="165"/>
        <v>95000</v>
      </c>
      <c r="T165" s="467">
        <f t="shared" si="166"/>
        <v>120345.375360001</v>
      </c>
      <c r="U165" s="467"/>
      <c r="V165" s="467">
        <f t="shared" si="168"/>
        <v>344345.375360001</v>
      </c>
      <c r="W165" s="474">
        <v>12</v>
      </c>
      <c r="X165" s="467">
        <f t="shared" si="169"/>
        <v>28695.4479466668</v>
      </c>
      <c r="Y165" s="470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344</v>
      </c>
      <c r="C166" s="467">
        <v>268733.833333334</v>
      </c>
      <c r="D166" s="466">
        <v>12</v>
      </c>
      <c r="E166" s="467">
        <f t="shared" si="156"/>
        <v>3224806.00000001</v>
      </c>
      <c r="F166" s="467"/>
      <c r="G166" s="468">
        <v>222464.48</v>
      </c>
      <c r="H166" s="470"/>
      <c r="I166" s="467">
        <f t="shared" si="157"/>
        <v>3002341.52000001</v>
      </c>
      <c r="J166" s="467">
        <v>200000</v>
      </c>
      <c r="K166" s="467">
        <v>0.2</v>
      </c>
      <c r="L166" s="467">
        <f t="shared" si="158"/>
        <v>600468.304000002</v>
      </c>
      <c r="M166" s="467">
        <f t="shared" si="159"/>
        <v>800468.304000002</v>
      </c>
      <c r="N166" s="467">
        <f t="shared" si="160"/>
        <v>1022932.784</v>
      </c>
      <c r="O166" s="467">
        <f t="shared" si="161"/>
        <v>2201873.21600001</v>
      </c>
      <c r="P166" s="467">
        <f t="shared" si="162"/>
        <v>21000</v>
      </c>
      <c r="Q166" s="467">
        <f t="shared" si="163"/>
        <v>33000</v>
      </c>
      <c r="R166" s="467">
        <f t="shared" si="164"/>
        <v>75000</v>
      </c>
      <c r="S166" s="467">
        <f t="shared" si="165"/>
        <v>95000</v>
      </c>
      <c r="T166" s="467">
        <f t="shared" si="166"/>
        <v>126393.375360001</v>
      </c>
      <c r="U166" s="467"/>
      <c r="V166" s="467">
        <f t="shared" si="168"/>
        <v>350393.375360001</v>
      </c>
      <c r="W166" s="474">
        <v>12</v>
      </c>
      <c r="X166" s="467">
        <f t="shared" si="169"/>
        <v>29199.4479466668</v>
      </c>
      <c r="Y166" s="470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345</v>
      </c>
      <c r="C167" s="467">
        <v>256767.333333333</v>
      </c>
      <c r="D167" s="466">
        <v>12</v>
      </c>
      <c r="E167" s="467">
        <f t="shared" si="156"/>
        <v>3081208</v>
      </c>
      <c r="F167" s="467"/>
      <c r="G167" s="468">
        <v>210976.639999999</v>
      </c>
      <c r="H167" s="470"/>
      <c r="I167" s="467">
        <f t="shared" si="157"/>
        <v>2870231.36</v>
      </c>
      <c r="J167" s="467">
        <v>200000</v>
      </c>
      <c r="K167" s="467">
        <v>0.2</v>
      </c>
      <c r="L167" s="467">
        <f t="shared" si="158"/>
        <v>574046.271999999</v>
      </c>
      <c r="M167" s="467">
        <f t="shared" si="159"/>
        <v>774046.271999999</v>
      </c>
      <c r="N167" s="467">
        <f t="shared" si="160"/>
        <v>985022.911999998</v>
      </c>
      <c r="O167" s="467">
        <f t="shared" si="161"/>
        <v>2096185.088</v>
      </c>
      <c r="P167" s="467">
        <f t="shared" si="162"/>
        <v>21000</v>
      </c>
      <c r="Q167" s="467">
        <f t="shared" si="163"/>
        <v>33000</v>
      </c>
      <c r="R167" s="467">
        <f t="shared" si="164"/>
        <v>75000</v>
      </c>
      <c r="S167" s="467">
        <f t="shared" si="165"/>
        <v>95000</v>
      </c>
      <c r="T167" s="467">
        <f t="shared" si="166"/>
        <v>104198.86848</v>
      </c>
      <c r="U167" s="467"/>
      <c r="V167" s="467">
        <f t="shared" si="168"/>
        <v>328198.868479999</v>
      </c>
      <c r="W167" s="474">
        <v>12</v>
      </c>
      <c r="X167" s="467">
        <f t="shared" si="169"/>
        <v>27349.9057066666</v>
      </c>
      <c r="Y167" s="470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348</v>
      </c>
      <c r="C168" s="467">
        <v>256767.333333333</v>
      </c>
      <c r="D168" s="466">
        <v>12</v>
      </c>
      <c r="E168" s="467">
        <f t="shared" si="156"/>
        <v>3081208</v>
      </c>
      <c r="F168" s="467"/>
      <c r="G168" s="468">
        <v>210976.639999999</v>
      </c>
      <c r="H168" s="470"/>
      <c r="I168" s="467">
        <f t="shared" si="157"/>
        <v>2870231.36</v>
      </c>
      <c r="J168" s="467">
        <v>200000</v>
      </c>
      <c r="K168" s="467">
        <v>0.2</v>
      </c>
      <c r="L168" s="467">
        <f t="shared" si="158"/>
        <v>574046.271999999</v>
      </c>
      <c r="M168" s="467">
        <f t="shared" si="159"/>
        <v>774046.271999999</v>
      </c>
      <c r="N168" s="467">
        <f t="shared" si="160"/>
        <v>985022.911999998</v>
      </c>
      <c r="O168" s="467">
        <f t="shared" si="161"/>
        <v>2096185.088</v>
      </c>
      <c r="P168" s="467">
        <f t="shared" si="162"/>
        <v>21000</v>
      </c>
      <c r="Q168" s="467">
        <f t="shared" si="163"/>
        <v>33000</v>
      </c>
      <c r="R168" s="467">
        <f t="shared" si="164"/>
        <v>75000</v>
      </c>
      <c r="S168" s="467">
        <f t="shared" si="165"/>
        <v>95000</v>
      </c>
      <c r="T168" s="467">
        <f t="shared" si="166"/>
        <v>104198.86848</v>
      </c>
      <c r="U168" s="467"/>
      <c r="V168" s="467">
        <f t="shared" si="168"/>
        <v>328198.868479999</v>
      </c>
      <c r="W168" s="474">
        <v>12</v>
      </c>
      <c r="X168" s="467">
        <f t="shared" si="169"/>
        <v>27349.9057066666</v>
      </c>
      <c r="Y168" s="470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349</v>
      </c>
      <c r="C169" s="467">
        <v>262750.583333333</v>
      </c>
      <c r="D169" s="466">
        <v>12</v>
      </c>
      <c r="E169" s="467">
        <f t="shared" si="156"/>
        <v>3153007</v>
      </c>
      <c r="F169" s="467"/>
      <c r="G169" s="468">
        <v>216720.559999999</v>
      </c>
      <c r="H169" s="470"/>
      <c r="I169" s="467">
        <f t="shared" si="157"/>
        <v>2936286.44</v>
      </c>
      <c r="J169" s="467">
        <v>200000</v>
      </c>
      <c r="K169" s="467">
        <v>0.2</v>
      </c>
      <c r="L169" s="467">
        <f t="shared" si="158"/>
        <v>587257.287999999</v>
      </c>
      <c r="M169" s="467">
        <f t="shared" si="159"/>
        <v>787257.287999999</v>
      </c>
      <c r="N169" s="467">
        <f t="shared" si="160"/>
        <v>1003977.848</v>
      </c>
      <c r="O169" s="467">
        <f t="shared" si="161"/>
        <v>2149029.152</v>
      </c>
      <c r="P169" s="467">
        <f t="shared" si="162"/>
        <v>21000</v>
      </c>
      <c r="Q169" s="467">
        <f t="shared" si="163"/>
        <v>33000</v>
      </c>
      <c r="R169" s="467">
        <f t="shared" si="164"/>
        <v>75000</v>
      </c>
      <c r="S169" s="467">
        <f t="shared" si="165"/>
        <v>95000</v>
      </c>
      <c r="T169" s="467">
        <f t="shared" si="166"/>
        <v>115296.12192</v>
      </c>
      <c r="U169" s="467"/>
      <c r="V169" s="467">
        <f t="shared" si="168"/>
        <v>339296.12192</v>
      </c>
      <c r="W169" s="474">
        <v>12</v>
      </c>
      <c r="X169" s="467">
        <f t="shared" si="169"/>
        <v>28274.6768266666</v>
      </c>
      <c r="Y169" s="470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351</v>
      </c>
      <c r="C170" s="467">
        <v>240784</v>
      </c>
      <c r="D170" s="466">
        <v>12</v>
      </c>
      <c r="E170" s="467">
        <f t="shared" si="156"/>
        <v>2889408</v>
      </c>
      <c r="F170" s="467"/>
      <c r="G170" s="468">
        <v>205232.64</v>
      </c>
      <c r="H170" s="470"/>
      <c r="I170" s="467">
        <f t="shared" si="157"/>
        <v>2684175.36</v>
      </c>
      <c r="J170" s="467">
        <v>200000</v>
      </c>
      <c r="K170" s="467">
        <v>0.2</v>
      </c>
      <c r="L170" s="467">
        <f t="shared" si="158"/>
        <v>536835.072</v>
      </c>
      <c r="M170" s="467">
        <f t="shared" si="159"/>
        <v>736835.072</v>
      </c>
      <c r="N170" s="467">
        <f t="shared" si="160"/>
        <v>942067.712</v>
      </c>
      <c r="O170" s="467">
        <f t="shared" si="161"/>
        <v>1947340.288</v>
      </c>
      <c r="P170" s="467">
        <f t="shared" si="162"/>
        <v>21000</v>
      </c>
      <c r="Q170" s="467">
        <f t="shared" si="163"/>
        <v>33000</v>
      </c>
      <c r="R170" s="467">
        <f t="shared" si="164"/>
        <v>75000</v>
      </c>
      <c r="S170" s="467">
        <f t="shared" si="165"/>
        <v>95000</v>
      </c>
      <c r="T170" s="467">
        <f t="shared" si="166"/>
        <v>72941.46048</v>
      </c>
      <c r="U170" s="467"/>
      <c r="V170" s="467">
        <f t="shared" si="168"/>
        <v>296941.46048</v>
      </c>
      <c r="W170" s="474">
        <v>12</v>
      </c>
      <c r="X170" s="467">
        <f t="shared" si="169"/>
        <v>24745.1217066667</v>
      </c>
      <c r="Y170" s="470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354</v>
      </c>
      <c r="C171" s="467">
        <v>173356.75</v>
      </c>
      <c r="D171" s="466">
        <v>12</v>
      </c>
      <c r="E171" s="467">
        <f t="shared" si="156"/>
        <v>2080281</v>
      </c>
      <c r="F171" s="467"/>
      <c r="G171" s="468">
        <v>140502.48</v>
      </c>
      <c r="H171" s="470"/>
      <c r="I171" s="467">
        <f t="shared" si="157"/>
        <v>1939778.52</v>
      </c>
      <c r="J171" s="467">
        <v>200000</v>
      </c>
      <c r="K171" s="467">
        <v>0.2</v>
      </c>
      <c r="L171" s="467">
        <f t="shared" si="158"/>
        <v>387955.704</v>
      </c>
      <c r="M171" s="467">
        <f t="shared" si="159"/>
        <v>587955.704</v>
      </c>
      <c r="N171" s="467">
        <f t="shared" si="160"/>
        <v>728458.184</v>
      </c>
      <c r="O171" s="467">
        <f t="shared" si="161"/>
        <v>1351822.816</v>
      </c>
      <c r="P171" s="467">
        <f t="shared" si="162"/>
        <v>21000</v>
      </c>
      <c r="Q171" s="467">
        <f t="shared" si="163"/>
        <v>33000</v>
      </c>
      <c r="R171" s="467">
        <f t="shared" si="164"/>
        <v>75000</v>
      </c>
      <c r="S171" s="467">
        <f t="shared" si="165"/>
        <v>47846.33504</v>
      </c>
      <c r="T171" s="467">
        <f t="shared" si="166"/>
        <v>0</v>
      </c>
      <c r="U171" s="467"/>
      <c r="V171" s="467">
        <f t="shared" si="168"/>
        <v>176846.33504</v>
      </c>
      <c r="W171" s="474">
        <v>12</v>
      </c>
      <c r="X171" s="467">
        <f t="shared" si="169"/>
        <v>14737.1945866667</v>
      </c>
      <c r="Y171" s="470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357</v>
      </c>
      <c r="C172" s="467">
        <v>170356.75</v>
      </c>
      <c r="D172" s="466">
        <v>12</v>
      </c>
      <c r="E172" s="467">
        <f t="shared" si="156"/>
        <v>2044281</v>
      </c>
      <c r="F172" s="467"/>
      <c r="G172" s="468">
        <v>140502.48</v>
      </c>
      <c r="H172" s="470"/>
      <c r="I172" s="467">
        <f t="shared" si="157"/>
        <v>1903778.52</v>
      </c>
      <c r="J172" s="467">
        <v>200000</v>
      </c>
      <c r="K172" s="467">
        <v>0.2</v>
      </c>
      <c r="L172" s="467">
        <f t="shared" si="158"/>
        <v>380755.704</v>
      </c>
      <c r="M172" s="467">
        <f t="shared" si="159"/>
        <v>580755.704</v>
      </c>
      <c r="N172" s="467">
        <f t="shared" si="160"/>
        <v>721258.184</v>
      </c>
      <c r="O172" s="467">
        <f t="shared" si="161"/>
        <v>1323022.816</v>
      </c>
      <c r="P172" s="467">
        <f t="shared" si="162"/>
        <v>21000</v>
      </c>
      <c r="Q172" s="467">
        <f t="shared" si="163"/>
        <v>33000</v>
      </c>
      <c r="R172" s="467">
        <f t="shared" si="164"/>
        <v>75000</v>
      </c>
      <c r="S172" s="467">
        <f t="shared" si="165"/>
        <v>42374.33504</v>
      </c>
      <c r="T172" s="467">
        <f t="shared" si="166"/>
        <v>0</v>
      </c>
      <c r="U172" s="467"/>
      <c r="V172" s="467">
        <f t="shared" si="168"/>
        <v>171374.33504</v>
      </c>
      <c r="W172" s="474">
        <v>12</v>
      </c>
      <c r="X172" s="467">
        <f t="shared" si="169"/>
        <v>14281.1945866667</v>
      </c>
      <c r="Y172" s="470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358</v>
      </c>
      <c r="C173" s="467">
        <v>173356.75</v>
      </c>
      <c r="D173" s="466">
        <v>12</v>
      </c>
      <c r="E173" s="467">
        <f t="shared" si="156"/>
        <v>2080281</v>
      </c>
      <c r="F173" s="467"/>
      <c r="G173" s="468">
        <v>140502.48</v>
      </c>
      <c r="H173" s="470"/>
      <c r="I173" s="467">
        <f t="shared" si="157"/>
        <v>1939778.52</v>
      </c>
      <c r="J173" s="467">
        <v>200000</v>
      </c>
      <c r="K173" s="467">
        <v>0.2</v>
      </c>
      <c r="L173" s="467">
        <f t="shared" si="158"/>
        <v>387955.704</v>
      </c>
      <c r="M173" s="467">
        <f t="shared" si="159"/>
        <v>587955.704</v>
      </c>
      <c r="N173" s="467">
        <f t="shared" si="160"/>
        <v>728458.184</v>
      </c>
      <c r="O173" s="467">
        <f t="shared" si="161"/>
        <v>1351822.816</v>
      </c>
      <c r="P173" s="467">
        <f t="shared" si="162"/>
        <v>21000</v>
      </c>
      <c r="Q173" s="467">
        <f t="shared" si="163"/>
        <v>33000</v>
      </c>
      <c r="R173" s="467">
        <f t="shared" si="164"/>
        <v>75000</v>
      </c>
      <c r="S173" s="467">
        <f t="shared" si="165"/>
        <v>47846.33504</v>
      </c>
      <c r="T173" s="467">
        <f t="shared" ref="T173:T187" si="174">IF((O173-1600000)&lt;0,0,IF((O173-1600000)&lt;1600000,0.21*(O173-1600000),336000))</f>
        <v>0</v>
      </c>
      <c r="U173" s="467"/>
      <c r="V173" s="467">
        <f t="shared" si="168"/>
        <v>176846.33504</v>
      </c>
      <c r="W173" s="474">
        <v>12</v>
      </c>
      <c r="X173" s="467">
        <f t="shared" si="169"/>
        <v>14737.1945866667</v>
      </c>
      <c r="Y173" s="470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9"/>
      <c r="AD173" s="479"/>
      <c r="AE173" s="479"/>
    </row>
    <row r="174" ht="15.5" spans="1:31">
      <c r="A174" s="464">
        <v>158</v>
      </c>
      <c r="B174" s="643" t="s">
        <v>359</v>
      </c>
      <c r="C174" s="938">
        <v>170356.75</v>
      </c>
      <c r="D174" s="466">
        <v>12</v>
      </c>
      <c r="E174" s="467">
        <f t="shared" si="156"/>
        <v>2044281</v>
      </c>
      <c r="F174" s="467"/>
      <c r="G174" s="468">
        <v>140502.48</v>
      </c>
      <c r="H174" s="470"/>
      <c r="I174" s="467">
        <f t="shared" si="157"/>
        <v>1903778.52</v>
      </c>
      <c r="J174" s="467">
        <v>200000</v>
      </c>
      <c r="K174" s="467">
        <v>0.2</v>
      </c>
      <c r="L174" s="467">
        <f t="shared" si="158"/>
        <v>380755.704</v>
      </c>
      <c r="M174" s="467">
        <f t="shared" si="159"/>
        <v>580755.704</v>
      </c>
      <c r="N174" s="467">
        <f t="shared" si="160"/>
        <v>721258.184</v>
      </c>
      <c r="O174" s="467">
        <f t="shared" si="161"/>
        <v>1323022.816</v>
      </c>
      <c r="P174" s="467">
        <f t="shared" si="162"/>
        <v>21000</v>
      </c>
      <c r="Q174" s="467">
        <f t="shared" si="163"/>
        <v>33000</v>
      </c>
      <c r="R174" s="467">
        <f t="shared" si="164"/>
        <v>75000</v>
      </c>
      <c r="S174" s="467">
        <f t="shared" si="165"/>
        <v>42374.33504</v>
      </c>
      <c r="T174" s="467">
        <f t="shared" si="174"/>
        <v>0</v>
      </c>
      <c r="U174" s="467"/>
      <c r="V174" s="467">
        <f t="shared" si="168"/>
        <v>171374.33504</v>
      </c>
      <c r="W174" s="474">
        <v>12</v>
      </c>
      <c r="X174" s="467">
        <f t="shared" si="169"/>
        <v>14281.1945866667</v>
      </c>
      <c r="Y174" s="470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9"/>
      <c r="AD174" s="479"/>
      <c r="AE174" s="479"/>
    </row>
    <row r="175" ht="15.5" spans="1:28">
      <c r="A175" s="464">
        <v>159</v>
      </c>
      <c r="B175" s="643" t="s">
        <v>360</v>
      </c>
      <c r="C175" s="938">
        <v>173356.75</v>
      </c>
      <c r="D175" s="466">
        <v>12</v>
      </c>
      <c r="E175" s="467">
        <f t="shared" si="156"/>
        <v>2080281</v>
      </c>
      <c r="F175" s="467"/>
      <c r="G175" s="468">
        <v>140502.48</v>
      </c>
      <c r="H175" s="470"/>
      <c r="I175" s="467">
        <f t="shared" si="157"/>
        <v>1939778.52</v>
      </c>
      <c r="J175" s="467">
        <v>200000</v>
      </c>
      <c r="K175" s="467">
        <v>0.2</v>
      </c>
      <c r="L175" s="467">
        <f t="shared" si="158"/>
        <v>387955.704</v>
      </c>
      <c r="M175" s="467">
        <f t="shared" si="159"/>
        <v>587955.704</v>
      </c>
      <c r="N175" s="467">
        <f t="shared" si="160"/>
        <v>728458.184</v>
      </c>
      <c r="O175" s="467">
        <f t="shared" si="161"/>
        <v>1351822.816</v>
      </c>
      <c r="P175" s="467">
        <f t="shared" si="162"/>
        <v>21000</v>
      </c>
      <c r="Q175" s="467">
        <f t="shared" si="163"/>
        <v>33000</v>
      </c>
      <c r="R175" s="467">
        <f t="shared" si="164"/>
        <v>75000</v>
      </c>
      <c r="S175" s="467">
        <f t="shared" si="165"/>
        <v>47846.33504</v>
      </c>
      <c r="T175" s="467">
        <f t="shared" si="174"/>
        <v>0</v>
      </c>
      <c r="U175" s="467"/>
      <c r="V175" s="467">
        <f t="shared" si="168"/>
        <v>176846.33504</v>
      </c>
      <c r="W175" s="474">
        <v>12</v>
      </c>
      <c r="X175" s="467">
        <f t="shared" si="169"/>
        <v>14737.1945866667</v>
      </c>
      <c r="Y175" s="470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28">
      <c r="A176" s="464">
        <v>160</v>
      </c>
      <c r="B176" s="351" t="s">
        <v>361</v>
      </c>
      <c r="C176" s="806">
        <v>170356.75</v>
      </c>
      <c r="D176" s="466">
        <v>12</v>
      </c>
      <c r="E176" s="467">
        <f t="shared" si="156"/>
        <v>2044281</v>
      </c>
      <c r="F176" s="620"/>
      <c r="G176" s="468">
        <v>140502.48</v>
      </c>
      <c r="I176" s="467">
        <f t="shared" si="157"/>
        <v>1903778.52</v>
      </c>
      <c r="J176" s="467">
        <v>200000</v>
      </c>
      <c r="K176" s="467">
        <v>0.2</v>
      </c>
      <c r="L176" s="467">
        <f t="shared" si="158"/>
        <v>380755.704</v>
      </c>
      <c r="M176" s="467">
        <f t="shared" si="159"/>
        <v>580755.704</v>
      </c>
      <c r="N176" s="467">
        <f t="shared" si="160"/>
        <v>721258.184</v>
      </c>
      <c r="O176" s="467">
        <f t="shared" si="161"/>
        <v>1323022.816</v>
      </c>
      <c r="P176" s="467">
        <f t="shared" si="162"/>
        <v>21000</v>
      </c>
      <c r="Q176" s="467">
        <f t="shared" si="163"/>
        <v>33000</v>
      </c>
      <c r="R176" s="467">
        <f t="shared" si="164"/>
        <v>75000</v>
      </c>
      <c r="S176" s="467">
        <f t="shared" si="165"/>
        <v>42374.33504</v>
      </c>
      <c r="T176" s="467">
        <f t="shared" si="174"/>
        <v>0</v>
      </c>
      <c r="U176" s="467"/>
      <c r="V176" s="467">
        <f t="shared" si="168"/>
        <v>171374.33504</v>
      </c>
      <c r="W176" s="474">
        <v>12</v>
      </c>
      <c r="X176" s="467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4">
        <v>161</v>
      </c>
      <c r="B177" s="351" t="s">
        <v>362</v>
      </c>
      <c r="C177" s="806">
        <v>173356.75</v>
      </c>
      <c r="D177" s="466">
        <v>12</v>
      </c>
      <c r="E177" s="467">
        <f t="shared" si="156"/>
        <v>2080281</v>
      </c>
      <c r="F177" s="620"/>
      <c r="G177" s="468">
        <v>140502.48</v>
      </c>
      <c r="I177" s="467">
        <f t="shared" si="157"/>
        <v>1939778.52</v>
      </c>
      <c r="J177" s="467">
        <v>200000</v>
      </c>
      <c r="K177" s="467">
        <v>0.2</v>
      </c>
      <c r="L177" s="467">
        <f t="shared" si="158"/>
        <v>387955.704</v>
      </c>
      <c r="M177" s="467">
        <f t="shared" si="159"/>
        <v>587955.704</v>
      </c>
      <c r="N177" s="467">
        <f t="shared" si="160"/>
        <v>728458.184</v>
      </c>
      <c r="O177" s="467">
        <f t="shared" si="161"/>
        <v>1351822.816</v>
      </c>
      <c r="P177" s="467">
        <f t="shared" si="162"/>
        <v>21000</v>
      </c>
      <c r="Q177" s="467">
        <f t="shared" si="163"/>
        <v>33000</v>
      </c>
      <c r="R177" s="467">
        <f t="shared" si="164"/>
        <v>75000</v>
      </c>
      <c r="S177" s="467">
        <f t="shared" si="165"/>
        <v>47846.33504</v>
      </c>
      <c r="T177" s="467">
        <f t="shared" si="174"/>
        <v>0</v>
      </c>
      <c r="U177" s="467"/>
      <c r="V177" s="467">
        <f t="shared" si="168"/>
        <v>176846.33504</v>
      </c>
      <c r="W177" s="474">
        <v>12</v>
      </c>
      <c r="X177" s="467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4">
        <v>162</v>
      </c>
      <c r="B178" s="643" t="s">
        <v>499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0"/>
        <v>0</v>
      </c>
      <c r="O178" s="467">
        <f t="shared" si="161"/>
        <v>0</v>
      </c>
      <c r="P178" s="467">
        <f t="shared" si="162"/>
        <v>0</v>
      </c>
      <c r="Q178" s="467">
        <f t="shared" si="163"/>
        <v>0</v>
      </c>
      <c r="R178" s="467">
        <f t="shared" si="164"/>
        <v>0</v>
      </c>
      <c r="S178" s="467">
        <f t="shared" si="165"/>
        <v>0</v>
      </c>
      <c r="T178" s="467">
        <f t="shared" si="174"/>
        <v>0</v>
      </c>
      <c r="V178" s="467">
        <f t="shared" si="168"/>
        <v>0</v>
      </c>
      <c r="W178" s="474">
        <v>12</v>
      </c>
      <c r="X178" s="467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4">
        <v>163</v>
      </c>
      <c r="B179" s="643" t="s">
        <v>363</v>
      </c>
      <c r="C179" s="806">
        <v>173356.75</v>
      </c>
      <c r="D179" s="466">
        <v>12</v>
      </c>
      <c r="E179" s="467">
        <f t="shared" si="156"/>
        <v>2080281</v>
      </c>
      <c r="F179" s="620"/>
      <c r="G179" s="468">
        <v>140502.48</v>
      </c>
      <c r="I179" s="467">
        <f t="shared" si="157"/>
        <v>1939778.52</v>
      </c>
      <c r="J179" s="467">
        <v>200000</v>
      </c>
      <c r="K179" s="467">
        <v>0.2</v>
      </c>
      <c r="L179" s="467">
        <f t="shared" si="158"/>
        <v>387955.704</v>
      </c>
      <c r="M179" s="467">
        <f t="shared" si="159"/>
        <v>587955.704</v>
      </c>
      <c r="N179" s="467">
        <f t="shared" si="160"/>
        <v>728458.184</v>
      </c>
      <c r="O179" s="467">
        <f t="shared" si="161"/>
        <v>1351822.816</v>
      </c>
      <c r="P179" s="467">
        <f t="shared" si="162"/>
        <v>21000</v>
      </c>
      <c r="Q179" s="467">
        <f t="shared" si="163"/>
        <v>33000</v>
      </c>
      <c r="R179" s="467">
        <f t="shared" si="164"/>
        <v>75000</v>
      </c>
      <c r="S179" s="467">
        <f t="shared" si="165"/>
        <v>47846.33504</v>
      </c>
      <c r="T179" s="467">
        <f t="shared" si="174"/>
        <v>0</v>
      </c>
      <c r="V179" s="467">
        <f t="shared" si="168"/>
        <v>176846.33504</v>
      </c>
      <c r="W179" s="474">
        <v>12</v>
      </c>
      <c r="X179" s="467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4">
        <v>164</v>
      </c>
      <c r="B180" s="351" t="s">
        <v>364</v>
      </c>
      <c r="C180" s="806">
        <v>170495.666666667</v>
      </c>
      <c r="D180" s="466">
        <v>12</v>
      </c>
      <c r="E180" s="467">
        <f t="shared" si="156"/>
        <v>2045948</v>
      </c>
      <c r="F180" s="620"/>
      <c r="G180" s="468">
        <v>137755.84</v>
      </c>
      <c r="I180" s="467">
        <f t="shared" si="157"/>
        <v>1908192.16</v>
      </c>
      <c r="J180" s="467">
        <v>200000</v>
      </c>
      <c r="K180" s="467">
        <v>0.2</v>
      </c>
      <c r="L180" s="467">
        <f t="shared" si="158"/>
        <v>381638.432000001</v>
      </c>
      <c r="M180" s="467">
        <f t="shared" si="159"/>
        <v>581638.432000001</v>
      </c>
      <c r="N180" s="467">
        <f t="shared" si="160"/>
        <v>719394.272000001</v>
      </c>
      <c r="O180" s="467">
        <f t="shared" si="161"/>
        <v>1326553.728</v>
      </c>
      <c r="P180" s="467">
        <f t="shared" si="162"/>
        <v>21000</v>
      </c>
      <c r="Q180" s="467">
        <f t="shared" si="163"/>
        <v>33000</v>
      </c>
      <c r="R180" s="467">
        <f t="shared" si="164"/>
        <v>75000</v>
      </c>
      <c r="S180" s="467">
        <f t="shared" si="165"/>
        <v>43045.2083200006</v>
      </c>
      <c r="T180" s="467">
        <f t="shared" si="174"/>
        <v>0</v>
      </c>
      <c r="V180" s="467">
        <f t="shared" si="168"/>
        <v>172045.208320001</v>
      </c>
      <c r="W180" s="474">
        <v>12</v>
      </c>
      <c r="X180" s="467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4">
        <v>165</v>
      </c>
      <c r="B181" s="351" t="s">
        <v>367</v>
      </c>
      <c r="C181" s="806">
        <v>134014.43</v>
      </c>
      <c r="D181" s="466">
        <v>12</v>
      </c>
      <c r="E181" s="467">
        <f t="shared" si="156"/>
        <v>1608173.16</v>
      </c>
      <c r="F181" s="620"/>
      <c r="G181" s="468">
        <v>132262.56</v>
      </c>
      <c r="I181" s="467">
        <f t="shared" si="157"/>
        <v>1475910.6</v>
      </c>
      <c r="J181" s="467">
        <v>200000</v>
      </c>
      <c r="K181" s="467">
        <v>0.2</v>
      </c>
      <c r="L181" s="467">
        <f t="shared" si="158"/>
        <v>295182.12</v>
      </c>
      <c r="M181" s="467">
        <f t="shared" si="159"/>
        <v>495182.12</v>
      </c>
      <c r="N181" s="467">
        <f t="shared" si="160"/>
        <v>627444.68</v>
      </c>
      <c r="O181" s="467">
        <f t="shared" si="161"/>
        <v>980728.48</v>
      </c>
      <c r="P181" s="467">
        <f t="shared" si="162"/>
        <v>21000</v>
      </c>
      <c r="Q181" s="467">
        <f t="shared" si="163"/>
        <v>33000</v>
      </c>
      <c r="R181" s="467">
        <f t="shared" si="164"/>
        <v>57109.272</v>
      </c>
      <c r="S181" s="467">
        <f t="shared" si="165"/>
        <v>0</v>
      </c>
      <c r="T181" s="467">
        <f t="shared" si="174"/>
        <v>0</v>
      </c>
      <c r="V181" s="467">
        <f t="shared" si="168"/>
        <v>111109.272</v>
      </c>
      <c r="W181" s="474">
        <v>12</v>
      </c>
      <c r="X181" s="467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4">
        <v>166</v>
      </c>
      <c r="B182" s="351" t="s">
        <v>369</v>
      </c>
      <c r="C182" s="806">
        <v>156912.666666667</v>
      </c>
      <c r="D182" s="466">
        <v>12</v>
      </c>
      <c r="E182" s="467">
        <f t="shared" si="156"/>
        <v>1882952</v>
      </c>
      <c r="F182" s="620"/>
      <c r="G182" s="468">
        <v>129516.16</v>
      </c>
      <c r="I182" s="467">
        <f t="shared" si="157"/>
        <v>1753435.84</v>
      </c>
      <c r="J182" s="467">
        <v>200000</v>
      </c>
      <c r="K182" s="467">
        <v>0.2</v>
      </c>
      <c r="L182" s="467">
        <f t="shared" si="158"/>
        <v>350687.168000001</v>
      </c>
      <c r="M182" s="467">
        <f t="shared" si="159"/>
        <v>550687.168000001</v>
      </c>
      <c r="N182" s="467">
        <f t="shared" si="160"/>
        <v>680203.328000001</v>
      </c>
      <c r="O182" s="467">
        <f t="shared" si="161"/>
        <v>1202748.672</v>
      </c>
      <c r="P182" s="467">
        <f t="shared" si="162"/>
        <v>21000</v>
      </c>
      <c r="Q182" s="467">
        <f t="shared" si="163"/>
        <v>33000</v>
      </c>
      <c r="R182" s="467">
        <f t="shared" si="164"/>
        <v>75000</v>
      </c>
      <c r="S182" s="467">
        <f t="shared" si="165"/>
        <v>19522.2476800006</v>
      </c>
      <c r="T182" s="467">
        <f t="shared" si="174"/>
        <v>0</v>
      </c>
      <c r="V182" s="467">
        <f t="shared" si="168"/>
        <v>148522.247680001</v>
      </c>
      <c r="W182" s="474">
        <v>12</v>
      </c>
      <c r="X182" s="467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4">
        <v>167</v>
      </c>
      <c r="B183" s="351" t="s">
        <v>371</v>
      </c>
      <c r="C183" s="806">
        <v>148049.416666667</v>
      </c>
      <c r="D183" s="466">
        <v>12</v>
      </c>
      <c r="E183" s="467">
        <f t="shared" si="156"/>
        <v>1776593</v>
      </c>
      <c r="F183" s="620"/>
      <c r="G183" s="468">
        <v>123887.44</v>
      </c>
      <c r="I183" s="467">
        <f t="shared" si="157"/>
        <v>1652705.56</v>
      </c>
      <c r="J183" s="467">
        <v>200000</v>
      </c>
      <c r="K183" s="467">
        <v>0.2</v>
      </c>
      <c r="L183" s="467">
        <f t="shared" si="158"/>
        <v>330541.112000001</v>
      </c>
      <c r="M183" s="467">
        <f t="shared" si="159"/>
        <v>530541.112000001</v>
      </c>
      <c r="N183" s="467">
        <f t="shared" si="160"/>
        <v>654428.552000001</v>
      </c>
      <c r="O183" s="467">
        <f t="shared" si="161"/>
        <v>1122164.448</v>
      </c>
      <c r="P183" s="467">
        <f t="shared" si="162"/>
        <v>21000</v>
      </c>
      <c r="Q183" s="467">
        <f t="shared" si="163"/>
        <v>33000</v>
      </c>
      <c r="R183" s="467">
        <f t="shared" si="164"/>
        <v>75000</v>
      </c>
      <c r="S183" s="467">
        <f t="shared" si="165"/>
        <v>4211.24512000064</v>
      </c>
      <c r="T183" s="467">
        <f t="shared" si="174"/>
        <v>0</v>
      </c>
      <c r="V183" s="467">
        <f t="shared" si="168"/>
        <v>133211.245120001</v>
      </c>
      <c r="W183" s="474">
        <v>12</v>
      </c>
      <c r="X183" s="467">
        <f t="shared" si="169"/>
        <v>11100.9370933334</v>
      </c>
      <c r="Z183" s="929">
        <f t="shared" si="170"/>
        <v>11100.9370933334</v>
      </c>
      <c r="AA183" s="806">
        <v>5230.0988</v>
      </c>
      <c r="AB183" s="806">
        <f t="shared" si="173"/>
        <v>5870.83829333339</v>
      </c>
    </row>
    <row r="184" ht="15.5" spans="1:28">
      <c r="A184" s="464">
        <v>168</v>
      </c>
      <c r="B184" s="351" t="s">
        <v>374</v>
      </c>
      <c r="C184" s="806">
        <v>148049.416666667</v>
      </c>
      <c r="D184" s="466">
        <v>12</v>
      </c>
      <c r="E184" s="467">
        <f t="shared" si="156"/>
        <v>1776593</v>
      </c>
      <c r="F184" s="620"/>
      <c r="G184" s="468">
        <v>123887.44</v>
      </c>
      <c r="I184" s="467">
        <f t="shared" si="157"/>
        <v>1652705.56</v>
      </c>
      <c r="J184" s="467">
        <v>200000</v>
      </c>
      <c r="K184" s="467">
        <v>0.2</v>
      </c>
      <c r="L184" s="467">
        <f t="shared" si="158"/>
        <v>330541.112000001</v>
      </c>
      <c r="M184" s="467">
        <f t="shared" si="159"/>
        <v>530541.112000001</v>
      </c>
      <c r="N184" s="467">
        <f t="shared" si="160"/>
        <v>654428.552000001</v>
      </c>
      <c r="O184" s="467">
        <f t="shared" si="161"/>
        <v>1122164.448</v>
      </c>
      <c r="P184" s="467">
        <f t="shared" si="162"/>
        <v>21000</v>
      </c>
      <c r="Q184" s="467">
        <f t="shared" si="163"/>
        <v>33000</v>
      </c>
      <c r="R184" s="467">
        <f t="shared" si="164"/>
        <v>75000</v>
      </c>
      <c r="S184" s="467">
        <f t="shared" si="165"/>
        <v>4211.24512000064</v>
      </c>
      <c r="T184" s="467">
        <f t="shared" si="174"/>
        <v>0</v>
      </c>
      <c r="V184" s="467">
        <f t="shared" si="168"/>
        <v>133211.245120001</v>
      </c>
      <c r="W184" s="474">
        <v>12</v>
      </c>
      <c r="X184" s="467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4">
        <v>169</v>
      </c>
      <c r="B185" s="351" t="s">
        <v>375</v>
      </c>
      <c r="C185" s="806">
        <v>148049.416666667</v>
      </c>
      <c r="D185" s="466">
        <v>12</v>
      </c>
      <c r="E185" s="467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67">
        <v>200000</v>
      </c>
      <c r="K185" s="467">
        <v>0.2</v>
      </c>
      <c r="L185" s="467">
        <f t="shared" si="158"/>
        <v>330541.112000001</v>
      </c>
      <c r="M185" s="467">
        <f t="shared" si="159"/>
        <v>530541.112000001</v>
      </c>
      <c r="N185" s="467">
        <f t="shared" si="160"/>
        <v>654428.552000001</v>
      </c>
      <c r="O185" s="467">
        <f t="shared" si="161"/>
        <v>1122164.448</v>
      </c>
      <c r="P185" s="467">
        <f t="shared" si="162"/>
        <v>21000</v>
      </c>
      <c r="Q185" s="467">
        <f t="shared" si="163"/>
        <v>33000</v>
      </c>
      <c r="R185" s="467">
        <f t="shared" si="164"/>
        <v>75000</v>
      </c>
      <c r="S185" s="467">
        <f t="shared" si="165"/>
        <v>4211.24512000064</v>
      </c>
      <c r="T185" s="467">
        <f t="shared" si="174"/>
        <v>0</v>
      </c>
      <c r="V185" s="467">
        <f t="shared" si="168"/>
        <v>133211.245120001</v>
      </c>
      <c r="W185" s="474">
        <v>12</v>
      </c>
      <c r="X185" s="467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4">
        <v>170</v>
      </c>
      <c r="B186" s="351" t="s">
        <v>376</v>
      </c>
      <c r="C186" s="806">
        <v>162634.666666667</v>
      </c>
      <c r="D186" s="466">
        <v>12</v>
      </c>
      <c r="E186" s="467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67">
        <f t="shared" si="174"/>
        <v>0</v>
      </c>
      <c r="V186" s="486">
        <f t="shared" si="168"/>
        <v>158124.221440001</v>
      </c>
      <c r="W186" s="500">
        <v>12</v>
      </c>
      <c r="X186" s="486">
        <f t="shared" si="169"/>
        <v>13177.0184533334</v>
      </c>
      <c r="Z186" s="934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4">
        <v>171</v>
      </c>
      <c r="B187" s="351" t="s">
        <v>379</v>
      </c>
      <c r="C187" s="806">
        <v>162634.666666667</v>
      </c>
      <c r="D187" s="466">
        <v>12</v>
      </c>
      <c r="E187" s="467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67">
        <f t="shared" si="174"/>
        <v>0</v>
      </c>
      <c r="V187" s="486">
        <f t="shared" si="168"/>
        <v>158124.221440001</v>
      </c>
      <c r="W187" s="500">
        <v>12</v>
      </c>
      <c r="X187" s="486">
        <f t="shared" si="169"/>
        <v>13177.0184533334</v>
      </c>
      <c r="Z187" s="934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111</v>
      </c>
      <c r="W188" s="618"/>
      <c r="X188" s="933">
        <f>SUM(X6:X187)</f>
        <v>13869913.4920067</v>
      </c>
      <c r="Y188" s="933"/>
      <c r="Z188" s="935">
        <f>SUM(Z6:Z187)</f>
        <v>13869913.4920067</v>
      </c>
      <c r="AA188" s="935">
        <f>SUM(AA6:AA187)</f>
        <v>10905235.8361748</v>
      </c>
      <c r="AB188" s="936">
        <f>SUM(AB6:AB187)</f>
        <v>2964677.65583184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9" activePane="bottomRight" state="frozen"/>
      <selection/>
      <selection pane="topRight"/>
      <selection pane="bottomLeft"/>
      <selection pane="bottomRight" activeCell="J4" sqref="J4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461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462</v>
      </c>
      <c r="F4" s="906" t="s">
        <v>463</v>
      </c>
      <c r="G4" s="914" t="s">
        <v>470</v>
      </c>
      <c r="H4" s="914" t="s">
        <v>471</v>
      </c>
      <c r="I4" s="914" t="s">
        <v>472</v>
      </c>
      <c r="J4" s="914" t="s">
        <v>474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475</v>
      </c>
      <c r="F6" s="908" t="s">
        <v>476</v>
      </c>
      <c r="G6" s="915" t="s">
        <v>483</v>
      </c>
      <c r="H6" s="915" t="s">
        <v>484</v>
      </c>
      <c r="I6" s="915" t="s">
        <v>485</v>
      </c>
      <c r="J6" s="915" t="s">
        <v>487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493</v>
      </c>
      <c r="I7" s="915" t="s">
        <v>494</v>
      </c>
      <c r="J7" s="915" t="s">
        <v>494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194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916"/>
      <c r="H14" s="916"/>
      <c r="I14" s="916">
        <f t="shared" si="0"/>
        <v>0</v>
      </c>
      <c r="J14" s="916">
        <f t="shared" si="1"/>
        <v>0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916"/>
      <c r="H15" s="916"/>
      <c r="I15" s="916">
        <f t="shared" si="0"/>
        <v>0</v>
      </c>
      <c r="J15" s="916">
        <f t="shared" si="1"/>
        <v>0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916"/>
      <c r="H16" s="916"/>
      <c r="I16" s="916">
        <f t="shared" si="0"/>
        <v>0</v>
      </c>
      <c r="J16" s="916">
        <f t="shared" si="1"/>
        <v>0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916"/>
      <c r="H17" s="916"/>
      <c r="I17" s="916">
        <f t="shared" si="0"/>
        <v>0</v>
      </c>
      <c r="J17" s="916">
        <f t="shared" si="1"/>
        <v>0</v>
      </c>
    </row>
    <row r="18" customHeight="1" spans="1:10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916"/>
      <c r="H18" s="916"/>
      <c r="I18" s="916">
        <f t="shared" si="0"/>
        <v>0</v>
      </c>
      <c r="J18" s="916">
        <f t="shared" si="1"/>
        <v>0</v>
      </c>
    </row>
    <row r="19" customHeight="1" spans="1:10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916">
        <v>5607.17708333333</v>
      </c>
      <c r="H19" s="916">
        <f t="shared" ref="H19:H22" si="3">0.025*F19</f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916"/>
      <c r="H21" s="916"/>
      <c r="I21" s="916">
        <f t="shared" si="0"/>
        <v>0</v>
      </c>
      <c r="J21" s="916">
        <f t="shared" si="1"/>
        <v>0</v>
      </c>
    </row>
    <row r="22" customHeight="1" spans="1:10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916"/>
      <c r="H23" s="916"/>
      <c r="I23" s="916">
        <f t="shared" si="0"/>
        <v>0</v>
      </c>
      <c r="J23" s="916">
        <f t="shared" si="1"/>
        <v>0</v>
      </c>
    </row>
    <row r="24" customHeight="1" spans="1:10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916"/>
      <c r="H24" s="916"/>
      <c r="I24" s="916">
        <f t="shared" si="0"/>
        <v>0</v>
      </c>
      <c r="J24" s="916">
        <f t="shared" si="1"/>
        <v>0</v>
      </c>
    </row>
    <row r="25" ht="21.6" customHeight="1" spans="1:10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916"/>
      <c r="H25" s="916"/>
      <c r="I25" s="916">
        <f t="shared" si="0"/>
        <v>0</v>
      </c>
      <c r="J25" s="916">
        <f t="shared" si="1"/>
        <v>0</v>
      </c>
    </row>
    <row r="26" customHeight="1" spans="1:10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916"/>
      <c r="H26" s="916"/>
      <c r="I26" s="916">
        <f t="shared" si="0"/>
        <v>0</v>
      </c>
      <c r="J26" s="916">
        <f t="shared" si="1"/>
        <v>0</v>
      </c>
    </row>
    <row r="27" customHeight="1" spans="1:10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916"/>
      <c r="H27" s="916"/>
      <c r="I27" s="916">
        <f t="shared" si="0"/>
        <v>0</v>
      </c>
      <c r="J27" s="916">
        <f t="shared" si="1"/>
        <v>0</v>
      </c>
    </row>
    <row r="28" ht="18.75" customHeight="1" spans="1:10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916"/>
      <c r="H28" s="916"/>
      <c r="I28" s="916">
        <f t="shared" si="0"/>
        <v>0</v>
      </c>
      <c r="J28" s="916">
        <f t="shared" si="1"/>
        <v>0</v>
      </c>
    </row>
    <row r="29" ht="18.75" customHeight="1" spans="1:10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916"/>
      <c r="H29" s="916"/>
      <c r="I29" s="916">
        <f t="shared" si="0"/>
        <v>0</v>
      </c>
      <c r="J29" s="916">
        <f t="shared" si="1"/>
        <v>0</v>
      </c>
    </row>
    <row r="30" customHeight="1" spans="1:10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916"/>
      <c r="H30" s="916"/>
      <c r="I30" s="916">
        <f t="shared" si="0"/>
        <v>0</v>
      </c>
      <c r="J30" s="916">
        <f t="shared" si="1"/>
        <v>0</v>
      </c>
    </row>
    <row r="31" ht="18.75" customHeight="1" spans="1:10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916"/>
      <c r="H31" s="916"/>
      <c r="I31" s="916">
        <f t="shared" si="0"/>
        <v>0</v>
      </c>
      <c r="J31" s="916">
        <f t="shared" si="1"/>
        <v>0</v>
      </c>
    </row>
    <row r="32" ht="18.75" customHeight="1" spans="1:10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916"/>
      <c r="H32" s="916"/>
      <c r="I32" s="916">
        <f t="shared" si="0"/>
        <v>0</v>
      </c>
      <c r="J32" s="916">
        <f t="shared" si="1"/>
        <v>0</v>
      </c>
    </row>
    <row r="33" ht="18.75" customHeight="1" spans="1:10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916"/>
      <c r="H33" s="916"/>
      <c r="I33" s="916">
        <f t="shared" si="0"/>
        <v>0</v>
      </c>
      <c r="J33" s="916">
        <f t="shared" si="1"/>
        <v>0</v>
      </c>
    </row>
    <row r="34" ht="18.75" customHeight="1" spans="1:10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916">
        <v>3653.5</v>
      </c>
      <c r="H34" s="916">
        <f>0.025*F34</f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916"/>
      <c r="H35" s="916"/>
      <c r="I35" s="916">
        <f t="shared" si="0"/>
        <v>0</v>
      </c>
      <c r="J35" s="916">
        <f t="shared" si="1"/>
        <v>0</v>
      </c>
    </row>
    <row r="36" ht="18.75" customHeight="1" spans="1:10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916"/>
      <c r="H36" s="916"/>
      <c r="I36" s="916">
        <f t="shared" si="0"/>
        <v>0</v>
      </c>
      <c r="J36" s="916">
        <f t="shared" si="1"/>
        <v>0</v>
      </c>
    </row>
    <row r="37" ht="18.75" customHeight="1" spans="1:10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916"/>
      <c r="H37" s="916"/>
      <c r="I37" s="916">
        <f t="shared" si="0"/>
        <v>0</v>
      </c>
      <c r="J37" s="916">
        <f t="shared" si="1"/>
        <v>0</v>
      </c>
    </row>
    <row r="38" ht="18.75" customHeight="1" spans="1:10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916"/>
      <c r="H38" s="916"/>
      <c r="I38" s="916">
        <f t="shared" si="0"/>
        <v>0</v>
      </c>
      <c r="J38" s="916">
        <f t="shared" si="1"/>
        <v>0</v>
      </c>
    </row>
    <row r="39" ht="26.25" customHeight="1" spans="1:10">
      <c r="A39" s="10"/>
      <c r="B39" s="20" t="s">
        <v>111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67587.0041666667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112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916"/>
      <c r="H42" s="916"/>
      <c r="I42" s="916">
        <f t="shared" ref="I42:I45" si="5">H42-G42</f>
        <v>0</v>
      </c>
      <c r="J42" s="916"/>
    </row>
    <row r="43" ht="18.75" customHeight="1" spans="1:10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916"/>
      <c r="H43" s="916"/>
      <c r="I43" s="916">
        <f t="shared" si="5"/>
        <v>0</v>
      </c>
      <c r="J43" s="916"/>
    </row>
    <row r="44" ht="18.75" customHeight="1" spans="1:10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916"/>
      <c r="H44" s="916"/>
      <c r="I44" s="916">
        <f t="shared" si="5"/>
        <v>0</v>
      </c>
      <c r="J44" s="916"/>
    </row>
    <row r="45" ht="18.75" customHeight="1" spans="1:10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916"/>
      <c r="H45" s="916"/>
      <c r="I45" s="916">
        <f t="shared" si="5"/>
        <v>0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125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916"/>
      <c r="H49" s="916"/>
      <c r="I49" s="916">
        <f t="shared" ref="I49:I56" si="7">H49-G49</f>
        <v>0</v>
      </c>
      <c r="J49" s="916"/>
    </row>
    <row r="50" customHeight="1" spans="1:10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916"/>
      <c r="H50" s="916"/>
      <c r="I50" s="916">
        <f t="shared" si="7"/>
        <v>0</v>
      </c>
      <c r="J50" s="916"/>
    </row>
    <row r="51" customHeight="1" spans="1:10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916">
        <v>8380.22708333333</v>
      </c>
      <c r="H51" s="916">
        <f>0.025*F51</f>
        <v>11475.2625</v>
      </c>
      <c r="I51" s="916">
        <f t="shared" si="7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916"/>
      <c r="H52" s="916"/>
      <c r="I52" s="916">
        <f t="shared" si="7"/>
        <v>0</v>
      </c>
      <c r="J52" s="916"/>
    </row>
    <row r="53" customHeight="1" spans="1:10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916"/>
      <c r="H53" s="916"/>
      <c r="I53" s="916">
        <f t="shared" si="7"/>
        <v>0</v>
      </c>
      <c r="J53" s="916"/>
    </row>
    <row r="54" customHeight="1" spans="1:10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916"/>
      <c r="H54" s="916"/>
      <c r="I54" s="916">
        <f t="shared" si="7"/>
        <v>0</v>
      </c>
      <c r="J54" s="916"/>
    </row>
    <row r="55" customHeight="1" spans="1:10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916"/>
      <c r="H55" s="916"/>
      <c r="I55" s="916">
        <f t="shared" si="7"/>
        <v>0</v>
      </c>
      <c r="J55" s="916"/>
    </row>
    <row r="56" customHeight="1" spans="1:10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916"/>
      <c r="H56" s="916"/>
      <c r="I56" s="916">
        <f t="shared" si="7"/>
        <v>0</v>
      </c>
      <c r="J56" s="916"/>
    </row>
    <row r="57" ht="25.5" customHeight="1" spans="1:10">
      <c r="A57" s="10"/>
      <c r="B57" s="20" t="s">
        <v>111</v>
      </c>
      <c r="C57" s="21">
        <v>8</v>
      </c>
      <c r="D57" s="21"/>
      <c r="E57" s="93">
        <f t="shared" ref="E57:J57" si="8">SUM(E49:E56)</f>
        <v>4037104.08333333</v>
      </c>
      <c r="F57" s="912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145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916"/>
      <c r="H60" s="916"/>
      <c r="I60" s="916">
        <f t="shared" ref="I60:I71" si="9">H60-G60</f>
        <v>0</v>
      </c>
      <c r="J60" s="916"/>
    </row>
    <row r="61" customHeight="1" spans="1:10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916"/>
      <c r="H61" s="916"/>
      <c r="I61" s="916">
        <f t="shared" si="9"/>
        <v>0</v>
      </c>
      <c r="J61" s="916"/>
    </row>
    <row r="62" customHeight="1" spans="1:10">
      <c r="A62" s="10"/>
      <c r="B62" s="20" t="s">
        <v>111</v>
      </c>
      <c r="C62" s="21">
        <v>2</v>
      </c>
      <c r="D62" s="21"/>
      <c r="E62" s="93">
        <f t="shared" ref="E62:J62" si="10">SUM(E60:E61)</f>
        <v>2056395.58333333</v>
      </c>
      <c r="F62" s="912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151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9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916"/>
      <c r="H66" s="916"/>
      <c r="I66" s="916">
        <f t="shared" si="9"/>
        <v>0</v>
      </c>
      <c r="J66" s="916"/>
    </row>
    <row r="67" customHeight="1" spans="1:10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916"/>
      <c r="H67" s="916"/>
      <c r="I67" s="916">
        <f t="shared" si="9"/>
        <v>0</v>
      </c>
      <c r="J67" s="916"/>
    </row>
    <row r="68" customHeight="1" spans="1:10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916"/>
      <c r="H68" s="916"/>
      <c r="I68" s="916">
        <f t="shared" si="9"/>
        <v>0</v>
      </c>
      <c r="J68" s="916"/>
    </row>
    <row r="69" customHeight="1" spans="1:10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916"/>
      <c r="H69" s="916"/>
      <c r="I69" s="916">
        <f t="shared" si="9"/>
        <v>0</v>
      </c>
      <c r="J69" s="916"/>
    </row>
    <row r="70" customHeight="1" spans="1:10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916"/>
      <c r="H70" s="916"/>
      <c r="I70" s="916">
        <f t="shared" si="9"/>
        <v>0</v>
      </c>
      <c r="J70" s="916"/>
    </row>
    <row r="71" ht="21.6" customHeight="1" spans="1:10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916"/>
      <c r="H71" s="916"/>
      <c r="I71" s="916">
        <f t="shared" si="9"/>
        <v>0</v>
      </c>
      <c r="J71" s="916"/>
    </row>
    <row r="72" ht="27" customHeight="1" spans="1:10">
      <c r="A72" s="10"/>
      <c r="B72" s="20" t="s">
        <v>111</v>
      </c>
      <c r="C72" s="21">
        <v>7</v>
      </c>
      <c r="D72" s="21"/>
      <c r="E72" s="93">
        <f t="shared" ref="E72:J72" si="11">SUM(E65:E71)</f>
        <v>3051668.91666667</v>
      </c>
      <c r="F72" s="912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169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916"/>
      <c r="H75" s="916"/>
      <c r="I75" s="916">
        <f t="shared" ref="I75:I80" si="12">H75-G75</f>
        <v>0</v>
      </c>
      <c r="J75" s="916"/>
    </row>
    <row r="76" customHeight="1" spans="1:10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916"/>
      <c r="H76" s="916"/>
      <c r="I76" s="916">
        <f t="shared" si="12"/>
        <v>0</v>
      </c>
      <c r="J76" s="916"/>
    </row>
    <row r="77" customHeight="1" spans="1:10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916">
        <v>6154.32291666667</v>
      </c>
      <c r="H77" s="916">
        <f>0.025*F77</f>
        <v>8926.66666666668</v>
      </c>
      <c r="I77" s="916">
        <f t="shared" si="12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916"/>
      <c r="H78" s="916"/>
      <c r="I78" s="916">
        <f t="shared" si="12"/>
        <v>0</v>
      </c>
      <c r="J78" s="916"/>
    </row>
    <row r="79" customHeight="1" spans="1:10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916"/>
      <c r="H79" s="916"/>
      <c r="I79" s="916">
        <f t="shared" si="12"/>
        <v>0</v>
      </c>
      <c r="J79" s="916"/>
    </row>
    <row r="80" customHeight="1" spans="1:10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916"/>
      <c r="H80" s="916"/>
      <c r="I80" s="916">
        <f t="shared" si="12"/>
        <v>0</v>
      </c>
      <c r="J80" s="916"/>
    </row>
    <row r="81" customHeight="1" spans="1:10">
      <c r="A81" s="10"/>
      <c r="B81" s="20" t="s">
        <v>111</v>
      </c>
      <c r="C81" s="21">
        <v>6</v>
      </c>
      <c r="D81" s="21"/>
      <c r="E81" s="93">
        <f t="shared" ref="E81:J81" si="13">SUM(E75:E80)</f>
        <v>3347837.16666667</v>
      </c>
      <c r="F81" s="912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189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4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916"/>
      <c r="H85" s="916"/>
      <c r="I85" s="916">
        <f t="shared" si="14"/>
        <v>0</v>
      </c>
      <c r="J85" s="916"/>
    </row>
    <row r="86" customHeight="1" spans="1:10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916"/>
      <c r="H86" s="916"/>
      <c r="I86" s="916">
        <f t="shared" si="14"/>
        <v>0</v>
      </c>
      <c r="J86" s="916"/>
    </row>
    <row r="87" ht="21.6" customHeight="1" spans="1:10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442746.5</v>
      </c>
      <c r="G87" s="916"/>
      <c r="H87" s="916"/>
      <c r="I87" s="916">
        <f t="shared" si="14"/>
        <v>0</v>
      </c>
      <c r="J87" s="916"/>
    </row>
    <row r="88" ht="21.6" customHeight="1" spans="1:10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442746.5</v>
      </c>
      <c r="G88" s="916"/>
      <c r="H88" s="916"/>
      <c r="I88" s="916">
        <f t="shared" si="14"/>
        <v>0</v>
      </c>
      <c r="J88" s="916"/>
    </row>
    <row r="89" ht="21.6" customHeight="1" spans="1:10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428870.75</v>
      </c>
      <c r="G89" s="916"/>
      <c r="H89" s="916"/>
      <c r="I89" s="916">
        <f t="shared" si="14"/>
        <v>0</v>
      </c>
      <c r="J89" s="916"/>
    </row>
    <row r="90" ht="21.6" customHeight="1" spans="1:10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916"/>
      <c r="H90" s="916"/>
      <c r="I90" s="916">
        <f t="shared" si="14"/>
        <v>0</v>
      </c>
      <c r="J90" s="916"/>
    </row>
    <row r="91" ht="21.6" customHeight="1" spans="1:10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916">
        <v>5259.74375</v>
      </c>
      <c r="H91" s="916">
        <f>0.025*F91</f>
        <v>7791.83125</v>
      </c>
      <c r="I91" s="916">
        <f t="shared" si="14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916"/>
      <c r="H92" s="916"/>
      <c r="I92" s="916">
        <f t="shared" si="14"/>
        <v>0</v>
      </c>
      <c r="J92" s="916"/>
    </row>
    <row r="93" ht="21.6" customHeight="1" spans="1:10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916"/>
      <c r="H93" s="916"/>
      <c r="I93" s="916">
        <f t="shared" si="14"/>
        <v>0</v>
      </c>
      <c r="J93" s="916"/>
    </row>
    <row r="94" customHeight="1" spans="1:10">
      <c r="A94" s="10"/>
      <c r="B94" s="20" t="s">
        <v>111</v>
      </c>
      <c r="C94" s="21">
        <v>10</v>
      </c>
      <c r="D94" s="21"/>
      <c r="E94" s="93">
        <f t="shared" ref="E94:J94" si="15">SUM(E84:E93)</f>
        <v>5352203.16666667</v>
      </c>
      <c r="F94" s="912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209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16">H97-G97</f>
        <v>8151.84583333325</v>
      </c>
      <c r="J97" s="916">
        <f t="shared" ref="J97:J101" si="17">H97*12</f>
        <v>316881.849999999</v>
      </c>
    </row>
    <row r="98" customHeight="1" spans="1:10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916"/>
      <c r="H98" s="916"/>
      <c r="I98" s="916">
        <f t="shared" si="16"/>
        <v>0</v>
      </c>
      <c r="J98" s="916">
        <f t="shared" si="17"/>
        <v>0</v>
      </c>
    </row>
    <row r="99" customHeight="1" spans="1:10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16"/>
        <v>1824.525</v>
      </c>
      <c r="J99" s="916">
        <f t="shared" si="17"/>
        <v>93501.975</v>
      </c>
    </row>
    <row r="100" customHeight="1" spans="1:10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916"/>
      <c r="H100" s="916"/>
      <c r="I100" s="916">
        <f t="shared" si="16"/>
        <v>0</v>
      </c>
      <c r="J100" s="916">
        <f t="shared" si="17"/>
        <v>0</v>
      </c>
    </row>
    <row r="101" customHeight="1" spans="1:10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916"/>
      <c r="H101" s="916"/>
      <c r="I101" s="916">
        <f t="shared" si="16"/>
        <v>0</v>
      </c>
      <c r="J101" s="916">
        <f t="shared" si="17"/>
        <v>0</v>
      </c>
    </row>
    <row r="102" customHeight="1" spans="1:10">
      <c r="A102" s="4"/>
      <c r="B102" s="20" t="s">
        <v>111</v>
      </c>
      <c r="C102" s="21">
        <v>5</v>
      </c>
      <c r="D102" s="26"/>
      <c r="E102" s="93">
        <f t="shared" ref="E102:J102" si="18">SUM(E97:E101)</f>
        <v>2966505.25</v>
      </c>
      <c r="F102" s="912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223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916">
        <v>0</v>
      </c>
      <c r="H105" s="916"/>
      <c r="I105" s="916">
        <f t="shared" ref="I105:I111" si="19">H105-G105</f>
        <v>0</v>
      </c>
      <c r="J105" s="916"/>
    </row>
    <row r="106" customHeight="1" spans="1:10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916">
        <v>10293.3979166667</v>
      </c>
      <c r="H106" s="916">
        <f>0.025*F106</f>
        <v>13866.7375</v>
      </c>
      <c r="I106" s="916">
        <f t="shared" si="19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228</v>
      </c>
      <c r="C107" s="4" t="s">
        <v>442</v>
      </c>
      <c r="D107" s="10" t="s">
        <v>52</v>
      </c>
      <c r="E107" s="85">
        <v>441804.916666667</v>
      </c>
      <c r="F107" s="909">
        <v>337730.833333333</v>
      </c>
      <c r="G107" s="916">
        <v>5954.61041666667</v>
      </c>
      <c r="H107" s="916">
        <f>0.025*F107</f>
        <v>8443.27083333333</v>
      </c>
      <c r="I107" s="916">
        <f t="shared" si="19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231</v>
      </c>
      <c r="C108" s="4" t="s">
        <v>442</v>
      </c>
      <c r="D108" s="10" t="s">
        <v>52</v>
      </c>
      <c r="E108" s="85">
        <v>441804.916666667</v>
      </c>
      <c r="F108" s="909">
        <v>337730.833333333</v>
      </c>
      <c r="G108" s="916"/>
      <c r="H108" s="916"/>
      <c r="I108" s="916">
        <f t="shared" si="19"/>
        <v>0</v>
      </c>
      <c r="J108" s="916"/>
    </row>
    <row r="109" customHeight="1" spans="1:10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916"/>
      <c r="H109" s="916"/>
      <c r="I109" s="916">
        <f t="shared" si="19"/>
        <v>0</v>
      </c>
      <c r="J109" s="916"/>
    </row>
    <row r="110" customHeight="1" spans="1:10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916"/>
      <c r="H110" s="916"/>
      <c r="I110" s="916">
        <f t="shared" si="19"/>
        <v>0</v>
      </c>
      <c r="J110" s="916"/>
    </row>
    <row r="111" customHeight="1" spans="1:10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916"/>
      <c r="H111" s="916"/>
      <c r="I111" s="916">
        <f t="shared" si="19"/>
        <v>0</v>
      </c>
      <c r="J111" s="916"/>
    </row>
    <row r="112" ht="25.5" customHeight="1" spans="1:10">
      <c r="A112" s="4"/>
      <c r="B112" s="20" t="s">
        <v>111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237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916"/>
      <c r="H115" s="916"/>
      <c r="I115" s="916">
        <f t="shared" ref="I115:I117" si="21">H115-G115</f>
        <v>0</v>
      </c>
      <c r="J115" s="916"/>
    </row>
    <row r="116" ht="18.75" customHeight="1" spans="1:10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916"/>
      <c r="H116" s="916"/>
      <c r="I116" s="916">
        <f t="shared" si="21"/>
        <v>0</v>
      </c>
      <c r="J116" s="916"/>
    </row>
    <row r="117" customHeight="1" spans="1:10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916">
        <v>5967.30625</v>
      </c>
      <c r="H117" s="916">
        <f>0.025*F117</f>
        <v>7574.68541666667</v>
      </c>
      <c r="I117" s="916">
        <f t="shared" si="21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111</v>
      </c>
      <c r="C118" s="21">
        <v>3</v>
      </c>
      <c r="D118" s="26"/>
      <c r="E118" s="93">
        <f t="shared" ref="E118:J118" si="22">SUM(E115:E117)</f>
        <v>1158230.58333333</v>
      </c>
      <c r="F118" s="912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245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916"/>
      <c r="H121" s="916"/>
      <c r="I121" s="916">
        <f t="shared" ref="I121:I135" si="23">H121-G121</f>
        <v>0</v>
      </c>
      <c r="J121" s="916"/>
    </row>
    <row r="122" ht="24.75" customHeight="1" spans="1:10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916"/>
      <c r="H122" s="916"/>
      <c r="I122" s="916">
        <f t="shared" si="23"/>
        <v>0</v>
      </c>
      <c r="J122" s="916"/>
    </row>
    <row r="123" customHeight="1" spans="1:10">
      <c r="A123" s="4"/>
      <c r="B123" s="20" t="s">
        <v>111</v>
      </c>
      <c r="C123" s="21">
        <v>3</v>
      </c>
      <c r="D123" s="26"/>
      <c r="E123" s="93">
        <f t="shared" ref="E123:J123" si="24">SUM(E121:E122)</f>
        <v>436575.166666666</v>
      </c>
      <c r="F123" s="912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252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916">
        <v>19384.7666666667</v>
      </c>
      <c r="H126" s="916">
        <f t="shared" ref="H126:H128" si="25">0.025*F126</f>
        <v>27169.4270833333</v>
      </c>
      <c r="I126" s="916">
        <f t="shared" si="23"/>
        <v>7784.66041666655</v>
      </c>
      <c r="J126" s="916">
        <f t="shared" ref="J126:J135" si="26">H126*12</f>
        <v>326033.124999999</v>
      </c>
    </row>
    <row r="127" customHeight="1" spans="1:10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916">
        <v>9980.56666666667</v>
      </c>
      <c r="H127" s="916">
        <f t="shared" si="25"/>
        <v>13866.7375</v>
      </c>
      <c r="I127" s="916">
        <f t="shared" si="23"/>
        <v>3886.17083333333</v>
      </c>
      <c r="J127" s="916">
        <f t="shared" si="26"/>
        <v>166400.85</v>
      </c>
    </row>
    <row r="128" customHeight="1" spans="1:10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916">
        <v>9980.56666666667</v>
      </c>
      <c r="H128" s="916">
        <f t="shared" si="25"/>
        <v>13084.6625</v>
      </c>
      <c r="I128" s="916">
        <f t="shared" si="23"/>
        <v>3104.09583333333</v>
      </c>
      <c r="J128" s="916">
        <f t="shared" si="26"/>
        <v>157015.95</v>
      </c>
    </row>
    <row r="129" customHeight="1" spans="1:10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916">
        <v>0</v>
      </c>
      <c r="H129" s="916"/>
      <c r="I129" s="916">
        <f t="shared" si="23"/>
        <v>0</v>
      </c>
      <c r="J129" s="916">
        <f t="shared" si="26"/>
        <v>0</v>
      </c>
    </row>
    <row r="130" customHeight="1" spans="1:10">
      <c r="A130" s="4">
        <v>5</v>
      </c>
      <c r="B130" s="11" t="s">
        <v>261</v>
      </c>
      <c r="C130" s="12" t="s">
        <v>495</v>
      </c>
      <c r="D130" s="15" t="s">
        <v>46</v>
      </c>
      <c r="E130" s="85">
        <v>456622.25</v>
      </c>
      <c r="F130" s="909">
        <v>347715.916666667</v>
      </c>
      <c r="G130" s="916">
        <v>5967.30625</v>
      </c>
      <c r="H130" s="916">
        <f>0.025*F130</f>
        <v>8692.89791666667</v>
      </c>
      <c r="I130" s="916">
        <f t="shared" si="23"/>
        <v>2725.59166666667</v>
      </c>
      <c r="J130" s="916">
        <f t="shared" si="26"/>
        <v>104314.775</v>
      </c>
    </row>
    <row r="131" customHeight="1" spans="1:10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916">
        <v>6154.32291666667</v>
      </c>
      <c r="H131" s="916">
        <f>0.025*F131</f>
        <v>8926.66666666668</v>
      </c>
      <c r="I131" s="916">
        <f t="shared" si="23"/>
        <v>2772.34375000001</v>
      </c>
      <c r="J131" s="916">
        <f t="shared" si="26"/>
        <v>107120</v>
      </c>
    </row>
    <row r="132" customHeight="1" spans="1:10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916"/>
      <c r="H132" s="916"/>
      <c r="I132" s="916">
        <f t="shared" si="23"/>
        <v>0</v>
      </c>
      <c r="J132" s="916">
        <f t="shared" si="26"/>
        <v>0</v>
      </c>
    </row>
    <row r="133" customHeight="1" spans="1:10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916">
        <v>0</v>
      </c>
      <c r="H133" s="916"/>
      <c r="I133" s="916">
        <f t="shared" si="23"/>
        <v>0</v>
      </c>
      <c r="J133" s="916">
        <f t="shared" si="26"/>
        <v>0</v>
      </c>
    </row>
    <row r="134" customHeight="1" spans="1:10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916">
        <v>0</v>
      </c>
      <c r="H134" s="916"/>
      <c r="I134" s="916">
        <f t="shared" si="23"/>
        <v>0</v>
      </c>
      <c r="J134" s="916">
        <f t="shared" si="26"/>
        <v>0</v>
      </c>
    </row>
    <row r="135" customHeight="1" spans="1:10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6"/>
      <c r="H135" s="916"/>
      <c r="I135" s="916">
        <f t="shared" si="23"/>
        <v>0</v>
      </c>
      <c r="J135" s="916">
        <f t="shared" si="26"/>
        <v>0</v>
      </c>
    </row>
    <row r="136" ht="28.5" customHeight="1" spans="1:10">
      <c r="A136" s="4"/>
      <c r="B136" s="20" t="s">
        <v>111</v>
      </c>
      <c r="C136" s="26" t="s">
        <v>496</v>
      </c>
      <c r="D136" s="15"/>
      <c r="E136" s="146">
        <f t="shared" ref="E136:J136" si="27">SUM(E126:E135)</f>
        <v>5289142.75</v>
      </c>
      <c r="F136" s="913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272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43" si="28">0.025*F139</f>
        <v>25644.2083333333</v>
      </c>
      <c r="I139" s="916">
        <f t="shared" ref="I139:I198" si="29">H139-G139</f>
        <v>7389.23333333325</v>
      </c>
      <c r="J139" s="916">
        <f t="shared" ref="J139:J198" si="30">H139*12</f>
        <v>307730.499999999</v>
      </c>
    </row>
    <row r="140" customHeight="1" spans="1:10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916">
        <v>10293.3979166667</v>
      </c>
      <c r="H140" s="916">
        <f t="shared" si="28"/>
        <v>13866.7375</v>
      </c>
      <c r="I140" s="916">
        <f t="shared" si="29"/>
        <v>3573.3395833333</v>
      </c>
      <c r="J140" s="916">
        <f t="shared" si="30"/>
        <v>166400.85</v>
      </c>
    </row>
    <row r="141" customHeight="1" spans="1:10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916">
        <v>8380.22708333333</v>
      </c>
      <c r="H141" s="916">
        <f t="shared" si="28"/>
        <v>10824.5270833333</v>
      </c>
      <c r="I141" s="916">
        <f t="shared" si="29"/>
        <v>2444.3</v>
      </c>
      <c r="J141" s="916">
        <f t="shared" si="30"/>
        <v>129894.325</v>
      </c>
    </row>
    <row r="142" customHeight="1" spans="1:10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916">
        <v>8381.22708333333</v>
      </c>
      <c r="H142" s="916">
        <f t="shared" si="28"/>
        <v>10824.5270833333</v>
      </c>
      <c r="I142" s="916">
        <f t="shared" si="29"/>
        <v>2443.3</v>
      </c>
      <c r="J142" s="916">
        <f t="shared" si="30"/>
        <v>129894.325</v>
      </c>
    </row>
    <row r="143" customHeight="1" spans="1:10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916">
        <v>8382.22708333333</v>
      </c>
      <c r="H143" s="916">
        <f t="shared" si="28"/>
        <v>10824.5270833333</v>
      </c>
      <c r="I143" s="916">
        <f t="shared" si="29"/>
        <v>2442.3</v>
      </c>
      <c r="J143" s="916">
        <f t="shared" si="30"/>
        <v>129894.325</v>
      </c>
    </row>
    <row r="144" customHeight="1" spans="1:10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311673.25</v>
      </c>
      <c r="G144" s="916">
        <v>0</v>
      </c>
      <c r="H144" s="916"/>
      <c r="I144" s="916">
        <f t="shared" si="29"/>
        <v>0</v>
      </c>
      <c r="J144" s="916">
        <f t="shared" si="30"/>
        <v>0</v>
      </c>
    </row>
    <row r="145" customHeight="1" spans="1:10">
      <c r="A145" s="27">
        <v>7</v>
      </c>
      <c r="B145" s="11" t="s">
        <v>284</v>
      </c>
      <c r="C145" s="4" t="s">
        <v>497</v>
      </c>
      <c r="D145" s="15" t="s">
        <v>159</v>
      </c>
      <c r="E145" s="85">
        <v>390248.916666667</v>
      </c>
      <c r="F145" s="909">
        <v>302987.416666667</v>
      </c>
      <c r="G145" s="916">
        <v>0</v>
      </c>
      <c r="H145" s="916"/>
      <c r="I145" s="916">
        <f t="shared" si="29"/>
        <v>0</v>
      </c>
      <c r="J145" s="916">
        <f t="shared" si="30"/>
        <v>0</v>
      </c>
    </row>
    <row r="146" customHeight="1" spans="1:10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916">
        <v>0</v>
      </c>
      <c r="H146" s="916"/>
      <c r="I146" s="916">
        <f t="shared" si="29"/>
        <v>0</v>
      </c>
      <c r="J146" s="916">
        <f t="shared" si="30"/>
        <v>0</v>
      </c>
    </row>
    <row r="147" customHeight="1" spans="1:10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916">
        <v>4928.93333333333</v>
      </c>
      <c r="H147" s="916">
        <f>0.025*F147</f>
        <v>7366.57291666668</v>
      </c>
      <c r="I147" s="916">
        <f t="shared" si="29"/>
        <v>2437.63958333335</v>
      </c>
      <c r="J147" s="916">
        <f t="shared" si="30"/>
        <v>88398.8750000001</v>
      </c>
    </row>
    <row r="148" customHeight="1" spans="1:10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916">
        <v>0</v>
      </c>
      <c r="H148" s="916"/>
      <c r="I148" s="916">
        <f t="shared" si="29"/>
        <v>0</v>
      </c>
      <c r="J148" s="916">
        <f t="shared" si="30"/>
        <v>0</v>
      </c>
    </row>
    <row r="149" customHeight="1" spans="1:10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916">
        <v>0</v>
      </c>
      <c r="H149" s="916"/>
      <c r="I149" s="916">
        <f t="shared" si="29"/>
        <v>0</v>
      </c>
      <c r="J149" s="916">
        <f t="shared" si="30"/>
        <v>0</v>
      </c>
    </row>
    <row r="150" customHeight="1" spans="1:10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916">
        <v>4928.93333333333</v>
      </c>
      <c r="H150" s="916">
        <f>0.025*F150</f>
        <v>6955.78125</v>
      </c>
      <c r="I150" s="916">
        <f t="shared" si="29"/>
        <v>2026.84791666667</v>
      </c>
      <c r="J150" s="916">
        <f t="shared" si="30"/>
        <v>83469.375</v>
      </c>
    </row>
    <row r="151" customHeight="1" spans="1:10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916">
        <v>0</v>
      </c>
      <c r="H151" s="916"/>
      <c r="I151" s="916">
        <f t="shared" si="29"/>
        <v>0</v>
      </c>
      <c r="J151" s="916">
        <f t="shared" si="30"/>
        <v>0</v>
      </c>
    </row>
    <row r="152" customHeight="1" spans="1:10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916">
        <v>0</v>
      </c>
      <c r="H152" s="916"/>
      <c r="I152" s="916">
        <f t="shared" si="29"/>
        <v>0</v>
      </c>
      <c r="J152" s="916">
        <f t="shared" si="30"/>
        <v>0</v>
      </c>
    </row>
    <row r="153" customHeight="1" spans="1:10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916">
        <v>0</v>
      </c>
      <c r="H153" s="916"/>
      <c r="I153" s="916">
        <f t="shared" si="29"/>
        <v>0</v>
      </c>
      <c r="J153" s="916">
        <f t="shared" si="30"/>
        <v>0</v>
      </c>
    </row>
    <row r="154" customHeight="1" spans="1:10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308901.5</v>
      </c>
      <c r="G154" s="916">
        <v>0</v>
      </c>
      <c r="H154" s="916"/>
      <c r="I154" s="916">
        <f t="shared" si="29"/>
        <v>0</v>
      </c>
      <c r="J154" s="916">
        <f t="shared" si="30"/>
        <v>0</v>
      </c>
    </row>
    <row r="155" customHeight="1" spans="1:10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916">
        <v>0</v>
      </c>
      <c r="H155" s="916"/>
      <c r="I155" s="916">
        <f t="shared" si="29"/>
        <v>0</v>
      </c>
      <c r="J155" s="916">
        <f t="shared" si="30"/>
        <v>0</v>
      </c>
    </row>
    <row r="156" customHeight="1" spans="1:10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308901.5</v>
      </c>
      <c r="G156" s="916">
        <v>4123.42083333333</v>
      </c>
      <c r="H156" s="916">
        <f>0.025*F156</f>
        <v>7722.5375</v>
      </c>
      <c r="I156" s="916">
        <f t="shared" si="29"/>
        <v>3599.11666666667</v>
      </c>
      <c r="J156" s="916">
        <f t="shared" si="30"/>
        <v>92670.45</v>
      </c>
    </row>
    <row r="157" customHeight="1" spans="1:10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916">
        <v>0</v>
      </c>
      <c r="H157" s="916"/>
      <c r="I157" s="916">
        <f t="shared" si="29"/>
        <v>0</v>
      </c>
      <c r="J157" s="916">
        <f t="shared" si="30"/>
        <v>0</v>
      </c>
    </row>
    <row r="158" customHeight="1" spans="1:10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916">
        <v>0</v>
      </c>
      <c r="H158" s="916"/>
      <c r="I158" s="916">
        <f t="shared" si="29"/>
        <v>0</v>
      </c>
      <c r="J158" s="916">
        <f t="shared" si="30"/>
        <v>0</v>
      </c>
    </row>
    <row r="159" customHeight="1" spans="1:10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916">
        <v>0</v>
      </c>
      <c r="H159" s="916"/>
      <c r="I159" s="916">
        <f t="shared" si="29"/>
        <v>0</v>
      </c>
      <c r="J159" s="916">
        <f t="shared" si="30"/>
        <v>0</v>
      </c>
    </row>
    <row r="160" customHeight="1" spans="1:10">
      <c r="A160" s="27">
        <v>22</v>
      </c>
      <c r="B160" s="18" t="s">
        <v>314</v>
      </c>
      <c r="C160" s="12" t="s">
        <v>315</v>
      </c>
      <c r="D160" s="15" t="s">
        <v>102</v>
      </c>
      <c r="E160" s="85">
        <v>230631.916666667</v>
      </c>
      <c r="F160" s="909">
        <v>196364.416666667</v>
      </c>
      <c r="G160" s="916">
        <v>0</v>
      </c>
      <c r="H160" s="916"/>
      <c r="I160" s="916">
        <f t="shared" si="29"/>
        <v>0</v>
      </c>
      <c r="J160" s="916">
        <f t="shared" si="30"/>
        <v>0</v>
      </c>
    </row>
    <row r="161" customHeight="1" spans="1:10">
      <c r="A161" s="27">
        <v>23</v>
      </c>
      <c r="B161" s="18" t="s">
        <v>316</v>
      </c>
      <c r="C161" s="12" t="s">
        <v>317</v>
      </c>
      <c r="D161" s="15" t="s">
        <v>102</v>
      </c>
      <c r="E161" s="85">
        <v>230631.916666667</v>
      </c>
      <c r="F161" s="909">
        <v>196364.416666667</v>
      </c>
      <c r="G161" s="916">
        <v>0</v>
      </c>
      <c r="H161" s="916"/>
      <c r="I161" s="916">
        <f t="shared" si="29"/>
        <v>0</v>
      </c>
      <c r="J161" s="916">
        <f t="shared" si="30"/>
        <v>0</v>
      </c>
    </row>
    <row r="162" customHeight="1" spans="1:10">
      <c r="A162" s="27">
        <v>24</v>
      </c>
      <c r="B162" s="18" t="s">
        <v>318</v>
      </c>
      <c r="C162" s="12" t="s">
        <v>319</v>
      </c>
      <c r="D162" s="15" t="s">
        <v>102</v>
      </c>
      <c r="E162" s="85">
        <v>230631.916666667</v>
      </c>
      <c r="F162" s="909">
        <v>196364.416666667</v>
      </c>
      <c r="G162" s="916">
        <v>0</v>
      </c>
      <c r="H162" s="916"/>
      <c r="I162" s="916">
        <f t="shared" si="29"/>
        <v>0</v>
      </c>
      <c r="J162" s="916">
        <f t="shared" si="30"/>
        <v>0</v>
      </c>
    </row>
    <row r="163" customHeight="1" spans="1:10">
      <c r="A163" s="27">
        <v>25</v>
      </c>
      <c r="B163" s="18" t="s">
        <v>320</v>
      </c>
      <c r="C163" s="12" t="s">
        <v>321</v>
      </c>
      <c r="D163" s="15" t="s">
        <v>208</v>
      </c>
      <c r="E163" s="85">
        <v>236804.083333333</v>
      </c>
      <c r="F163" s="909">
        <v>200549.416666667</v>
      </c>
      <c r="G163" s="916">
        <v>0</v>
      </c>
      <c r="H163" s="916"/>
      <c r="I163" s="916">
        <f t="shared" si="29"/>
        <v>0</v>
      </c>
      <c r="J163" s="916">
        <f t="shared" si="30"/>
        <v>0</v>
      </c>
    </row>
    <row r="164" customHeight="1" spans="1:10">
      <c r="A164" s="27">
        <v>26</v>
      </c>
      <c r="B164" s="18" t="s">
        <v>322</v>
      </c>
      <c r="C164" s="12" t="s">
        <v>317</v>
      </c>
      <c r="D164" s="15" t="s">
        <v>102</v>
      </c>
      <c r="E164" s="85">
        <v>230631.916666667</v>
      </c>
      <c r="F164" s="909">
        <v>196364.416666667</v>
      </c>
      <c r="G164" s="916">
        <v>0</v>
      </c>
      <c r="H164" s="916"/>
      <c r="I164" s="916">
        <f t="shared" si="29"/>
        <v>0</v>
      </c>
      <c r="J164" s="916">
        <f t="shared" si="30"/>
        <v>0</v>
      </c>
    </row>
    <row r="165" customHeight="1" spans="1:10">
      <c r="A165" s="27">
        <v>27</v>
      </c>
      <c r="B165" s="18" t="s">
        <v>323</v>
      </c>
      <c r="C165" s="12" t="s">
        <v>324</v>
      </c>
      <c r="D165" s="15" t="s">
        <v>105</v>
      </c>
      <c r="E165" s="676">
        <v>224459.75</v>
      </c>
      <c r="F165" s="909">
        <v>192179.416666667</v>
      </c>
      <c r="G165" s="916"/>
      <c r="H165" s="916"/>
      <c r="I165" s="916">
        <f t="shared" si="29"/>
        <v>0</v>
      </c>
      <c r="J165" s="916">
        <f t="shared" si="30"/>
        <v>0</v>
      </c>
    </row>
    <row r="166" customHeight="1" spans="1:10">
      <c r="A166" s="27">
        <v>28</v>
      </c>
      <c r="B166" s="18" t="s">
        <v>325</v>
      </c>
      <c r="C166" s="12" t="s">
        <v>324</v>
      </c>
      <c r="D166" s="15" t="s">
        <v>105</v>
      </c>
      <c r="E166" s="676">
        <v>224459.75</v>
      </c>
      <c r="F166" s="909">
        <v>192179.416666667</v>
      </c>
      <c r="G166" s="916"/>
      <c r="H166" s="916"/>
      <c r="I166" s="916">
        <f t="shared" si="29"/>
        <v>0</v>
      </c>
      <c r="J166" s="916">
        <f t="shared" si="30"/>
        <v>0</v>
      </c>
    </row>
    <row r="167" customHeight="1" spans="1:10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916">
        <v>2313.575</v>
      </c>
      <c r="H167" s="916">
        <f>0.025*F167</f>
        <v>3982.21458333333</v>
      </c>
      <c r="I167" s="916">
        <f t="shared" si="29"/>
        <v>1668.63958333333</v>
      </c>
      <c r="J167" s="916">
        <f t="shared" si="30"/>
        <v>47786.5749999999</v>
      </c>
    </row>
    <row r="168" customHeight="1" spans="1:10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916">
        <v>0</v>
      </c>
      <c r="H168" s="916"/>
      <c r="I168" s="916">
        <f t="shared" si="29"/>
        <v>0</v>
      </c>
      <c r="J168" s="916">
        <f t="shared" si="30"/>
        <v>0</v>
      </c>
    </row>
    <row r="169" customHeight="1" spans="1:10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916">
        <v>0</v>
      </c>
      <c r="H169" s="916"/>
      <c r="I169" s="916">
        <f t="shared" si="29"/>
        <v>0</v>
      </c>
      <c r="J169" s="916">
        <f t="shared" si="30"/>
        <v>0</v>
      </c>
    </row>
    <row r="170" customHeight="1" spans="1:10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916">
        <v>2313.575</v>
      </c>
      <c r="H170" s="916">
        <v>3982.21458333333</v>
      </c>
      <c r="I170" s="916">
        <f t="shared" si="29"/>
        <v>1668.63958333333</v>
      </c>
      <c r="J170" s="916">
        <f t="shared" si="30"/>
        <v>47786.575</v>
      </c>
    </row>
    <row r="171" customHeight="1" spans="1:10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916"/>
      <c r="H171" s="916"/>
      <c r="I171" s="916">
        <f t="shared" si="29"/>
        <v>0</v>
      </c>
      <c r="J171" s="916">
        <f t="shared" si="30"/>
        <v>0</v>
      </c>
    </row>
    <row r="172" customHeight="1" spans="1:10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916"/>
      <c r="H172" s="916"/>
      <c r="I172" s="916">
        <f t="shared" si="29"/>
        <v>0</v>
      </c>
      <c r="J172" s="916">
        <f t="shared" si="30"/>
        <v>0</v>
      </c>
    </row>
    <row r="173" customHeight="1" spans="1:10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916"/>
      <c r="H173" s="916"/>
      <c r="I173" s="916">
        <f t="shared" si="29"/>
        <v>0</v>
      </c>
      <c r="J173" s="916">
        <f t="shared" si="30"/>
        <v>0</v>
      </c>
    </row>
    <row r="174" customHeight="1" spans="1:10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916"/>
      <c r="H174" s="916"/>
      <c r="I174" s="916">
        <f t="shared" si="29"/>
        <v>0</v>
      </c>
      <c r="J174" s="916">
        <f t="shared" si="30"/>
        <v>0</v>
      </c>
    </row>
    <row r="175" customHeight="1" spans="1:10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916"/>
      <c r="H175" s="916"/>
      <c r="I175" s="916">
        <f t="shared" si="29"/>
        <v>0</v>
      </c>
      <c r="J175" s="916">
        <f t="shared" si="30"/>
        <v>0</v>
      </c>
    </row>
    <row r="176" customHeight="1" spans="1:10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916"/>
      <c r="H176" s="916"/>
      <c r="I176" s="916">
        <f t="shared" si="29"/>
        <v>0</v>
      </c>
      <c r="J176" s="916">
        <f t="shared" si="30"/>
        <v>0</v>
      </c>
    </row>
    <row r="177" customHeight="1" spans="1:10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916"/>
      <c r="H177" s="916"/>
      <c r="I177" s="916">
        <f t="shared" si="29"/>
        <v>0</v>
      </c>
      <c r="J177" s="916">
        <f t="shared" si="30"/>
        <v>0</v>
      </c>
    </row>
    <row r="178" customHeight="1" spans="1:10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916"/>
      <c r="H178" s="916"/>
      <c r="I178" s="916">
        <f t="shared" si="29"/>
        <v>0</v>
      </c>
      <c r="J178" s="916">
        <f t="shared" si="30"/>
        <v>0</v>
      </c>
    </row>
    <row r="179" customHeight="1" spans="1:10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916"/>
      <c r="H179" s="916"/>
      <c r="I179" s="916">
        <f t="shared" si="29"/>
        <v>0</v>
      </c>
      <c r="J179" s="916">
        <f t="shared" si="30"/>
        <v>0</v>
      </c>
    </row>
    <row r="180" customHeight="1" spans="1:10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916"/>
      <c r="H180" s="916"/>
      <c r="I180" s="916">
        <f t="shared" si="29"/>
        <v>0</v>
      </c>
      <c r="J180" s="916">
        <f t="shared" si="30"/>
        <v>0</v>
      </c>
    </row>
    <row r="181" customHeight="1" spans="1:10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916"/>
      <c r="H181" s="916"/>
      <c r="I181" s="916">
        <f t="shared" si="29"/>
        <v>0</v>
      </c>
      <c r="J181" s="916">
        <f t="shared" si="30"/>
        <v>0</v>
      </c>
    </row>
    <row r="182" customHeight="1" spans="1:10">
      <c r="A182" s="27">
        <v>44</v>
      </c>
      <c r="B182" s="11" t="s">
        <v>354</v>
      </c>
      <c r="C182" s="12" t="s">
        <v>355</v>
      </c>
      <c r="D182" s="15" t="s">
        <v>498</v>
      </c>
      <c r="E182" s="85">
        <v>94145.75</v>
      </c>
      <c r="F182" s="921">
        <v>101053.25</v>
      </c>
      <c r="G182" s="916"/>
      <c r="H182" s="916"/>
      <c r="I182" s="916">
        <f t="shared" si="29"/>
        <v>0</v>
      </c>
      <c r="J182" s="916">
        <f t="shared" si="30"/>
        <v>0</v>
      </c>
    </row>
    <row r="183" customHeight="1" spans="1:10">
      <c r="A183" s="27">
        <v>45</v>
      </c>
      <c r="B183" s="11" t="s">
        <v>357</v>
      </c>
      <c r="C183" s="12" t="s">
        <v>355</v>
      </c>
      <c r="D183" s="15" t="s">
        <v>498</v>
      </c>
      <c r="E183" s="85">
        <v>94145.75</v>
      </c>
      <c r="F183" s="921">
        <v>101053.25</v>
      </c>
      <c r="G183" s="916"/>
      <c r="H183" s="916"/>
      <c r="I183" s="916">
        <f t="shared" si="29"/>
        <v>0</v>
      </c>
      <c r="J183" s="916">
        <f t="shared" si="30"/>
        <v>0</v>
      </c>
    </row>
    <row r="184" customHeight="1" spans="1:10">
      <c r="A184" s="27">
        <v>46</v>
      </c>
      <c r="B184" s="11" t="s">
        <v>358</v>
      </c>
      <c r="C184" s="12" t="s">
        <v>355</v>
      </c>
      <c r="D184" s="15" t="s">
        <v>498</v>
      </c>
      <c r="E184" s="85">
        <v>94145.75</v>
      </c>
      <c r="F184" s="921">
        <v>101053.25</v>
      </c>
      <c r="G184" s="916"/>
      <c r="H184" s="916"/>
      <c r="I184" s="916">
        <f t="shared" si="29"/>
        <v>0</v>
      </c>
      <c r="J184" s="916">
        <f t="shared" si="30"/>
        <v>0</v>
      </c>
    </row>
    <row r="185" customHeight="1" spans="1:10">
      <c r="A185" s="27">
        <v>47</v>
      </c>
      <c r="B185" s="11" t="s">
        <v>359</v>
      </c>
      <c r="C185" s="12" t="s">
        <v>355</v>
      </c>
      <c r="D185" s="15" t="s">
        <v>498</v>
      </c>
      <c r="E185" s="85">
        <v>94145.75</v>
      </c>
      <c r="F185" s="921">
        <v>101053.25</v>
      </c>
      <c r="G185" s="916"/>
      <c r="H185" s="916"/>
      <c r="I185" s="916">
        <f t="shared" si="29"/>
        <v>0</v>
      </c>
      <c r="J185" s="916">
        <f t="shared" si="30"/>
        <v>0</v>
      </c>
    </row>
    <row r="186" customHeight="1" spans="1:10">
      <c r="A186" s="27">
        <v>48</v>
      </c>
      <c r="B186" s="11" t="s">
        <v>360</v>
      </c>
      <c r="C186" s="12" t="s">
        <v>355</v>
      </c>
      <c r="D186" s="15" t="s">
        <v>498</v>
      </c>
      <c r="E186" s="85">
        <v>94145.75</v>
      </c>
      <c r="F186" s="921">
        <v>101053.25</v>
      </c>
      <c r="G186" s="916"/>
      <c r="H186" s="916"/>
      <c r="I186" s="916">
        <f t="shared" si="29"/>
        <v>0</v>
      </c>
      <c r="J186" s="916">
        <f t="shared" si="30"/>
        <v>0</v>
      </c>
    </row>
    <row r="187" customHeight="1" spans="1:10">
      <c r="A187" s="27">
        <v>49</v>
      </c>
      <c r="B187" s="18" t="s">
        <v>361</v>
      </c>
      <c r="C187" s="12" t="s">
        <v>355</v>
      </c>
      <c r="D187" s="15" t="s">
        <v>498</v>
      </c>
      <c r="E187" s="85">
        <v>94145.75</v>
      </c>
      <c r="F187" s="921">
        <v>101053.25</v>
      </c>
      <c r="G187" s="916"/>
      <c r="H187" s="916"/>
      <c r="I187" s="916">
        <f t="shared" si="29"/>
        <v>0</v>
      </c>
      <c r="J187" s="916">
        <f t="shared" si="30"/>
        <v>0</v>
      </c>
    </row>
    <row r="188" customHeight="1" spans="1:10">
      <c r="A188" s="27">
        <v>50</v>
      </c>
      <c r="B188" s="18" t="s">
        <v>362</v>
      </c>
      <c r="C188" s="12" t="s">
        <v>355</v>
      </c>
      <c r="D188" s="15" t="s">
        <v>498</v>
      </c>
      <c r="E188" s="85">
        <v>94145.75</v>
      </c>
      <c r="F188" s="921">
        <v>101053.25</v>
      </c>
      <c r="G188" s="916"/>
      <c r="H188" s="916"/>
      <c r="I188" s="916">
        <f t="shared" si="29"/>
        <v>0</v>
      </c>
      <c r="J188" s="916">
        <f t="shared" si="30"/>
        <v>0</v>
      </c>
    </row>
    <row r="189" customHeight="1" spans="1:10">
      <c r="A189" s="27">
        <v>51</v>
      </c>
      <c r="B189" s="11" t="s">
        <v>499</v>
      </c>
      <c r="C189" s="12" t="s">
        <v>352</v>
      </c>
      <c r="D189" s="15" t="s">
        <v>498</v>
      </c>
      <c r="E189" s="85">
        <v>94145.75</v>
      </c>
      <c r="F189" s="921">
        <v>101053.25</v>
      </c>
      <c r="G189" s="916"/>
      <c r="H189" s="916"/>
      <c r="I189" s="916">
        <f t="shared" si="29"/>
        <v>0</v>
      </c>
      <c r="J189" s="916">
        <f t="shared" si="30"/>
        <v>0</v>
      </c>
    </row>
    <row r="190" customHeight="1" spans="1:10">
      <c r="A190" s="27">
        <v>52</v>
      </c>
      <c r="B190" s="11" t="s">
        <v>363</v>
      </c>
      <c r="C190" s="12" t="s">
        <v>352</v>
      </c>
      <c r="D190" s="15" t="s">
        <v>498</v>
      </c>
      <c r="E190" s="85">
        <v>94145.75</v>
      </c>
      <c r="F190" s="921">
        <v>101053.25</v>
      </c>
      <c r="G190" s="916"/>
      <c r="H190" s="916"/>
      <c r="I190" s="916">
        <f t="shared" si="29"/>
        <v>0</v>
      </c>
      <c r="J190" s="916">
        <f t="shared" si="30"/>
        <v>0</v>
      </c>
    </row>
    <row r="191" customHeight="1" spans="1:10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916"/>
      <c r="H191" s="916"/>
      <c r="I191" s="916">
        <f t="shared" si="29"/>
        <v>0</v>
      </c>
      <c r="J191" s="916">
        <f t="shared" si="30"/>
        <v>0</v>
      </c>
    </row>
    <row r="192" customHeight="1" spans="1:10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916"/>
      <c r="H192" s="916"/>
      <c r="I192" s="916">
        <f t="shared" si="29"/>
        <v>0</v>
      </c>
      <c r="J192" s="916">
        <f t="shared" si="30"/>
        <v>0</v>
      </c>
    </row>
    <row r="193" customHeight="1" spans="1:10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916"/>
      <c r="H193" s="916"/>
      <c r="I193" s="916">
        <f t="shared" si="29"/>
        <v>0</v>
      </c>
      <c r="J193" s="916">
        <f t="shared" si="30"/>
        <v>0</v>
      </c>
    </row>
    <row r="194" customHeight="1" spans="1:10">
      <c r="A194" s="27">
        <v>56</v>
      </c>
      <c r="B194" s="18" t="s">
        <v>371</v>
      </c>
      <c r="C194" s="12" t="s">
        <v>372</v>
      </c>
      <c r="D194" s="15" t="s">
        <v>373</v>
      </c>
      <c r="E194" s="85">
        <v>78733.8333333333</v>
      </c>
      <c r="F194" s="909">
        <v>91578.25</v>
      </c>
      <c r="G194" s="916"/>
      <c r="H194" s="916"/>
      <c r="I194" s="916">
        <f t="shared" si="29"/>
        <v>0</v>
      </c>
      <c r="J194" s="916">
        <f t="shared" si="30"/>
        <v>0</v>
      </c>
    </row>
    <row r="195" customHeight="1" spans="1:10">
      <c r="A195" s="27">
        <v>57</v>
      </c>
      <c r="B195" s="18" t="s">
        <v>374</v>
      </c>
      <c r="C195" s="12" t="s">
        <v>372</v>
      </c>
      <c r="D195" s="15" t="s">
        <v>373</v>
      </c>
      <c r="E195" s="85">
        <v>78733.8333333333</v>
      </c>
      <c r="F195" s="909">
        <v>91578.25</v>
      </c>
      <c r="G195" s="916"/>
      <c r="H195" s="916"/>
      <c r="I195" s="916">
        <f t="shared" si="29"/>
        <v>0</v>
      </c>
      <c r="J195" s="916">
        <f t="shared" si="30"/>
        <v>0</v>
      </c>
    </row>
    <row r="196" customHeight="1" spans="1:10">
      <c r="A196" s="27">
        <v>58</v>
      </c>
      <c r="B196" s="18" t="s">
        <v>375</v>
      </c>
      <c r="C196" s="12" t="s">
        <v>372</v>
      </c>
      <c r="D196" s="15" t="s">
        <v>373</v>
      </c>
      <c r="E196" s="85">
        <v>78733.8333333333</v>
      </c>
      <c r="F196" s="909">
        <v>91578.25</v>
      </c>
      <c r="G196" s="916"/>
      <c r="H196" s="916"/>
      <c r="I196" s="916">
        <f t="shared" si="29"/>
        <v>0</v>
      </c>
      <c r="J196" s="916">
        <f t="shared" si="30"/>
        <v>0</v>
      </c>
    </row>
    <row r="197" customHeight="1" spans="1:10">
      <c r="A197" s="27">
        <v>59</v>
      </c>
      <c r="B197" s="18" t="s">
        <v>376</v>
      </c>
      <c r="C197" s="12" t="s">
        <v>377</v>
      </c>
      <c r="D197" s="15" t="s">
        <v>378</v>
      </c>
      <c r="E197" s="85">
        <v>89050.25</v>
      </c>
      <c r="F197" s="909">
        <v>97920.6666666667</v>
      </c>
      <c r="G197" s="916"/>
      <c r="H197" s="916"/>
      <c r="I197" s="916">
        <f t="shared" si="29"/>
        <v>0</v>
      </c>
      <c r="J197" s="916">
        <f t="shared" si="30"/>
        <v>0</v>
      </c>
    </row>
    <row r="198" customHeight="1" spans="1:10">
      <c r="A198" s="27">
        <v>60</v>
      </c>
      <c r="B198" s="18" t="s">
        <v>379</v>
      </c>
      <c r="C198" s="12" t="s">
        <v>377</v>
      </c>
      <c r="D198" s="15" t="s">
        <v>378</v>
      </c>
      <c r="E198" s="85">
        <v>89050.25</v>
      </c>
      <c r="F198" s="909">
        <v>97920.6666666667</v>
      </c>
      <c r="G198" s="916"/>
      <c r="H198" s="916"/>
      <c r="I198" s="916">
        <f t="shared" si="29"/>
        <v>0</v>
      </c>
      <c r="J198" s="916">
        <f t="shared" si="30"/>
        <v>0</v>
      </c>
    </row>
    <row r="199" ht="30.75" customHeight="1" spans="1:10">
      <c r="A199" s="27"/>
      <c r="B199" s="8" t="s">
        <v>111</v>
      </c>
      <c r="C199" s="28" t="s">
        <v>500</v>
      </c>
      <c r="D199" s="29"/>
      <c r="E199" s="93">
        <f t="shared" ref="E199:J199" si="31">SUM(E139:E198)</f>
        <v>14787756.9166667</v>
      </c>
      <c r="F199" s="912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501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373109.295833333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7">
      <c r="A201" s="4"/>
      <c r="B201" s="30" t="s">
        <v>502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503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373109.295833333</v>
      </c>
      <c r="I202" s="227">
        <f t="shared" si="33"/>
        <v>105629.039583333</v>
      </c>
      <c r="J202" s="227">
        <f t="shared" si="33"/>
        <v>4477311.55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928" t="s">
        <v>527</v>
      </c>
      <c r="AA4" s="463" t="s">
        <v>528</v>
      </c>
      <c r="AB4" s="477" t="s">
        <v>529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66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69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71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74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77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80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89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91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92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/>
      <c r="B35" s="351" t="s">
        <v>100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/>
      <c r="B36" s="351" t="s">
        <v>103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112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113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116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118</v>
      </c>
      <c r="C41" s="467">
        <v>450135.833333334</v>
      </c>
      <c r="D41" s="466">
        <v>12</v>
      </c>
      <c r="E41" s="467">
        <f t="shared" si="16"/>
        <v>5401630.00000001</v>
      </c>
      <c r="F41" s="467"/>
      <c r="G41" s="467">
        <v>374530.4</v>
      </c>
      <c r="H41" s="467"/>
      <c r="I41" s="467">
        <f t="shared" si="17"/>
        <v>5027099.60000001</v>
      </c>
      <c r="J41" s="467">
        <v>200000</v>
      </c>
      <c r="K41" s="467">
        <v>0.2</v>
      </c>
      <c r="L41" s="467">
        <f t="shared" si="18"/>
        <v>1005419.92</v>
      </c>
      <c r="M41" s="467">
        <f t="shared" si="19"/>
        <v>1205419.92</v>
      </c>
      <c r="N41" s="467">
        <f t="shared" si="20"/>
        <v>1579950.32</v>
      </c>
      <c r="O41" s="467">
        <f t="shared" si="21"/>
        <v>3821679.68000001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149203.123200002</v>
      </c>
      <c r="V41" s="467">
        <f t="shared" si="28"/>
        <v>709203.123200002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1185306.75</v>
      </c>
      <c r="D45" s="466">
        <v>12</v>
      </c>
      <c r="E45" s="467">
        <f t="shared" ref="E45:E52" si="32">C45*D45</f>
        <v>14223681</v>
      </c>
      <c r="F45" s="467"/>
      <c r="G45" s="468">
        <v>869094.48</v>
      </c>
      <c r="H45" s="467"/>
      <c r="I45" s="467">
        <f t="shared" ref="I45:I52" si="33">E45-F45-G45-H45</f>
        <v>13354586.52</v>
      </c>
      <c r="J45" s="467">
        <v>200000</v>
      </c>
      <c r="K45" s="467">
        <v>0.2</v>
      </c>
      <c r="L45" s="467">
        <f t="shared" ref="L45:L52" si="34">I45*K45</f>
        <v>2670917.304</v>
      </c>
      <c r="M45" s="467">
        <f t="shared" ref="M45:M52" si="35">J45+L45</f>
        <v>2870917.304</v>
      </c>
      <c r="N45" s="467">
        <f t="shared" ref="N45:N52" si="36">F45+G45+H45+M45</f>
        <v>3740011.784</v>
      </c>
      <c r="O45" s="467">
        <f t="shared" ref="O45:O52" si="37">E45-N45</f>
        <v>10483669.216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1748080.61184</v>
      </c>
      <c r="V45" s="467">
        <f t="shared" ref="V45:V52" si="43">P45+Q45+R45+S45+T45+U45</f>
        <v>2308080.61184</v>
      </c>
      <c r="W45" s="474">
        <v>12</v>
      </c>
      <c r="X45" s="467">
        <f t="shared" ref="X45:X52" si="44">V45/W45</f>
        <v>192340.050986667</v>
      </c>
      <c r="Y45" s="467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904477</v>
      </c>
      <c r="D47" s="466">
        <v>12</v>
      </c>
      <c r="E47" s="467">
        <f t="shared" si="32"/>
        <v>10853724</v>
      </c>
      <c r="F47" s="470">
        <v>137703.15</v>
      </c>
      <c r="G47" s="468">
        <v>714697.92</v>
      </c>
      <c r="H47" s="470"/>
      <c r="I47" s="467">
        <f t="shared" si="33"/>
        <v>10001322.93</v>
      </c>
      <c r="J47" s="467">
        <v>200000</v>
      </c>
      <c r="K47" s="467">
        <v>0.2</v>
      </c>
      <c r="L47" s="467">
        <f t="shared" si="34"/>
        <v>2000264.586</v>
      </c>
      <c r="M47" s="467">
        <f t="shared" si="35"/>
        <v>2200264.586</v>
      </c>
      <c r="N47" s="467">
        <f t="shared" si="36"/>
        <v>3052665.656</v>
      </c>
      <c r="O47" s="467">
        <f t="shared" si="37"/>
        <v>7801058.344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1104254.00256</v>
      </c>
      <c r="V47" s="467">
        <f t="shared" si="43"/>
        <v>1664254.00256</v>
      </c>
      <c r="W47" s="474">
        <v>12</v>
      </c>
      <c r="X47" s="467">
        <f t="shared" si="44"/>
        <v>138687.833546667</v>
      </c>
      <c r="Y47" s="470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161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163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164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165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9"/>
      <c r="AD64" s="479"/>
      <c r="AE64" s="479"/>
    </row>
    <row r="65" ht="15.5" spans="1:31">
      <c r="A65" s="464">
        <v>56</v>
      </c>
      <c r="B65" s="643" t="s">
        <v>168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241363.123200002</v>
      </c>
      <c r="V65" s="467">
        <f t="shared" si="60"/>
        <v>801363.123200002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169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170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174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176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183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185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187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189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190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192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195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196</v>
      </c>
      <c r="C79" s="467">
        <v>793195.833333333</v>
      </c>
      <c r="D79" s="466">
        <v>12</v>
      </c>
      <c r="E79" s="467">
        <f t="shared" si="80"/>
        <v>9518350</v>
      </c>
      <c r="F79" s="467"/>
      <c r="G79" s="468">
        <v>627067.999999999</v>
      </c>
      <c r="H79" s="470"/>
      <c r="I79" s="467">
        <f t="shared" si="81"/>
        <v>8891282</v>
      </c>
      <c r="J79" s="467">
        <v>200000</v>
      </c>
      <c r="K79" s="467">
        <v>0.2</v>
      </c>
      <c r="L79" s="467">
        <f t="shared" si="82"/>
        <v>1778256.4</v>
      </c>
      <c r="M79" s="467">
        <f t="shared" si="83"/>
        <v>1978256.4</v>
      </c>
      <c r="N79" s="467">
        <f t="shared" si="84"/>
        <v>2605324.4</v>
      </c>
      <c r="O79" s="467">
        <f t="shared" si="85"/>
        <v>6913025.6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891126.143999999</v>
      </c>
      <c r="V79" s="467">
        <f t="shared" si="92"/>
        <v>1451126.144</v>
      </c>
      <c r="W79" s="474">
        <v>12</v>
      </c>
      <c r="X79" s="467">
        <f t="shared" si="93"/>
        <v>120927.178666667</v>
      </c>
      <c r="Y79" s="470"/>
      <c r="Z79" s="929">
        <f t="shared" si="94"/>
        <v>120927.178666667</v>
      </c>
      <c r="AA79" s="467">
        <v>83767.87</v>
      </c>
      <c r="AB79" s="806">
        <f t="shared" si="95"/>
        <v>37159.3086666666</v>
      </c>
      <c r="AC79" s="479"/>
      <c r="AD79" s="479"/>
      <c r="AE79" s="479"/>
    </row>
    <row r="80" ht="15.5" spans="1:31">
      <c r="A80" s="464">
        <v>72</v>
      </c>
      <c r="B80" s="643" t="s">
        <v>197</v>
      </c>
      <c r="C80" s="467">
        <v>793195.833333333</v>
      </c>
      <c r="D80" s="466">
        <v>12</v>
      </c>
      <c r="E80" s="467">
        <f t="shared" si="80"/>
        <v>9518350</v>
      </c>
      <c r="F80" s="467"/>
      <c r="G80" s="468">
        <v>627067.999999999</v>
      </c>
      <c r="H80" s="470"/>
      <c r="I80" s="467">
        <f t="shared" si="81"/>
        <v>8891282</v>
      </c>
      <c r="J80" s="467">
        <v>200000</v>
      </c>
      <c r="K80" s="467">
        <v>0.2</v>
      </c>
      <c r="L80" s="467">
        <f t="shared" si="82"/>
        <v>1778256.4</v>
      </c>
      <c r="M80" s="467">
        <f t="shared" si="83"/>
        <v>1978256.4</v>
      </c>
      <c r="N80" s="467">
        <f t="shared" si="84"/>
        <v>2605324.4</v>
      </c>
      <c r="O80" s="467">
        <f t="shared" si="85"/>
        <v>6913025.6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891126.143999999</v>
      </c>
      <c r="V80" s="467">
        <f t="shared" si="92"/>
        <v>1451126.144</v>
      </c>
      <c r="W80" s="474">
        <v>12</v>
      </c>
      <c r="X80" s="467">
        <f t="shared" si="93"/>
        <v>120927.178666667</v>
      </c>
      <c r="Y80" s="470"/>
      <c r="Z80" s="929">
        <f t="shared" si="94"/>
        <v>120927.178666667</v>
      </c>
      <c r="AA80" s="467">
        <v>83753.4084266666</v>
      </c>
      <c r="AB80" s="806">
        <f t="shared" si="95"/>
        <v>37173.77024</v>
      </c>
      <c r="AC80" s="479"/>
      <c r="AD80" s="479"/>
      <c r="AE80" s="479"/>
    </row>
    <row r="81" ht="31" spans="1:31">
      <c r="A81" s="464">
        <v>73</v>
      </c>
      <c r="B81" s="643" t="s">
        <v>198</v>
      </c>
      <c r="C81" s="467">
        <v>772925</v>
      </c>
      <c r="D81" s="466">
        <v>12</v>
      </c>
      <c r="E81" s="467">
        <f t="shared" si="80"/>
        <v>9275100</v>
      </c>
      <c r="F81" s="467"/>
      <c r="G81" s="468">
        <v>607608</v>
      </c>
      <c r="H81" s="470"/>
      <c r="I81" s="467">
        <f t="shared" si="81"/>
        <v>8667492</v>
      </c>
      <c r="J81" s="467">
        <v>200000</v>
      </c>
      <c r="K81" s="467">
        <v>0.2</v>
      </c>
      <c r="L81" s="467">
        <f t="shared" si="82"/>
        <v>1733498.4</v>
      </c>
      <c r="M81" s="467">
        <f t="shared" si="83"/>
        <v>1933498.4</v>
      </c>
      <c r="N81" s="467">
        <f t="shared" si="84"/>
        <v>2541106.4</v>
      </c>
      <c r="O81" s="467">
        <f t="shared" si="85"/>
        <v>6733993.6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848158.464</v>
      </c>
      <c r="V81" s="467">
        <f t="shared" si="92"/>
        <v>1408158.464</v>
      </c>
      <c r="W81" s="474">
        <v>12</v>
      </c>
      <c r="X81" s="467">
        <f t="shared" si="93"/>
        <v>117346.538666667</v>
      </c>
      <c r="Y81" s="470"/>
      <c r="Z81" s="929">
        <f t="shared" si="94"/>
        <v>117346.538666667</v>
      </c>
      <c r="AA81" s="467">
        <v>81302.3959466667</v>
      </c>
      <c r="AB81" s="806">
        <f t="shared" si="95"/>
        <v>36044.14272</v>
      </c>
      <c r="AC81" s="479"/>
      <c r="AD81" s="479"/>
      <c r="AE81" s="479"/>
    </row>
    <row r="82" ht="15.5" spans="1:31">
      <c r="A82" s="464">
        <v>74</v>
      </c>
      <c r="B82" s="643" t="s">
        <v>200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201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204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206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209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210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5.5" spans="1:31">
      <c r="A90" s="464">
        <v>80</v>
      </c>
      <c r="B90" s="643" t="s">
        <v>213</v>
      </c>
      <c r="C90" s="467">
        <v>643911.083333334</v>
      </c>
      <c r="D90" s="466">
        <v>12</v>
      </c>
      <c r="E90" s="467">
        <f t="shared" si="96"/>
        <v>7726933.00000001</v>
      </c>
      <c r="F90" s="467"/>
      <c r="G90" s="468">
        <v>550954.64</v>
      </c>
      <c r="H90" s="470"/>
      <c r="I90" s="467">
        <f t="shared" si="97"/>
        <v>7175978.36000001</v>
      </c>
      <c r="J90" s="467">
        <v>200000</v>
      </c>
      <c r="K90" s="467">
        <v>0.2</v>
      </c>
      <c r="L90" s="467">
        <f t="shared" si="98"/>
        <v>1435195.672</v>
      </c>
      <c r="M90" s="467">
        <f t="shared" si="99"/>
        <v>1635195.672</v>
      </c>
      <c r="N90" s="467">
        <f t="shared" si="100"/>
        <v>2186150.312</v>
      </c>
      <c r="O90" s="467">
        <f t="shared" si="101"/>
        <v>5540782.68800001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561787.845120001</v>
      </c>
      <c r="V90" s="467">
        <f t="shared" si="108"/>
        <v>1121787.84512</v>
      </c>
      <c r="W90" s="474">
        <v>12</v>
      </c>
      <c r="X90" s="467">
        <f t="shared" si="109"/>
        <v>93482.3204266668</v>
      </c>
      <c r="Y90" s="470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215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219</v>
      </c>
      <c r="C92" s="467">
        <v>542662.666666667</v>
      </c>
      <c r="D92" s="466">
        <v>12</v>
      </c>
      <c r="E92" s="467">
        <f t="shared" si="96"/>
        <v>6511952</v>
      </c>
      <c r="F92" s="467"/>
      <c r="G92" s="468">
        <v>463356.160000001</v>
      </c>
      <c r="H92" s="470"/>
      <c r="I92" s="467">
        <f t="shared" si="97"/>
        <v>6048595.84</v>
      </c>
      <c r="J92" s="467">
        <v>200000</v>
      </c>
      <c r="K92" s="467">
        <v>0.2</v>
      </c>
      <c r="L92" s="467">
        <f t="shared" si="98"/>
        <v>1209719.168</v>
      </c>
      <c r="M92" s="467">
        <f t="shared" si="99"/>
        <v>1409719.168</v>
      </c>
      <c r="N92" s="467">
        <f t="shared" si="100"/>
        <v>1873075.328</v>
      </c>
      <c r="O92" s="467">
        <f t="shared" si="101"/>
        <v>4638876.672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345330.401280001</v>
      </c>
      <c r="V92" s="467">
        <f t="shared" si="108"/>
        <v>905330.401280001</v>
      </c>
      <c r="W92" s="474">
        <v>12</v>
      </c>
      <c r="X92" s="467">
        <f t="shared" si="109"/>
        <v>75444.2001066667</v>
      </c>
      <c r="Y92" s="470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9"/>
      <c r="AD92" s="479"/>
      <c r="AE92" s="479"/>
    </row>
    <row r="93" ht="15.5" spans="1:31">
      <c r="A93" s="464"/>
      <c r="B93" s="643" t="s">
        <v>221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223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224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226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228</v>
      </c>
      <c r="C98" s="467">
        <v>702784.271858333</v>
      </c>
      <c r="D98" s="466">
        <v>12</v>
      </c>
      <c r="E98" s="467">
        <f t="shared" si="112"/>
        <v>8433411.2623</v>
      </c>
      <c r="F98" s="467">
        <v>101319.25</v>
      </c>
      <c r="G98" s="468">
        <v>519697.279999999</v>
      </c>
      <c r="H98" s="470"/>
      <c r="I98" s="467">
        <f t="shared" si="113"/>
        <v>7812394.7323</v>
      </c>
      <c r="J98" s="467">
        <v>200000</v>
      </c>
      <c r="K98" s="467">
        <v>0.2</v>
      </c>
      <c r="L98" s="467">
        <f t="shared" si="114"/>
        <v>1562478.94646</v>
      </c>
      <c r="M98" s="467">
        <f t="shared" si="115"/>
        <v>1762478.94646</v>
      </c>
      <c r="N98" s="467">
        <f t="shared" si="116"/>
        <v>2383495.47646</v>
      </c>
      <c r="O98" s="467">
        <f t="shared" si="117"/>
        <v>6049915.78584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683979.788601599</v>
      </c>
      <c r="V98" s="467">
        <f t="shared" si="124"/>
        <v>1243979.7886016</v>
      </c>
      <c r="W98" s="474">
        <v>12</v>
      </c>
      <c r="X98" s="467">
        <f t="shared" si="125"/>
        <v>103664.982383467</v>
      </c>
      <c r="Y98" s="470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231</v>
      </c>
      <c r="C99" s="467">
        <v>701171.449988333</v>
      </c>
      <c r="D99" s="466">
        <v>12</v>
      </c>
      <c r="E99" s="467">
        <f t="shared" si="112"/>
        <v>8414057.39986</v>
      </c>
      <c r="F99" s="467"/>
      <c r="G99" s="468">
        <v>519697.279999999</v>
      </c>
      <c r="H99" s="470"/>
      <c r="I99" s="467">
        <f t="shared" si="113"/>
        <v>7894360.11986</v>
      </c>
      <c r="J99" s="467">
        <v>200000</v>
      </c>
      <c r="K99" s="467">
        <v>0.2</v>
      </c>
      <c r="L99" s="467">
        <f t="shared" si="114"/>
        <v>1578872.023972</v>
      </c>
      <c r="M99" s="467">
        <f t="shared" si="115"/>
        <v>1778872.023972</v>
      </c>
      <c r="N99" s="467">
        <f t="shared" si="116"/>
        <v>2298569.303972</v>
      </c>
      <c r="O99" s="467">
        <f t="shared" si="117"/>
        <v>6115488.095888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699717.143013119</v>
      </c>
      <c r="V99" s="467">
        <f t="shared" si="124"/>
        <v>1259717.14301312</v>
      </c>
      <c r="W99" s="474">
        <v>12</v>
      </c>
      <c r="X99" s="467">
        <f t="shared" si="125"/>
        <v>104976.428584427</v>
      </c>
      <c r="Y99" s="470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9"/>
      <c r="AD99" s="479"/>
      <c r="AE99" s="479"/>
    </row>
    <row r="100" ht="15.5" spans="1:31">
      <c r="A100" s="464">
        <v>89</v>
      </c>
      <c r="B100" s="643" t="s">
        <v>232</v>
      </c>
      <c r="C100" s="467">
        <v>455283.864146667</v>
      </c>
      <c r="D100" s="466">
        <v>12</v>
      </c>
      <c r="E100" s="467">
        <f t="shared" si="112"/>
        <v>5463406.36976</v>
      </c>
      <c r="F100" s="467"/>
      <c r="G100" s="468">
        <v>316752.400000001</v>
      </c>
      <c r="H100" s="470"/>
      <c r="I100" s="467">
        <f t="shared" si="113"/>
        <v>5146653.96976</v>
      </c>
      <c r="J100" s="467">
        <v>200000</v>
      </c>
      <c r="K100" s="467">
        <v>0.2</v>
      </c>
      <c r="L100" s="467">
        <f t="shared" si="114"/>
        <v>1029330.793952</v>
      </c>
      <c r="M100" s="467">
        <f t="shared" si="115"/>
        <v>1229330.793952</v>
      </c>
      <c r="N100" s="467">
        <f t="shared" si="116"/>
        <v>1546083.193952</v>
      </c>
      <c r="O100" s="467">
        <f t="shared" si="117"/>
        <v>3917323.175808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172157.562193921</v>
      </c>
      <c r="V100" s="467">
        <f t="shared" si="124"/>
        <v>732157.562193921</v>
      </c>
      <c r="W100" s="474">
        <v>12</v>
      </c>
      <c r="X100" s="467">
        <f t="shared" si="125"/>
        <v>61013.1301828267</v>
      </c>
      <c r="Y100" s="470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9"/>
      <c r="AD100" s="479"/>
      <c r="AE100" s="479"/>
    </row>
    <row r="101" ht="31" spans="1:31">
      <c r="A101" s="464"/>
      <c r="B101" s="351" t="s">
        <v>235</v>
      </c>
      <c r="C101" s="467">
        <v>466741.530813333</v>
      </c>
      <c r="D101" s="466">
        <v>12</v>
      </c>
      <c r="E101" s="467">
        <f t="shared" si="112"/>
        <v>5600898.36976</v>
      </c>
      <c r="F101" s="467"/>
      <c r="G101" s="468">
        <v>317190.799999999</v>
      </c>
      <c r="H101" s="470"/>
      <c r="I101" s="467">
        <f t="shared" si="113"/>
        <v>5283707.56976</v>
      </c>
      <c r="J101" s="467">
        <v>200000</v>
      </c>
      <c r="K101" s="467">
        <v>0.2</v>
      </c>
      <c r="L101" s="467">
        <f t="shared" si="114"/>
        <v>1056741.513952</v>
      </c>
      <c r="M101" s="467">
        <f t="shared" si="115"/>
        <v>1256741.513952</v>
      </c>
      <c r="N101" s="467">
        <f t="shared" si="116"/>
        <v>1573932.313952</v>
      </c>
      <c r="O101" s="467">
        <f t="shared" si="117"/>
        <v>4026966.055808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198471.853393919</v>
      </c>
      <c r="V101" s="467">
        <f t="shared" si="124"/>
        <v>758471.853393919</v>
      </c>
      <c r="W101" s="474">
        <v>12</v>
      </c>
      <c r="X101" s="467">
        <f t="shared" si="125"/>
        <v>63205.9877828266</v>
      </c>
      <c r="Y101" s="470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9"/>
      <c r="AD101" s="479"/>
      <c r="AE101" s="479"/>
    </row>
    <row r="102" ht="15.5" spans="1:31">
      <c r="A102" s="464"/>
      <c r="B102" s="351" t="s">
        <v>236</v>
      </c>
      <c r="C102" s="467">
        <v>433486.862111667</v>
      </c>
      <c r="D102" s="466">
        <v>12</v>
      </c>
      <c r="E102" s="467">
        <f t="shared" si="112"/>
        <v>5201842.34534</v>
      </c>
      <c r="G102" s="468">
        <v>296563.840000001</v>
      </c>
      <c r="H102" s="470"/>
      <c r="I102" s="467">
        <f t="shared" si="113"/>
        <v>4905278.50534</v>
      </c>
      <c r="J102" s="467">
        <v>200000</v>
      </c>
      <c r="K102" s="467">
        <v>0.2</v>
      </c>
      <c r="L102" s="467">
        <f t="shared" si="114"/>
        <v>981055.701068001</v>
      </c>
      <c r="M102" s="467">
        <f t="shared" si="115"/>
        <v>1181055.701068</v>
      </c>
      <c r="N102" s="467">
        <f t="shared" si="116"/>
        <v>1477619.541068</v>
      </c>
      <c r="O102" s="467">
        <f t="shared" si="117"/>
        <v>3724222.804272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125813.473025281</v>
      </c>
      <c r="V102" s="467">
        <f t="shared" si="124"/>
        <v>685813.473025281</v>
      </c>
      <c r="W102" s="474">
        <v>12</v>
      </c>
      <c r="X102" s="467">
        <f t="shared" si="125"/>
        <v>57151.1227521067</v>
      </c>
      <c r="Y102" s="470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237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238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240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179</v>
      </c>
      <c r="C107" s="473">
        <v>552846.583333334</v>
      </c>
      <c r="D107" s="466">
        <v>12</v>
      </c>
      <c r="E107" s="467">
        <f t="shared" si="129"/>
        <v>6634159.00000001</v>
      </c>
      <c r="F107" s="467">
        <v>90896.2250000001</v>
      </c>
      <c r="G107" s="468">
        <v>463532.72</v>
      </c>
      <c r="H107" s="470"/>
      <c r="I107" s="467">
        <f t="shared" si="130"/>
        <v>6079730.05500001</v>
      </c>
      <c r="J107" s="467">
        <v>200000</v>
      </c>
      <c r="K107" s="467">
        <v>0.2</v>
      </c>
      <c r="L107" s="467">
        <f t="shared" si="131"/>
        <v>1215946.011</v>
      </c>
      <c r="M107" s="467">
        <f t="shared" si="132"/>
        <v>1415946.011</v>
      </c>
      <c r="N107" s="467">
        <f t="shared" si="133"/>
        <v>1970374.956</v>
      </c>
      <c r="O107" s="467">
        <f t="shared" si="134"/>
        <v>4663784.04400001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351308.170560001</v>
      </c>
      <c r="V107" s="467">
        <f t="shared" si="141"/>
        <v>911308.170560001</v>
      </c>
      <c r="W107" s="474">
        <v>12</v>
      </c>
      <c r="X107" s="467">
        <f t="shared" si="142"/>
        <v>75942.3475466668</v>
      </c>
      <c r="Y107" s="470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530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248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250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252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253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255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257</v>
      </c>
      <c r="C117" s="467">
        <v>1072711.08333333</v>
      </c>
      <c r="D117" s="466">
        <v>12</v>
      </c>
      <c r="E117" s="467">
        <f t="shared" si="145"/>
        <v>12872533</v>
      </c>
      <c r="F117" s="467">
        <v>157015.95</v>
      </c>
      <c r="G117" s="468">
        <v>818602.639999999</v>
      </c>
      <c r="H117" s="470"/>
      <c r="I117" s="467">
        <f t="shared" si="146"/>
        <v>11896914.41</v>
      </c>
      <c r="J117" s="467">
        <v>200000</v>
      </c>
      <c r="K117" s="467">
        <v>0.2</v>
      </c>
      <c r="L117" s="467">
        <f t="shared" si="147"/>
        <v>2379382.88199999</v>
      </c>
      <c r="M117" s="467">
        <f t="shared" si="148"/>
        <v>2579382.88199999</v>
      </c>
      <c r="N117" s="467">
        <f t="shared" si="149"/>
        <v>3555001.47199999</v>
      </c>
      <c r="O117" s="467">
        <f t="shared" si="150"/>
        <v>9317531.52799997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1468207.56671999</v>
      </c>
      <c r="V117" s="467">
        <f t="shared" si="156"/>
        <v>2028207.56671999</v>
      </c>
      <c r="W117" s="474">
        <v>12</v>
      </c>
      <c r="X117" s="467">
        <f t="shared" si="157"/>
        <v>169017.297226666</v>
      </c>
      <c r="Y117" s="470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9"/>
      <c r="AD117" s="479"/>
      <c r="AE117" s="479"/>
    </row>
    <row r="118" ht="15.5" spans="1:31">
      <c r="A118" s="464"/>
      <c r="B118" s="643" t="s">
        <v>259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261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262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265</v>
      </c>
      <c r="C121" s="467">
        <v>415320.666666667</v>
      </c>
      <c r="D121" s="466">
        <v>12</v>
      </c>
      <c r="E121" s="467">
        <f t="shared" si="145"/>
        <v>4983848</v>
      </c>
      <c r="F121" s="473"/>
      <c r="G121" s="468">
        <v>341107.840000001</v>
      </c>
      <c r="H121" s="470"/>
      <c r="I121" s="467">
        <f t="shared" si="146"/>
        <v>4642740.16</v>
      </c>
      <c r="J121" s="467">
        <v>200000</v>
      </c>
      <c r="K121" s="467">
        <v>0.2</v>
      </c>
      <c r="L121" s="467">
        <f t="shared" si="147"/>
        <v>928548.032000001</v>
      </c>
      <c r="M121" s="467">
        <f t="shared" si="148"/>
        <v>1128548.032</v>
      </c>
      <c r="N121" s="467">
        <f t="shared" si="149"/>
        <v>1469655.872</v>
      </c>
      <c r="O121" s="467">
        <f t="shared" si="150"/>
        <v>3514192.128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75406.1107200006</v>
      </c>
      <c r="V121" s="467">
        <f t="shared" si="156"/>
        <v>635406.110720001</v>
      </c>
      <c r="W121" s="474">
        <v>12</v>
      </c>
      <c r="X121" s="467">
        <f t="shared" si="157"/>
        <v>52950.5092266667</v>
      </c>
      <c r="Y121" s="470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267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269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270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111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272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273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276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278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280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282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283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286</v>
      </c>
      <c r="C135" s="467">
        <v>542662.666666667</v>
      </c>
      <c r="D135" s="466">
        <v>12</v>
      </c>
      <c r="E135" s="467">
        <f t="shared" si="161"/>
        <v>6511952</v>
      </c>
      <c r="F135" s="467"/>
      <c r="G135" s="468">
        <v>463356.160000001</v>
      </c>
      <c r="H135" s="470"/>
      <c r="I135" s="467">
        <f t="shared" si="162"/>
        <v>6048595.84</v>
      </c>
      <c r="J135" s="467">
        <v>200000</v>
      </c>
      <c r="K135" s="467">
        <v>0.2</v>
      </c>
      <c r="L135" s="467">
        <f t="shared" si="163"/>
        <v>1209719.168</v>
      </c>
      <c r="M135" s="467">
        <f t="shared" si="164"/>
        <v>1409719.168</v>
      </c>
      <c r="N135" s="467">
        <f t="shared" si="165"/>
        <v>1873075.328</v>
      </c>
      <c r="O135" s="467">
        <f t="shared" si="166"/>
        <v>4638876.672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345330.401280001</v>
      </c>
      <c r="V135" s="467">
        <f t="shared" si="173"/>
        <v>905330.401280001</v>
      </c>
      <c r="W135" s="474">
        <v>12</v>
      </c>
      <c r="X135" s="467">
        <f t="shared" si="174"/>
        <v>75444.2001066667</v>
      </c>
      <c r="Y135" s="470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290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292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293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298</v>
      </c>
      <c r="C142" s="467">
        <v>407016.166666666</v>
      </c>
      <c r="D142" s="466">
        <v>12</v>
      </c>
      <c r="E142" s="467">
        <f t="shared" si="161"/>
        <v>4884193.99999999</v>
      </c>
      <c r="F142" s="467"/>
      <c r="G142" s="468">
        <v>333135.52</v>
      </c>
      <c r="H142" s="470"/>
      <c r="I142" s="467">
        <f t="shared" si="162"/>
        <v>4551058.47999999</v>
      </c>
      <c r="J142" s="467">
        <v>200000</v>
      </c>
      <c r="K142" s="467">
        <v>0.2</v>
      </c>
      <c r="L142" s="467">
        <f t="shared" si="163"/>
        <v>910211.695999998</v>
      </c>
      <c r="M142" s="467">
        <f t="shared" si="164"/>
        <v>1110211.696</v>
      </c>
      <c r="N142" s="467">
        <f t="shared" si="165"/>
        <v>1443347.216</v>
      </c>
      <c r="O142" s="467">
        <f t="shared" si="166"/>
        <v>3440846.78399999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57803.2281599984</v>
      </c>
      <c r="V142" s="467">
        <f t="shared" si="173"/>
        <v>617803.228159998</v>
      </c>
      <c r="W142" s="474">
        <v>12</v>
      </c>
      <c r="X142" s="467">
        <f t="shared" si="174"/>
        <v>51483.6023466665</v>
      </c>
      <c r="Y142" s="470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300</v>
      </c>
      <c r="C143" s="467">
        <v>516564.75</v>
      </c>
      <c r="D143" s="466">
        <v>12</v>
      </c>
      <c r="E143" s="467">
        <f t="shared" si="161"/>
        <v>6198777</v>
      </c>
      <c r="F143" s="467"/>
      <c r="G143" s="468">
        <v>438302.16</v>
      </c>
      <c r="H143" s="470"/>
      <c r="I143" s="467">
        <f t="shared" si="162"/>
        <v>5760474.84</v>
      </c>
      <c r="J143" s="467">
        <v>200000</v>
      </c>
      <c r="K143" s="467">
        <v>0.2</v>
      </c>
      <c r="L143" s="467">
        <f t="shared" si="163"/>
        <v>1152094.968</v>
      </c>
      <c r="M143" s="467">
        <f t="shared" si="164"/>
        <v>1352094.968</v>
      </c>
      <c r="N143" s="467">
        <f t="shared" si="165"/>
        <v>1790397.128</v>
      </c>
      <c r="O143" s="467">
        <f t="shared" si="166"/>
        <v>4408379.872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290011.16928</v>
      </c>
      <c r="V143" s="467">
        <f t="shared" si="173"/>
        <v>850011.16928</v>
      </c>
      <c r="W143" s="474">
        <v>12</v>
      </c>
      <c r="X143" s="467">
        <f t="shared" si="174"/>
        <v>70834.2641066667</v>
      </c>
      <c r="Y143" s="470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303</v>
      </c>
      <c r="C144" s="467">
        <v>415320.666666667</v>
      </c>
      <c r="D144" s="466">
        <v>12</v>
      </c>
      <c r="E144" s="467">
        <f t="shared" si="161"/>
        <v>4983848</v>
      </c>
      <c r="F144" s="467"/>
      <c r="G144" s="468">
        <v>341107.840000001</v>
      </c>
      <c r="H144" s="470"/>
      <c r="I144" s="467">
        <f t="shared" si="162"/>
        <v>4642740.16</v>
      </c>
      <c r="J144" s="467">
        <v>200000</v>
      </c>
      <c r="K144" s="467">
        <v>0.2</v>
      </c>
      <c r="L144" s="467">
        <f t="shared" si="163"/>
        <v>928548.032000001</v>
      </c>
      <c r="M144" s="467">
        <f t="shared" si="164"/>
        <v>1128548.032</v>
      </c>
      <c r="N144" s="467">
        <f t="shared" si="165"/>
        <v>1469655.872</v>
      </c>
      <c r="O144" s="467">
        <f t="shared" si="166"/>
        <v>3514192.128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75406.1107200006</v>
      </c>
      <c r="V144" s="467">
        <f t="shared" si="173"/>
        <v>635406.110720001</v>
      </c>
      <c r="W144" s="474">
        <v>12</v>
      </c>
      <c r="X144" s="467">
        <f t="shared" si="174"/>
        <v>52950.5092266667</v>
      </c>
      <c r="Y144" s="470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305</v>
      </c>
      <c r="C145" s="467">
        <v>516564.75</v>
      </c>
      <c r="D145" s="466">
        <v>12</v>
      </c>
      <c r="E145" s="467">
        <f t="shared" si="161"/>
        <v>6198777</v>
      </c>
      <c r="F145" s="467">
        <v>92670.45</v>
      </c>
      <c r="G145" s="468">
        <v>438302.16</v>
      </c>
      <c r="H145" s="470"/>
      <c r="I145" s="467">
        <f t="shared" si="162"/>
        <v>5667804.39</v>
      </c>
      <c r="J145" s="467">
        <v>200000</v>
      </c>
      <c r="K145" s="467">
        <v>0.2</v>
      </c>
      <c r="L145" s="467">
        <f t="shared" si="163"/>
        <v>1133560.878</v>
      </c>
      <c r="M145" s="467">
        <f t="shared" si="164"/>
        <v>1333560.878</v>
      </c>
      <c r="N145" s="467">
        <f t="shared" si="165"/>
        <v>1864533.488</v>
      </c>
      <c r="O145" s="467">
        <f t="shared" si="166"/>
        <v>4334243.512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272218.44288</v>
      </c>
      <c r="V145" s="467">
        <f t="shared" si="173"/>
        <v>832218.44288</v>
      </c>
      <c r="W145" s="474">
        <v>12</v>
      </c>
      <c r="X145" s="467">
        <f t="shared" si="174"/>
        <v>69351.5369066667</v>
      </c>
      <c r="Y145" s="470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307</v>
      </c>
      <c r="C146" s="467">
        <v>415320.666666667</v>
      </c>
      <c r="D146" s="466">
        <v>12</v>
      </c>
      <c r="E146" s="467">
        <f t="shared" si="161"/>
        <v>4983848</v>
      </c>
      <c r="F146" s="467"/>
      <c r="G146" s="468">
        <v>341107.840000001</v>
      </c>
      <c r="H146" s="470"/>
      <c r="I146" s="467">
        <f t="shared" si="162"/>
        <v>4642740.16</v>
      </c>
      <c r="J146" s="467">
        <v>200000</v>
      </c>
      <c r="K146" s="467">
        <v>0.2</v>
      </c>
      <c r="L146" s="467">
        <f t="shared" si="163"/>
        <v>928548.032000001</v>
      </c>
      <c r="M146" s="467">
        <f t="shared" si="164"/>
        <v>1128548.032</v>
      </c>
      <c r="N146" s="467">
        <f t="shared" si="165"/>
        <v>1469655.872</v>
      </c>
      <c r="O146" s="467">
        <f t="shared" si="166"/>
        <v>3514192.128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75406.1107200006</v>
      </c>
      <c r="V146" s="467">
        <f t="shared" si="173"/>
        <v>635406.110720001</v>
      </c>
      <c r="W146" s="474">
        <v>12</v>
      </c>
      <c r="X146" s="467">
        <f t="shared" si="174"/>
        <v>52950.5092266667</v>
      </c>
      <c r="Y146" s="470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309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311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314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316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318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320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322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323</v>
      </c>
      <c r="C154" s="467">
        <v>344900.833333334</v>
      </c>
      <c r="D154" s="466">
        <v>12</v>
      </c>
      <c r="E154" s="467">
        <f t="shared" si="161"/>
        <v>4138810.00000001</v>
      </c>
      <c r="F154" s="467"/>
      <c r="G154" s="468">
        <v>283104.8</v>
      </c>
      <c r="H154" s="470"/>
      <c r="I154" s="467">
        <f t="shared" si="162"/>
        <v>3855705.20000001</v>
      </c>
      <c r="J154" s="467">
        <v>200000</v>
      </c>
      <c r="K154" s="467">
        <v>0.2</v>
      </c>
      <c r="L154" s="467">
        <f t="shared" si="163"/>
        <v>771141.040000002</v>
      </c>
      <c r="M154" s="467">
        <f t="shared" si="164"/>
        <v>971141.040000002</v>
      </c>
      <c r="N154" s="467">
        <f t="shared" si="165"/>
        <v>1254245.84</v>
      </c>
      <c r="O154" s="467">
        <f t="shared" si="166"/>
        <v>2884564.16000001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269758.473600001</v>
      </c>
      <c r="U154" s="467"/>
      <c r="V154" s="467">
        <f t="shared" si="173"/>
        <v>493758.473600001</v>
      </c>
      <c r="W154" s="474">
        <v>12</v>
      </c>
      <c r="X154" s="467">
        <f t="shared" si="174"/>
        <v>41146.5394666668</v>
      </c>
      <c r="Y154" s="470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325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331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334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335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336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337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338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340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341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342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343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344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345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348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349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351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354</v>
      </c>
      <c r="C171" s="467">
        <v>173356.75</v>
      </c>
      <c r="D171" s="466">
        <v>12</v>
      </c>
      <c r="E171" s="467">
        <f t="shared" si="161"/>
        <v>2080281</v>
      </c>
      <c r="F171" s="467"/>
      <c r="G171" s="468">
        <v>140502.48</v>
      </c>
      <c r="H171" s="470"/>
      <c r="I171" s="467">
        <f t="shared" si="162"/>
        <v>1939778.52</v>
      </c>
      <c r="J171" s="467">
        <v>200000</v>
      </c>
      <c r="K171" s="467">
        <v>0.2</v>
      </c>
      <c r="L171" s="467">
        <f t="shared" si="163"/>
        <v>387955.704</v>
      </c>
      <c r="M171" s="467">
        <f t="shared" si="164"/>
        <v>587955.704</v>
      </c>
      <c r="N171" s="467">
        <f t="shared" si="165"/>
        <v>728458.184</v>
      </c>
      <c r="O171" s="467">
        <f t="shared" si="166"/>
        <v>1351822.816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47846.33504</v>
      </c>
      <c r="T171" s="467">
        <f t="shared" si="171"/>
        <v>0</v>
      </c>
      <c r="U171" s="467"/>
      <c r="V171" s="467">
        <f t="shared" si="173"/>
        <v>176846.33504</v>
      </c>
      <c r="W171" s="474">
        <v>12</v>
      </c>
      <c r="X171" s="467">
        <f t="shared" si="174"/>
        <v>14737.1945866667</v>
      </c>
      <c r="Y171" s="470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357</v>
      </c>
      <c r="C172" s="467">
        <v>170356.75</v>
      </c>
      <c r="D172" s="466">
        <v>12</v>
      </c>
      <c r="E172" s="467">
        <f t="shared" si="161"/>
        <v>2044281</v>
      </c>
      <c r="F172" s="467"/>
      <c r="G172" s="468">
        <v>140502.48</v>
      </c>
      <c r="H172" s="470"/>
      <c r="I172" s="467">
        <f t="shared" si="162"/>
        <v>1903778.52</v>
      </c>
      <c r="J172" s="467">
        <v>200000</v>
      </c>
      <c r="K172" s="467">
        <v>0.2</v>
      </c>
      <c r="L172" s="467">
        <f t="shared" si="163"/>
        <v>380755.704</v>
      </c>
      <c r="M172" s="467">
        <f t="shared" si="164"/>
        <v>580755.704</v>
      </c>
      <c r="N172" s="467">
        <f t="shared" si="165"/>
        <v>721258.184</v>
      </c>
      <c r="O172" s="467">
        <f t="shared" si="166"/>
        <v>1323022.816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42374.33504</v>
      </c>
      <c r="T172" s="467">
        <f t="shared" si="171"/>
        <v>0</v>
      </c>
      <c r="U172" s="467"/>
      <c r="V172" s="467">
        <f t="shared" si="173"/>
        <v>171374.33504</v>
      </c>
      <c r="W172" s="474">
        <v>12</v>
      </c>
      <c r="X172" s="467">
        <f t="shared" si="174"/>
        <v>14281.1945866667</v>
      </c>
      <c r="Y172" s="470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358</v>
      </c>
      <c r="C173" s="467">
        <v>173356.75</v>
      </c>
      <c r="D173" s="466">
        <v>12</v>
      </c>
      <c r="E173" s="467">
        <f t="shared" si="161"/>
        <v>2080281</v>
      </c>
      <c r="F173" s="467"/>
      <c r="G173" s="468">
        <v>140502.48</v>
      </c>
      <c r="H173" s="470"/>
      <c r="I173" s="467">
        <f t="shared" si="162"/>
        <v>1939778.52</v>
      </c>
      <c r="J173" s="467">
        <v>200000</v>
      </c>
      <c r="K173" s="467">
        <v>0.2</v>
      </c>
      <c r="L173" s="467">
        <f t="shared" si="163"/>
        <v>387955.704</v>
      </c>
      <c r="M173" s="467">
        <f t="shared" si="164"/>
        <v>587955.704</v>
      </c>
      <c r="N173" s="467">
        <f t="shared" si="165"/>
        <v>728458.184</v>
      </c>
      <c r="O173" s="467">
        <f t="shared" si="166"/>
        <v>1351822.816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47846.33504</v>
      </c>
      <c r="T173" s="467">
        <f t="shared" si="171"/>
        <v>0</v>
      </c>
      <c r="U173" s="467"/>
      <c r="V173" s="467">
        <f t="shared" si="173"/>
        <v>176846.33504</v>
      </c>
      <c r="W173" s="474">
        <v>12</v>
      </c>
      <c r="X173" s="467">
        <f t="shared" si="174"/>
        <v>14737.1945866667</v>
      </c>
      <c r="Y173" s="470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9"/>
      <c r="AD173" s="479"/>
      <c r="AE173" s="479"/>
    </row>
    <row r="174" ht="15.5" spans="1:31">
      <c r="A174" s="475"/>
      <c r="B174" s="643" t="s">
        <v>359</v>
      </c>
      <c r="C174" s="483">
        <v>170356.75</v>
      </c>
      <c r="D174" s="466">
        <v>12</v>
      </c>
      <c r="E174" s="467">
        <f t="shared" si="161"/>
        <v>2044281</v>
      </c>
      <c r="F174" s="467"/>
      <c r="G174" s="468">
        <v>140502.48</v>
      </c>
      <c r="H174" s="470"/>
      <c r="I174" s="467">
        <f t="shared" si="162"/>
        <v>1903778.52</v>
      </c>
      <c r="J174" s="467">
        <v>200000</v>
      </c>
      <c r="K174" s="467">
        <v>0.2</v>
      </c>
      <c r="L174" s="467">
        <f t="shared" si="163"/>
        <v>380755.704</v>
      </c>
      <c r="M174" s="467">
        <f t="shared" si="164"/>
        <v>580755.704</v>
      </c>
      <c r="N174" s="467">
        <f t="shared" si="165"/>
        <v>721258.184</v>
      </c>
      <c r="O174" s="467">
        <f t="shared" si="166"/>
        <v>1323022.816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42374.33504</v>
      </c>
      <c r="T174" s="467">
        <f t="shared" si="171"/>
        <v>0</v>
      </c>
      <c r="U174" s="467"/>
      <c r="V174" s="467">
        <f t="shared" si="173"/>
        <v>171374.33504</v>
      </c>
      <c r="W174" s="474">
        <v>12</v>
      </c>
      <c r="X174" s="467">
        <f t="shared" si="174"/>
        <v>14281.1945866667</v>
      </c>
      <c r="Y174" s="470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9"/>
      <c r="AD174" s="479"/>
      <c r="AE174" s="479"/>
    </row>
    <row r="175" ht="15.5" spans="1:28">
      <c r="A175" s="475"/>
      <c r="B175" s="643" t="s">
        <v>360</v>
      </c>
      <c r="C175" s="483">
        <v>173356.75</v>
      </c>
      <c r="D175" s="466">
        <v>12</v>
      </c>
      <c r="E175" s="467">
        <f t="shared" si="161"/>
        <v>2080281</v>
      </c>
      <c r="F175" s="467"/>
      <c r="G175" s="468">
        <v>140502.48</v>
      </c>
      <c r="H175" s="470"/>
      <c r="I175" s="467">
        <f t="shared" si="162"/>
        <v>1939778.52</v>
      </c>
      <c r="J175" s="467">
        <v>200000</v>
      </c>
      <c r="K175" s="467">
        <v>0.2</v>
      </c>
      <c r="L175" s="467">
        <f t="shared" si="163"/>
        <v>387955.704</v>
      </c>
      <c r="M175" s="467">
        <f t="shared" si="164"/>
        <v>587955.704</v>
      </c>
      <c r="N175" s="467">
        <f t="shared" si="165"/>
        <v>728458.184</v>
      </c>
      <c r="O175" s="467">
        <f t="shared" si="166"/>
        <v>1351822.816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47846.33504</v>
      </c>
      <c r="T175" s="467">
        <f t="shared" si="171"/>
        <v>0</v>
      </c>
      <c r="U175" s="467"/>
      <c r="V175" s="467">
        <f t="shared" si="173"/>
        <v>176846.33504</v>
      </c>
      <c r="W175" s="474">
        <v>12</v>
      </c>
      <c r="X175" s="467">
        <f t="shared" si="174"/>
        <v>14737.1945866667</v>
      </c>
      <c r="Y175" s="470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2:28">
      <c r="B176" s="351" t="s">
        <v>361</v>
      </c>
      <c r="C176" s="807">
        <v>170356.75</v>
      </c>
      <c r="D176" s="466">
        <v>12</v>
      </c>
      <c r="E176" s="467">
        <f t="shared" si="161"/>
        <v>2044281</v>
      </c>
      <c r="G176" s="468">
        <v>140502.48</v>
      </c>
      <c r="I176" s="467">
        <f t="shared" si="162"/>
        <v>1903778.52</v>
      </c>
      <c r="J176" s="467">
        <v>200000</v>
      </c>
      <c r="K176" s="467">
        <v>0.2</v>
      </c>
      <c r="L176" s="467">
        <f t="shared" si="163"/>
        <v>380755.704</v>
      </c>
      <c r="M176" s="467">
        <f t="shared" si="164"/>
        <v>580755.704</v>
      </c>
      <c r="N176" s="467">
        <f t="shared" si="165"/>
        <v>721258.184</v>
      </c>
      <c r="O176" s="467">
        <f t="shared" si="166"/>
        <v>1323022.816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42374.33504</v>
      </c>
      <c r="T176" s="467">
        <f t="shared" si="171"/>
        <v>0</v>
      </c>
      <c r="U176" s="467"/>
      <c r="V176" s="467">
        <f t="shared" si="173"/>
        <v>171374.33504</v>
      </c>
      <c r="W176" s="474">
        <v>12</v>
      </c>
      <c r="X176" s="467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362</v>
      </c>
      <c r="C177" s="807">
        <v>173356.75</v>
      </c>
      <c r="D177" s="466">
        <v>12</v>
      </c>
      <c r="E177" s="467">
        <f t="shared" si="161"/>
        <v>2080281</v>
      </c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43" t="s">
        <v>499</v>
      </c>
      <c r="C178" s="807"/>
      <c r="D178" s="466"/>
      <c r="E178" s="467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43" t="s">
        <v>363</v>
      </c>
      <c r="C179" s="807">
        <v>173356.75</v>
      </c>
      <c r="D179" s="466">
        <v>12</v>
      </c>
      <c r="E179" s="467">
        <f t="shared" ref="E179:E187" si="177">C179*D179</f>
        <v>2080281</v>
      </c>
      <c r="G179" s="468">
        <v>140502.48</v>
      </c>
      <c r="I179" s="467">
        <f t="shared" ref="I179:I187" si="178">E179-F179-G179-H179</f>
        <v>1939778.52</v>
      </c>
      <c r="J179" s="467">
        <v>200000</v>
      </c>
      <c r="K179" s="467">
        <v>0.2</v>
      </c>
      <c r="L179" s="467">
        <f t="shared" ref="L179:L187" si="179">I179*K179</f>
        <v>387955.704</v>
      </c>
      <c r="M179" s="467">
        <f t="shared" ref="M179:M187" si="180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364</v>
      </c>
      <c r="C180" s="807">
        <v>170495.666666667</v>
      </c>
      <c r="D180" s="466">
        <v>12</v>
      </c>
      <c r="E180" s="467">
        <f t="shared" si="177"/>
        <v>2045948</v>
      </c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367</v>
      </c>
      <c r="C181" s="807">
        <v>134014.43</v>
      </c>
      <c r="D181" s="466">
        <v>12</v>
      </c>
      <c r="E181" s="467">
        <f t="shared" si="177"/>
        <v>1608173.16</v>
      </c>
      <c r="G181" s="468">
        <v>132262.56</v>
      </c>
      <c r="I181" s="467">
        <f t="shared" si="178"/>
        <v>1475910.6</v>
      </c>
      <c r="J181" s="467">
        <v>200000</v>
      </c>
      <c r="K181" s="467">
        <v>0.2</v>
      </c>
      <c r="L181" s="467">
        <f t="shared" si="179"/>
        <v>295182.12</v>
      </c>
      <c r="M181" s="467">
        <f t="shared" si="180"/>
        <v>495182.12</v>
      </c>
      <c r="N181" s="467">
        <f t="shared" si="165"/>
        <v>627444.68</v>
      </c>
      <c r="O181" s="467">
        <f t="shared" si="166"/>
        <v>980728.48</v>
      </c>
      <c r="P181" s="467">
        <f t="shared" si="167"/>
        <v>21000</v>
      </c>
      <c r="Q181" s="467">
        <f t="shared" si="168"/>
        <v>33000</v>
      </c>
      <c r="R181" s="467">
        <f t="shared" si="169"/>
        <v>57109.272</v>
      </c>
      <c r="S181" s="467">
        <f t="shared" si="170"/>
        <v>0</v>
      </c>
      <c r="T181" s="467">
        <f t="shared" si="171"/>
        <v>0</v>
      </c>
      <c r="V181" s="467">
        <f t="shared" si="173"/>
        <v>111109.272</v>
      </c>
      <c r="W181" s="474">
        <v>12</v>
      </c>
      <c r="X181" s="467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369</v>
      </c>
      <c r="C182" s="807">
        <v>156912.666666667</v>
      </c>
      <c r="D182" s="466">
        <v>12</v>
      </c>
      <c r="E182" s="467">
        <f t="shared" si="177"/>
        <v>1882952</v>
      </c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371</v>
      </c>
      <c r="C183" s="807">
        <v>148049.416666667</v>
      </c>
      <c r="D183" s="466">
        <v>12</v>
      </c>
      <c r="E183" s="467">
        <f t="shared" si="177"/>
        <v>1776593</v>
      </c>
      <c r="G183" s="468">
        <v>123887.44</v>
      </c>
      <c r="I183" s="467">
        <f t="shared" si="178"/>
        <v>1652705.56</v>
      </c>
      <c r="J183" s="467">
        <v>200000</v>
      </c>
      <c r="K183" s="467">
        <v>0.2</v>
      </c>
      <c r="L183" s="467">
        <f t="shared" si="179"/>
        <v>330541.112000001</v>
      </c>
      <c r="M183" s="467">
        <f t="shared" si="180"/>
        <v>530541.112000001</v>
      </c>
      <c r="N183" s="467">
        <f t="shared" si="165"/>
        <v>654428.552000001</v>
      </c>
      <c r="O183" s="467">
        <f t="shared" si="166"/>
        <v>1122164.448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4211.24512000064</v>
      </c>
      <c r="T183" s="467">
        <f t="shared" si="171"/>
        <v>0</v>
      </c>
      <c r="V183" s="467">
        <f t="shared" si="173"/>
        <v>133211.245120001</v>
      </c>
      <c r="W183" s="474">
        <v>12</v>
      </c>
      <c r="X183" s="467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374</v>
      </c>
      <c r="C184" s="807">
        <v>148049.416666667</v>
      </c>
      <c r="D184" s="466">
        <v>12</v>
      </c>
      <c r="E184" s="467">
        <f t="shared" si="177"/>
        <v>1776593</v>
      </c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375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376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379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111</v>
      </c>
      <c r="W188" s="618"/>
      <c r="X188" s="933">
        <f t="shared" ref="X188:AB188" si="182">SUM(X6:X187)</f>
        <v>13659428.762119</v>
      </c>
      <c r="Y188" s="933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461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462</v>
      </c>
      <c r="F4" s="906" t="s">
        <v>463</v>
      </c>
      <c r="G4" s="218" t="s">
        <v>464</v>
      </c>
      <c r="H4" s="218" t="s">
        <v>465</v>
      </c>
      <c r="I4" s="218" t="s">
        <v>466</v>
      </c>
      <c r="J4" s="914" t="s">
        <v>467</v>
      </c>
      <c r="K4" s="914" t="s">
        <v>468</v>
      </c>
      <c r="L4" s="914" t="s">
        <v>469</v>
      </c>
      <c r="M4" s="914" t="s">
        <v>470</v>
      </c>
      <c r="N4" s="914" t="s">
        <v>471</v>
      </c>
      <c r="O4" s="914" t="s">
        <v>472</v>
      </c>
      <c r="P4" s="914" t="s">
        <v>473</v>
      </c>
      <c r="Q4" s="914" t="s">
        <v>474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475</v>
      </c>
      <c r="F6" s="908" t="s">
        <v>476</v>
      </c>
      <c r="G6" s="10" t="s">
        <v>477</v>
      </c>
      <c r="H6" s="10" t="s">
        <v>478</v>
      </c>
      <c r="I6" s="915" t="s">
        <v>479</v>
      </c>
      <c r="J6" s="915" t="s">
        <v>480</v>
      </c>
      <c r="K6" s="915" t="s">
        <v>481</v>
      </c>
      <c r="L6" s="915" t="s">
        <v>482</v>
      </c>
      <c r="M6" s="915" t="s">
        <v>483</v>
      </c>
      <c r="N6" s="915" t="s">
        <v>484</v>
      </c>
      <c r="O6" s="915" t="s">
        <v>485</v>
      </c>
      <c r="P6" s="915" t="s">
        <v>486</v>
      </c>
      <c r="Q6" s="915" t="s">
        <v>487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488</v>
      </c>
      <c r="I7" s="10" t="s">
        <v>489</v>
      </c>
      <c r="J7" s="915" t="s">
        <v>490</v>
      </c>
      <c r="K7" s="915" t="s">
        <v>491</v>
      </c>
      <c r="L7" s="915" t="s">
        <v>492</v>
      </c>
      <c r="M7" s="915"/>
      <c r="N7" s="915" t="s">
        <v>493</v>
      </c>
      <c r="O7" s="915" t="s">
        <v>494</v>
      </c>
      <c r="P7" s="915" t="s">
        <v>494</v>
      </c>
      <c r="Q7" s="915" t="s">
        <v>494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194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6">
        <v>59136.2866666667</v>
      </c>
      <c r="K12" s="916">
        <f t="shared" si="6"/>
        <v>68216.8866666667</v>
      </c>
      <c r="L12" s="916">
        <f t="shared" si="2"/>
        <v>9080.59999999995</v>
      </c>
      <c r="M12" s="916">
        <v>10293.3979166667</v>
      </c>
      <c r="N12" s="916">
        <f t="shared" si="7"/>
        <v>13084.6625</v>
      </c>
      <c r="O12" s="916">
        <f t="shared" si="3"/>
        <v>2791.2645833333</v>
      </c>
      <c r="P12" s="916">
        <f t="shared" si="4"/>
        <v>818602.64</v>
      </c>
      <c r="Q12" s="916">
        <f t="shared" si="5"/>
        <v>157015.95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2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/>
      <c r="O23" s="916">
        <f t="shared" si="3"/>
        <v>0</v>
      </c>
      <c r="P23" s="916">
        <f t="shared" si="4"/>
        <v>463356.16</v>
      </c>
      <c r="Q23" s="916">
        <f t="shared" si="5"/>
        <v>0</v>
      </c>
    </row>
    <row r="24" customHeight="1" spans="1:17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/>
      <c r="O27" s="916">
        <f t="shared" si="3"/>
        <v>0</v>
      </c>
      <c r="P27" s="916">
        <f t="shared" si="4"/>
        <v>365895.039999999</v>
      </c>
      <c r="Q27" s="916">
        <f t="shared" si="5"/>
        <v>0</v>
      </c>
    </row>
    <row r="28" ht="18.75" customHeight="1" spans="1:17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/>
      <c r="O28" s="916">
        <f t="shared" si="3"/>
        <v>0</v>
      </c>
      <c r="P28" s="916">
        <f t="shared" si="4"/>
        <v>341107.84</v>
      </c>
      <c r="Q28" s="916">
        <f t="shared" si="5"/>
        <v>0</v>
      </c>
    </row>
    <row r="29" ht="18.75" customHeight="1" spans="1:17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/>
      <c r="O29" s="916">
        <f t="shared" si="3"/>
        <v>0</v>
      </c>
      <c r="P29" s="916">
        <f t="shared" si="4"/>
        <v>341107.84</v>
      </c>
      <c r="Q29" s="916">
        <f t="shared" si="5"/>
        <v>0</v>
      </c>
    </row>
    <row r="30" customHeight="1" spans="1:17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/>
      <c r="O37" s="916">
        <f t="shared" si="3"/>
        <v>0</v>
      </c>
      <c r="P37" s="916">
        <f t="shared" si="4"/>
        <v>289834.32</v>
      </c>
      <c r="Q37" s="916">
        <f t="shared" si="5"/>
        <v>0</v>
      </c>
    </row>
    <row r="38" ht="18.75" customHeight="1" spans="1:17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/>
      <c r="O38" s="916">
        <f t="shared" si="3"/>
        <v>0</v>
      </c>
      <c r="P38" s="916">
        <f t="shared" si="4"/>
        <v>283104.800000001</v>
      </c>
      <c r="Q38" s="916">
        <f t="shared" si="5"/>
        <v>0</v>
      </c>
    </row>
    <row r="39" ht="26.25" customHeight="1" spans="1:17">
      <c r="A39" s="10"/>
      <c r="B39" s="20" t="s">
        <v>111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67587.0041666667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112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0">F42+G42</f>
        <v>1747106.41666666</v>
      </c>
      <c r="I42" s="220">
        <f t="shared" ref="I42:I45" si="11">H42-E42</f>
        <v>311386.416666663</v>
      </c>
      <c r="J42" s="916">
        <v>114857.6</v>
      </c>
      <c r="K42" s="916">
        <f t="shared" ref="K42:K45" si="12">H42*0.08</f>
        <v>139768.513333333</v>
      </c>
      <c r="L42" s="916">
        <f t="shared" ref="L42:L45" si="13">K42-J42</f>
        <v>24910.913333333</v>
      </c>
      <c r="M42" s="916"/>
      <c r="N42" s="916"/>
      <c r="O42" s="916">
        <f t="shared" ref="O42:O45" si="14">N42-M42</f>
        <v>0</v>
      </c>
      <c r="P42" s="916">
        <f t="shared" ref="P42:P45" si="15">K42*12</f>
        <v>1677222.16</v>
      </c>
      <c r="Q42" s="916"/>
    </row>
    <row r="43" ht="18.75" customHeight="1" spans="1:17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220">
        <v>140266.083333333</v>
      </c>
      <c r="H43" s="911">
        <f t="shared" si="10"/>
        <v>381140.666666666</v>
      </c>
      <c r="I43" s="220">
        <f t="shared" si="11"/>
        <v>80175.083333333</v>
      </c>
      <c r="J43" s="916">
        <v>23442.3733333333</v>
      </c>
      <c r="K43" s="916">
        <f t="shared" si="12"/>
        <v>30491.2533333333</v>
      </c>
      <c r="L43" s="916">
        <f t="shared" si="13"/>
        <v>7048.87999999998</v>
      </c>
      <c r="M43" s="916"/>
      <c r="N43" s="916"/>
      <c r="O43" s="916">
        <f t="shared" si="14"/>
        <v>0</v>
      </c>
      <c r="P43" s="916">
        <f t="shared" si="15"/>
        <v>365895.039999999</v>
      </c>
      <c r="Q43" s="916"/>
    </row>
    <row r="44" ht="18.75" customHeight="1" spans="1:17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220">
        <v>143964.666666667</v>
      </c>
      <c r="H44" s="911">
        <f t="shared" si="10"/>
        <v>390135.833333334</v>
      </c>
      <c r="I44" s="220">
        <f t="shared" si="11"/>
        <v>81234.333333334</v>
      </c>
      <c r="J44" s="916">
        <v>24077.2466666667</v>
      </c>
      <c r="K44" s="916">
        <f t="shared" si="12"/>
        <v>31210.8666666667</v>
      </c>
      <c r="L44" s="916">
        <f t="shared" si="13"/>
        <v>7133.62000000002</v>
      </c>
      <c r="M44" s="916"/>
      <c r="N44" s="916"/>
      <c r="O44" s="916">
        <f t="shared" si="14"/>
        <v>0</v>
      </c>
      <c r="P44" s="916">
        <f t="shared" si="15"/>
        <v>374530.400000001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 t="shared" si="10"/>
        <v>338711.666666667</v>
      </c>
      <c r="I45" s="220">
        <f t="shared" si="11"/>
        <v>75546.333333334</v>
      </c>
      <c r="J45" s="916">
        <v>20467.92</v>
      </c>
      <c r="K45" s="916">
        <f t="shared" si="12"/>
        <v>27096.9333333334</v>
      </c>
      <c r="L45" s="916">
        <f t="shared" si="13"/>
        <v>6629.01333333336</v>
      </c>
      <c r="M45" s="916"/>
      <c r="N45" s="916"/>
      <c r="O45" s="916">
        <f t="shared" si="14"/>
        <v>0</v>
      </c>
      <c r="P45" s="916">
        <f t="shared" si="15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0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220">
        <v>350637.25</v>
      </c>
      <c r="H49" s="911">
        <f t="shared" ref="H49:H56" si="17">F49+G49</f>
        <v>905306.75</v>
      </c>
      <c r="I49" s="220">
        <f t="shared" ref="I49:I56" si="18">H49-E49</f>
        <v>142933.583333333</v>
      </c>
      <c r="J49" s="916">
        <v>59136.2866666667</v>
      </c>
      <c r="K49" s="916">
        <f t="shared" ref="K49:K56" si="19">H49*0.08</f>
        <v>72424.54</v>
      </c>
      <c r="L49" s="916">
        <f t="shared" ref="L49:L56" si="20">K49-J49</f>
        <v>13288.2533333333</v>
      </c>
      <c r="M49" s="916"/>
      <c r="N49" s="916"/>
      <c r="O49" s="916">
        <f t="shared" ref="O49:O56" si="21">N49-M49</f>
        <v>0</v>
      </c>
      <c r="P49" s="916">
        <f t="shared" ref="P49:P56" si="22"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si="17"/>
        <v>744477</v>
      </c>
      <c r="I50" s="220">
        <f t="shared" si="18"/>
        <v>123801.416666667</v>
      </c>
      <c r="J50" s="916">
        <v>49654.0466666667</v>
      </c>
      <c r="K50" s="916">
        <f t="shared" si="19"/>
        <v>59558.16</v>
      </c>
      <c r="L50" s="916">
        <f t="shared" si="20"/>
        <v>9904.11333333331</v>
      </c>
      <c r="M50" s="916"/>
      <c r="N50" s="916"/>
      <c r="O50" s="916">
        <f t="shared" si="21"/>
        <v>0</v>
      </c>
      <c r="P50" s="916">
        <f t="shared" si="22"/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7"/>
        <v>744477</v>
      </c>
      <c r="I51" s="220">
        <f t="shared" si="18"/>
        <v>123801.416666667</v>
      </c>
      <c r="J51" s="916">
        <v>49654.0466666667</v>
      </c>
      <c r="K51" s="916">
        <f t="shared" si="19"/>
        <v>59558.16</v>
      </c>
      <c r="L51" s="916">
        <f t="shared" si="20"/>
        <v>9904.11333333331</v>
      </c>
      <c r="M51" s="916">
        <v>8380.22708333333</v>
      </c>
      <c r="N51" s="916">
        <f>0.025*F51</f>
        <v>11475.2625</v>
      </c>
      <c r="O51" s="916">
        <f t="shared" si="21"/>
        <v>3095.03541666667</v>
      </c>
      <c r="P51" s="916">
        <f t="shared" si="22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7"/>
        <v>722595.5</v>
      </c>
      <c r="I52" s="220">
        <f t="shared" si="18"/>
        <v>121198.666666667</v>
      </c>
      <c r="J52" s="916">
        <v>46569.4466666667</v>
      </c>
      <c r="K52" s="916">
        <f t="shared" si="19"/>
        <v>57807.64</v>
      </c>
      <c r="L52" s="916">
        <f t="shared" si="20"/>
        <v>11238.1933333333</v>
      </c>
      <c r="M52" s="916"/>
      <c r="N52" s="916"/>
      <c r="O52" s="916">
        <f t="shared" si="21"/>
        <v>0</v>
      </c>
      <c r="P52" s="916">
        <f t="shared" si="22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220">
        <v>267732.833333333</v>
      </c>
      <c r="H53" s="911">
        <f t="shared" si="17"/>
        <v>700713.916666666</v>
      </c>
      <c r="I53" s="220">
        <f t="shared" si="18"/>
        <v>118595.833333333</v>
      </c>
      <c r="J53" s="916">
        <v>46569.45</v>
      </c>
      <c r="K53" s="916">
        <f t="shared" si="19"/>
        <v>56057.1133333333</v>
      </c>
      <c r="L53" s="916">
        <f t="shared" si="20"/>
        <v>9487.66333333329</v>
      </c>
      <c r="M53" s="916"/>
      <c r="N53" s="916"/>
      <c r="O53" s="916">
        <f t="shared" si="21"/>
        <v>0</v>
      </c>
      <c r="P53" s="916">
        <f t="shared" si="22"/>
        <v>672685.359999999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220">
        <v>143964.666666667</v>
      </c>
      <c r="H54" s="911">
        <f t="shared" si="17"/>
        <v>390135.833333334</v>
      </c>
      <c r="I54" s="220">
        <f t="shared" si="18"/>
        <v>81234.333333334</v>
      </c>
      <c r="J54" s="916">
        <v>24077.2466666667</v>
      </c>
      <c r="K54" s="916">
        <f t="shared" si="19"/>
        <v>31210.8666666667</v>
      </c>
      <c r="L54" s="916">
        <f t="shared" si="20"/>
        <v>7133.62000000002</v>
      </c>
      <c r="M54" s="916"/>
      <c r="N54" s="916"/>
      <c r="O54" s="916">
        <f t="shared" si="21"/>
        <v>0</v>
      </c>
      <c r="P54" s="916">
        <f t="shared" si="22"/>
        <v>374530.400000001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7"/>
        <v>347016.166666666</v>
      </c>
      <c r="I55" s="220">
        <f t="shared" si="18"/>
        <v>76534.499999999</v>
      </c>
      <c r="J55" s="916">
        <v>21053.2266666667</v>
      </c>
      <c r="K55" s="916">
        <f t="shared" si="19"/>
        <v>27761.2933333333</v>
      </c>
      <c r="L55" s="916">
        <f t="shared" si="20"/>
        <v>6708.06666666658</v>
      </c>
      <c r="M55" s="916"/>
      <c r="N55" s="916"/>
      <c r="O55" s="916">
        <f t="shared" si="21"/>
        <v>0</v>
      </c>
      <c r="P55" s="916">
        <f t="shared" si="22"/>
        <v>333135.519999999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7"/>
        <v>347016.166666666</v>
      </c>
      <c r="I56" s="220">
        <f t="shared" si="18"/>
        <v>76534.499999999</v>
      </c>
      <c r="J56" s="916">
        <v>21053.2266666667</v>
      </c>
      <c r="K56" s="916">
        <f t="shared" si="19"/>
        <v>27761.2933333333</v>
      </c>
      <c r="L56" s="916">
        <f t="shared" si="20"/>
        <v>6708.06666666658</v>
      </c>
      <c r="M56" s="916"/>
      <c r="N56" s="916"/>
      <c r="O56" s="916">
        <f t="shared" si="21"/>
        <v>0</v>
      </c>
      <c r="P56" s="916">
        <f t="shared" si="22"/>
        <v>333135.519999999</v>
      </c>
      <c r="Q56" s="916"/>
    </row>
    <row r="57" ht="25.5" customHeight="1" spans="1:17">
      <c r="A57" s="10"/>
      <c r="B57" s="20" t="s">
        <v>111</v>
      </c>
      <c r="C57" s="21">
        <v>8</v>
      </c>
      <c r="D57" s="21"/>
      <c r="E57" s="93">
        <f t="shared" ref="E57:Q57" si="23">SUM(E49:E56)</f>
        <v>4037104.08333333</v>
      </c>
      <c r="F57" s="912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4">F60+G60</f>
        <v>1747106.41666666</v>
      </c>
      <c r="I60" s="220">
        <f t="shared" ref="I60:I71" si="25">H60-E60</f>
        <v>311386.416666663</v>
      </c>
      <c r="J60" s="916">
        <v>114857.6</v>
      </c>
      <c r="K60" s="916">
        <f t="shared" ref="K60:K71" si="26">H60*0.08</f>
        <v>139768.513333333</v>
      </c>
      <c r="L60" s="916">
        <f t="shared" ref="L60:L71" si="27">K60-J60</f>
        <v>24910.913333333</v>
      </c>
      <c r="M60" s="916"/>
      <c r="N60" s="916"/>
      <c r="O60" s="916">
        <f t="shared" ref="O60:O71" si="28">N60-M60</f>
        <v>0</v>
      </c>
      <c r="P60" s="916">
        <f t="shared" ref="P60:P71" si="29"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 t="shared" si="24"/>
        <v>744477</v>
      </c>
      <c r="I61" s="220">
        <f t="shared" si="25"/>
        <v>123801.416666667</v>
      </c>
      <c r="J61" s="916">
        <v>49654.0466666667</v>
      </c>
      <c r="K61" s="916">
        <f t="shared" si="26"/>
        <v>59558.16</v>
      </c>
      <c r="L61" s="916">
        <f t="shared" si="27"/>
        <v>9904.11333333331</v>
      </c>
      <c r="M61" s="916"/>
      <c r="N61" s="916"/>
      <c r="O61" s="916">
        <f t="shared" si="28"/>
        <v>0</v>
      </c>
      <c r="P61" s="916">
        <f t="shared" si="29"/>
        <v>714697.92</v>
      </c>
      <c r="Q61" s="916"/>
    </row>
    <row r="62" customHeight="1" spans="1:17">
      <c r="A62" s="10"/>
      <c r="B62" s="20" t="s">
        <v>111</v>
      </c>
      <c r="C62" s="21">
        <v>2</v>
      </c>
      <c r="D62" s="21"/>
      <c r="E62" s="93">
        <f t="shared" ref="E62:Q62" si="30">SUM(E60:E61)</f>
        <v>2056395.58333333</v>
      </c>
      <c r="F62" s="912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6">
        <v>60989.8533333333</v>
      </c>
      <c r="K65" s="916">
        <f t="shared" si="26"/>
        <v>72424.54</v>
      </c>
      <c r="L65" s="916">
        <f t="shared" si="27"/>
        <v>11434.6866666667</v>
      </c>
      <c r="M65" s="916">
        <v>10293.3979166667</v>
      </c>
      <c r="N65" s="916">
        <f>0.025*F65</f>
        <v>13866.7375</v>
      </c>
      <c r="O65" s="916">
        <f t="shared" si="28"/>
        <v>3573.3395833333</v>
      </c>
      <c r="P65" s="916">
        <f t="shared" si="29"/>
        <v>869094.48</v>
      </c>
      <c r="Q65" s="916">
        <f>N65*12</f>
        <v>166400.85</v>
      </c>
    </row>
    <row r="66" customHeight="1" spans="1:17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6">
        <v>35419.72</v>
      </c>
      <c r="K66" s="916">
        <f t="shared" si="26"/>
        <v>44653.22</v>
      </c>
      <c r="L66" s="916">
        <f t="shared" si="27"/>
        <v>9233.5</v>
      </c>
      <c r="M66" s="916"/>
      <c r="N66" s="916"/>
      <c r="O66" s="916">
        <f t="shared" si="28"/>
        <v>0</v>
      </c>
      <c r="P66" s="916">
        <f t="shared" si="29"/>
        <v>535838.64</v>
      </c>
      <c r="Q66" s="916"/>
    </row>
    <row r="67" customHeight="1" spans="1:17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6">
        <v>29256.3066666667</v>
      </c>
      <c r="K67" s="916">
        <f t="shared" si="26"/>
        <v>37506.2533333334</v>
      </c>
      <c r="L67" s="916">
        <f t="shared" si="27"/>
        <v>8249.94666666666</v>
      </c>
      <c r="M67" s="916"/>
      <c r="N67" s="916"/>
      <c r="O67" s="916">
        <f t="shared" si="28"/>
        <v>0</v>
      </c>
      <c r="P67" s="916">
        <f t="shared" si="29"/>
        <v>450075.04</v>
      </c>
      <c r="Q67" s="916"/>
    </row>
    <row r="68" customHeight="1" spans="1:17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6">
        <v>29256.3066666667</v>
      </c>
      <c r="K68" s="916">
        <f t="shared" si="26"/>
        <v>37506.2533333334</v>
      </c>
      <c r="L68" s="916">
        <f t="shared" si="27"/>
        <v>8249.94666666666</v>
      </c>
      <c r="M68" s="916"/>
      <c r="N68" s="916"/>
      <c r="O68" s="916">
        <f t="shared" si="28"/>
        <v>0</v>
      </c>
      <c r="P68" s="916">
        <f t="shared" si="29"/>
        <v>450075.04</v>
      </c>
      <c r="Q68" s="916"/>
    </row>
    <row r="69" customHeight="1" spans="1:17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6">
        <v>29256.3066666667</v>
      </c>
      <c r="K69" s="916">
        <f t="shared" si="26"/>
        <v>37506.2533333334</v>
      </c>
      <c r="L69" s="916">
        <f t="shared" si="27"/>
        <v>8249.94666666666</v>
      </c>
      <c r="M69" s="916"/>
      <c r="N69" s="916"/>
      <c r="O69" s="916">
        <f t="shared" si="28"/>
        <v>0</v>
      </c>
      <c r="P69" s="916">
        <f t="shared" si="29"/>
        <v>450075.04</v>
      </c>
      <c r="Q69" s="916"/>
    </row>
    <row r="70" customHeight="1" spans="1:17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6">
        <v>30231.6133333333</v>
      </c>
      <c r="K70" s="916">
        <f t="shared" si="26"/>
        <v>38613.0133333334</v>
      </c>
      <c r="L70" s="916">
        <f t="shared" si="27"/>
        <v>8381.40000000006</v>
      </c>
      <c r="M70" s="916"/>
      <c r="N70" s="916"/>
      <c r="O70" s="916">
        <f t="shared" si="28"/>
        <v>0</v>
      </c>
      <c r="P70" s="916">
        <f t="shared" si="29"/>
        <v>463356.16</v>
      </c>
      <c r="Q70" s="916"/>
    </row>
    <row r="71" ht="21.6" customHeight="1" spans="1:17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6">
        <v>24077.2466666667</v>
      </c>
      <c r="K71" s="916">
        <f t="shared" si="26"/>
        <v>31210.8666666667</v>
      </c>
      <c r="L71" s="916">
        <f t="shared" si="27"/>
        <v>7133.62000000002</v>
      </c>
      <c r="M71" s="916"/>
      <c r="N71" s="916"/>
      <c r="O71" s="916">
        <f t="shared" si="28"/>
        <v>0</v>
      </c>
      <c r="P71" s="916">
        <f t="shared" si="29"/>
        <v>374530.400000001</v>
      </c>
      <c r="Q71" s="916"/>
    </row>
    <row r="72" ht="27" customHeight="1" spans="1:17">
      <c r="A72" s="10"/>
      <c r="B72" s="20" t="s">
        <v>111</v>
      </c>
      <c r="C72" s="21">
        <v>7</v>
      </c>
      <c r="D72" s="21"/>
      <c r="E72" s="93">
        <f t="shared" ref="E72:Q72" si="31">SUM(E65:E71)</f>
        <v>3051668.91666667</v>
      </c>
      <c r="F72" s="912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169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2">F75+G75</f>
        <v>1747106.41666666</v>
      </c>
      <c r="I75" s="220">
        <f t="shared" ref="I75:I80" si="33">H75-E75</f>
        <v>311386.416666663</v>
      </c>
      <c r="J75" s="916">
        <v>114857.6</v>
      </c>
      <c r="K75" s="916">
        <f t="shared" ref="K75:K80" si="34">H75*0.08</f>
        <v>139768.513333333</v>
      </c>
      <c r="L75" s="916">
        <f t="shared" ref="L75:L80" si="35">K75-J75</f>
        <v>24910.913333333</v>
      </c>
      <c r="M75" s="916"/>
      <c r="N75" s="916"/>
      <c r="O75" s="916">
        <f t="shared" ref="O75:O80" si="36">N75-M75</f>
        <v>0</v>
      </c>
      <c r="P75" s="916">
        <f t="shared" ref="P75:P80" si="37">K75*12</f>
        <v>1677222.16</v>
      </c>
      <c r="Q75" s="916"/>
    </row>
    <row r="76" customHeight="1" spans="1:17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220">
        <v>276599.666666667</v>
      </c>
      <c r="H76" s="911">
        <f t="shared" si="32"/>
        <v>722595.5</v>
      </c>
      <c r="I76" s="220">
        <f t="shared" si="33"/>
        <v>140477.416666667</v>
      </c>
      <c r="J76" s="916">
        <v>46569.4466666667</v>
      </c>
      <c r="K76" s="916">
        <f t="shared" si="34"/>
        <v>57807.64</v>
      </c>
      <c r="L76" s="916">
        <f t="shared" si="35"/>
        <v>11238.1933333333</v>
      </c>
      <c r="M76" s="916"/>
      <c r="N76" s="916"/>
      <c r="O76" s="916">
        <f t="shared" si="36"/>
        <v>0</v>
      </c>
      <c r="P76" s="916">
        <f t="shared" si="37"/>
        <v>693691.68</v>
      </c>
      <c r="Q76" s="916"/>
    </row>
    <row r="77" customHeight="1" spans="1:17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220">
        <v>216844.416666667</v>
      </c>
      <c r="H77" s="911">
        <f t="shared" si="32"/>
        <v>573911.083333334</v>
      </c>
      <c r="I77" s="220">
        <f t="shared" si="33"/>
        <v>103413.083333334</v>
      </c>
      <c r="J77" s="916">
        <v>36529.78</v>
      </c>
      <c r="K77" s="916">
        <f t="shared" si="34"/>
        <v>45912.8866666667</v>
      </c>
      <c r="L77" s="916">
        <f t="shared" si="35"/>
        <v>9383.10666666672</v>
      </c>
      <c r="M77" s="916">
        <v>6154.32291666667</v>
      </c>
      <c r="N77" s="916">
        <f>0.025*F77</f>
        <v>8926.66666666668</v>
      </c>
      <c r="O77" s="916">
        <f t="shared" si="36"/>
        <v>2772.34375000001</v>
      </c>
      <c r="P77" s="916">
        <f t="shared" si="37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220">
        <v>168546.5</v>
      </c>
      <c r="H78" s="911">
        <f t="shared" si="32"/>
        <v>454993.583333333</v>
      </c>
      <c r="I78" s="220">
        <f t="shared" si="33"/>
        <v>89289.75</v>
      </c>
      <c r="J78" s="916">
        <v>28281</v>
      </c>
      <c r="K78" s="916">
        <f t="shared" si="34"/>
        <v>36399.4866666666</v>
      </c>
      <c r="L78" s="916">
        <f t="shared" si="35"/>
        <v>8118.48666666664</v>
      </c>
      <c r="M78" s="916"/>
      <c r="N78" s="916"/>
      <c r="O78" s="916">
        <f t="shared" si="36"/>
        <v>0</v>
      </c>
      <c r="P78" s="916">
        <f t="shared" si="37"/>
        <v>436793.84</v>
      </c>
      <c r="Q78" s="916"/>
    </row>
    <row r="79" customHeight="1" spans="1:17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32"/>
        <v>347016.166666666</v>
      </c>
      <c r="I79" s="220">
        <f t="shared" si="33"/>
        <v>83850.833333333</v>
      </c>
      <c r="J79" s="916">
        <v>21053.2266666667</v>
      </c>
      <c r="K79" s="916">
        <f t="shared" si="34"/>
        <v>27761.2933333333</v>
      </c>
      <c r="L79" s="916">
        <f t="shared" si="35"/>
        <v>6708.06666666658</v>
      </c>
      <c r="M79" s="916"/>
      <c r="N79" s="916"/>
      <c r="O79" s="916">
        <f t="shared" si="36"/>
        <v>0</v>
      </c>
      <c r="P79" s="916">
        <f t="shared" si="37"/>
        <v>333135.519999999</v>
      </c>
      <c r="Q79" s="916"/>
    </row>
    <row r="80" customHeight="1" spans="1:17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220">
        <v>105546.333333333</v>
      </c>
      <c r="H80" s="911">
        <f t="shared" si="32"/>
        <v>301910.75</v>
      </c>
      <c r="I80" s="220">
        <f t="shared" si="33"/>
        <v>71278.833333333</v>
      </c>
      <c r="J80" s="916">
        <v>17956.78</v>
      </c>
      <c r="K80" s="916">
        <f t="shared" si="34"/>
        <v>24152.86</v>
      </c>
      <c r="L80" s="916">
        <f t="shared" si="35"/>
        <v>6196.08</v>
      </c>
      <c r="M80" s="916"/>
      <c r="N80" s="916"/>
      <c r="O80" s="916">
        <f t="shared" si="36"/>
        <v>0</v>
      </c>
      <c r="P80" s="916">
        <f t="shared" si="37"/>
        <v>289834.32</v>
      </c>
      <c r="Q80" s="916"/>
    </row>
    <row r="81" customHeight="1" spans="1:17">
      <c r="A81" s="10"/>
      <c r="B81" s="20" t="s">
        <v>111</v>
      </c>
      <c r="C81" s="21">
        <v>6</v>
      </c>
      <c r="D81" s="21"/>
      <c r="E81" s="93">
        <f t="shared" ref="E81:Q81" si="38">SUM(E75:E80)</f>
        <v>3347837.16666667</v>
      </c>
      <c r="F81" s="912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189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</v>
      </c>
      <c r="J84" s="916">
        <v>114857.6</v>
      </c>
      <c r="K84" s="916">
        <f t="shared" ref="K84:K93" si="41">H84*0.08</f>
        <v>131808.96</v>
      </c>
      <c r="L84" s="916">
        <f t="shared" ref="L84:L93" si="42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3">N84-M84</f>
        <v>7389.23333333325</v>
      </c>
      <c r="P84" s="916">
        <f t="shared" ref="P84:P93" si="44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6">
        <v>59136.2866666667</v>
      </c>
      <c r="K85" s="916">
        <f t="shared" si="41"/>
        <v>68216.8866666666</v>
      </c>
      <c r="L85" s="916">
        <f t="shared" si="42"/>
        <v>9080.59999999994</v>
      </c>
      <c r="M85" s="916"/>
      <c r="N85" s="916"/>
      <c r="O85" s="916">
        <f t="shared" si="43"/>
        <v>0</v>
      </c>
      <c r="P85" s="916">
        <f t="shared" si="44"/>
        <v>818602.64</v>
      </c>
      <c r="Q85" s="916"/>
    </row>
    <row r="86" customHeight="1" spans="1:17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6">
        <v>46569.4466666667</v>
      </c>
      <c r="K86" s="916">
        <f t="shared" si="41"/>
        <v>57807.64</v>
      </c>
      <c r="L86" s="916">
        <f t="shared" si="42"/>
        <v>11238.1933333333</v>
      </c>
      <c r="M86" s="916"/>
      <c r="N86" s="916"/>
      <c r="O86" s="916">
        <f t="shared" si="43"/>
        <v>0</v>
      </c>
      <c r="P86" s="916">
        <f t="shared" si="44"/>
        <v>693691.68</v>
      </c>
      <c r="Q86" s="916"/>
    </row>
    <row r="87" ht="21.6" customHeight="1" spans="1:17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6">
        <v>35344.3933333333</v>
      </c>
      <c r="K87" s="916">
        <f t="shared" si="41"/>
        <v>52255.6666666666</v>
      </c>
      <c r="L87" s="916">
        <f t="shared" si="42"/>
        <v>16911.2733333333</v>
      </c>
      <c r="M87" s="916"/>
      <c r="N87" s="916"/>
      <c r="O87" s="916">
        <f t="shared" si="43"/>
        <v>0</v>
      </c>
      <c r="P87" s="916">
        <f t="shared" si="44"/>
        <v>627068</v>
      </c>
      <c r="Q87" s="916"/>
    </row>
    <row r="88" ht="21.6" customHeight="1" spans="1:17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6">
        <v>35419.72</v>
      </c>
      <c r="K88" s="916">
        <f t="shared" si="41"/>
        <v>52255.6666666666</v>
      </c>
      <c r="L88" s="916">
        <f t="shared" si="42"/>
        <v>16835.9466666666</v>
      </c>
      <c r="M88" s="916"/>
      <c r="N88" s="916"/>
      <c r="O88" s="916">
        <f t="shared" si="43"/>
        <v>0</v>
      </c>
      <c r="P88" s="916">
        <f t="shared" si="44"/>
        <v>627068</v>
      </c>
      <c r="Q88" s="916"/>
    </row>
    <row r="89" ht="21.6" customHeight="1" spans="1:17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6">
        <v>34309.66</v>
      </c>
      <c r="K89" s="916">
        <f t="shared" si="41"/>
        <v>50634</v>
      </c>
      <c r="L89" s="916">
        <f t="shared" si="42"/>
        <v>16324.34</v>
      </c>
      <c r="M89" s="916"/>
      <c r="N89" s="916"/>
      <c r="O89" s="916">
        <f t="shared" si="43"/>
        <v>0</v>
      </c>
      <c r="P89" s="916">
        <f t="shared" si="44"/>
        <v>607608</v>
      </c>
      <c r="Q89" s="916"/>
    </row>
    <row r="90" ht="21.6" customHeight="1" spans="1:17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6">
        <v>29256.3066666667</v>
      </c>
      <c r="K90" s="916">
        <f t="shared" si="41"/>
        <v>37506.2533333334</v>
      </c>
      <c r="L90" s="916">
        <f t="shared" si="42"/>
        <v>8249.94666666666</v>
      </c>
      <c r="M90" s="916"/>
      <c r="N90" s="916"/>
      <c r="O90" s="916">
        <f t="shared" si="43"/>
        <v>0</v>
      </c>
      <c r="P90" s="916">
        <f t="shared" si="44"/>
        <v>450075.04</v>
      </c>
      <c r="Q90" s="916"/>
    </row>
    <row r="91" ht="21.6" customHeight="1" spans="1:17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6">
        <v>31219.9133333333</v>
      </c>
      <c r="K91" s="916">
        <f t="shared" si="41"/>
        <v>39797.82</v>
      </c>
      <c r="L91" s="916">
        <f t="shared" si="42"/>
        <v>8577.9066666667</v>
      </c>
      <c r="M91" s="916">
        <v>5259.74375</v>
      </c>
      <c r="N91" s="916">
        <f>0.025*F91</f>
        <v>7791.83125</v>
      </c>
      <c r="O91" s="916">
        <f t="shared" si="43"/>
        <v>2532.0875</v>
      </c>
      <c r="P91" s="916">
        <f t="shared" si="44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6">
        <v>24077.2466666667</v>
      </c>
      <c r="K92" s="916">
        <f t="shared" si="41"/>
        <v>31210.8666666667</v>
      </c>
      <c r="L92" s="916">
        <f t="shared" si="42"/>
        <v>7133.62000000002</v>
      </c>
      <c r="M92" s="916"/>
      <c r="N92" s="916"/>
      <c r="O92" s="916">
        <f t="shared" si="43"/>
        <v>0</v>
      </c>
      <c r="P92" s="916">
        <f t="shared" si="44"/>
        <v>374530.400000001</v>
      </c>
      <c r="Q92" s="916"/>
    </row>
    <row r="93" ht="21.6" customHeight="1" spans="1:17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6">
        <v>18450.5533333333</v>
      </c>
      <c r="K93" s="916">
        <f t="shared" si="41"/>
        <v>24713.6533333334</v>
      </c>
      <c r="L93" s="916">
        <f t="shared" si="42"/>
        <v>6263.10000000006</v>
      </c>
      <c r="M93" s="916"/>
      <c r="N93" s="916"/>
      <c r="O93" s="916">
        <f t="shared" si="43"/>
        <v>0</v>
      </c>
      <c r="P93" s="916">
        <f t="shared" si="44"/>
        <v>296563.84</v>
      </c>
      <c r="Q93" s="916"/>
    </row>
    <row r="94" customHeight="1" spans="1:17">
      <c r="A94" s="10"/>
      <c r="B94" s="20" t="s">
        <v>111</v>
      </c>
      <c r="C94" s="21">
        <v>10</v>
      </c>
      <c r="D94" s="21"/>
      <c r="E94" s="93">
        <f t="shared" ref="E94:Q94" si="45">SUM(E84:E93)</f>
        <v>5352203.16666667</v>
      </c>
      <c r="F94" s="912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209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6">F97+G97</f>
        <v>1697359.33333333</v>
      </c>
      <c r="I97" s="220">
        <f t="shared" ref="I97:I101" si="47">H97-E97</f>
        <v>303478</v>
      </c>
      <c r="J97" s="916">
        <v>114857.6</v>
      </c>
      <c r="K97" s="916">
        <f t="shared" ref="K97:K101" si="48">H97*0.08</f>
        <v>135788.746666666</v>
      </c>
      <c r="L97" s="916">
        <f t="shared" ref="L97:L101" si="49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0">N97-M97</f>
        <v>8151.84583333325</v>
      </c>
      <c r="P97" s="916">
        <f t="shared" ref="P97:P101" si="51">12*K97</f>
        <v>1629464.96</v>
      </c>
      <c r="Q97" s="916">
        <f t="shared" ref="Q97:Q101" si="52">N97*12</f>
        <v>316881.849999999</v>
      </c>
    </row>
    <row r="98" customHeight="1" spans="1:17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220">
        <v>216844.416666667</v>
      </c>
      <c r="H98" s="911">
        <f t="shared" si="46"/>
        <v>573911.083333334</v>
      </c>
      <c r="I98" s="220">
        <f t="shared" si="47"/>
        <v>103413.083333334</v>
      </c>
      <c r="J98" s="916">
        <v>36529.78</v>
      </c>
      <c r="K98" s="916">
        <f t="shared" si="48"/>
        <v>45912.8866666667</v>
      </c>
      <c r="L98" s="916">
        <f t="shared" si="49"/>
        <v>9383.10666666672</v>
      </c>
      <c r="M98" s="916"/>
      <c r="N98" s="916"/>
      <c r="O98" s="916">
        <f t="shared" si="50"/>
        <v>0</v>
      </c>
      <c r="P98" s="916">
        <f t="shared" si="51"/>
        <v>550954.640000001</v>
      </c>
      <c r="Q98" s="916">
        <f t="shared" si="52"/>
        <v>0</v>
      </c>
    </row>
    <row r="99" customHeight="1" spans="1:17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220">
        <v>185799.5</v>
      </c>
      <c r="H99" s="911">
        <f t="shared" si="46"/>
        <v>497472.75</v>
      </c>
      <c r="I99" s="220">
        <f t="shared" si="47"/>
        <v>94334.833333333</v>
      </c>
      <c r="J99" s="916">
        <v>31219.91</v>
      </c>
      <c r="K99" s="916">
        <f t="shared" si="48"/>
        <v>39797.82</v>
      </c>
      <c r="L99" s="916">
        <f t="shared" si="49"/>
        <v>8577.91</v>
      </c>
      <c r="M99" s="916">
        <v>5967.30625</v>
      </c>
      <c r="N99" s="916">
        <f>0.025*F99</f>
        <v>7791.83125</v>
      </c>
      <c r="O99" s="916">
        <f t="shared" si="50"/>
        <v>1824.525</v>
      </c>
      <c r="P99" s="916">
        <f t="shared" si="51"/>
        <v>477573.84</v>
      </c>
      <c r="Q99" s="916">
        <f t="shared" si="52"/>
        <v>93501.975</v>
      </c>
    </row>
    <row r="100" customHeight="1" spans="1:17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220">
        <v>179784</v>
      </c>
      <c r="H100" s="911">
        <f t="shared" si="46"/>
        <v>482662.666666667</v>
      </c>
      <c r="I100" s="220">
        <f t="shared" si="47"/>
        <v>92576.166666667</v>
      </c>
      <c r="J100" s="916">
        <v>30231.6133333333</v>
      </c>
      <c r="K100" s="916">
        <f t="shared" si="48"/>
        <v>38613.0133333334</v>
      </c>
      <c r="L100" s="916">
        <f t="shared" si="49"/>
        <v>8381.40000000006</v>
      </c>
      <c r="M100" s="916"/>
      <c r="N100" s="916"/>
      <c r="O100" s="916">
        <f t="shared" si="50"/>
        <v>0</v>
      </c>
      <c r="P100" s="916">
        <f t="shared" si="51"/>
        <v>463356.16</v>
      </c>
      <c r="Q100" s="916">
        <f t="shared" si="52"/>
        <v>0</v>
      </c>
    </row>
    <row r="101" customHeight="1" spans="1:17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220">
        <v>143964.666666667</v>
      </c>
      <c r="H101" s="911">
        <f t="shared" si="46"/>
        <v>390135.833333334</v>
      </c>
      <c r="I101" s="220">
        <f t="shared" si="47"/>
        <v>81234.333333334</v>
      </c>
      <c r="J101" s="916">
        <v>24077.2466666667</v>
      </c>
      <c r="K101" s="916">
        <f t="shared" si="48"/>
        <v>31210.8666666667</v>
      </c>
      <c r="L101" s="916">
        <f t="shared" si="49"/>
        <v>7133.62000000002</v>
      </c>
      <c r="M101" s="916"/>
      <c r="N101" s="916"/>
      <c r="O101" s="916">
        <f t="shared" si="50"/>
        <v>0</v>
      </c>
      <c r="P101" s="916">
        <f t="shared" si="51"/>
        <v>374530.400000001</v>
      </c>
      <c r="Q101" s="916">
        <f t="shared" si="52"/>
        <v>0</v>
      </c>
    </row>
    <row r="102" customHeight="1" spans="1:17">
      <c r="A102" s="4"/>
      <c r="B102" s="20" t="s">
        <v>111</v>
      </c>
      <c r="C102" s="21">
        <v>5</v>
      </c>
      <c r="D102" s="26"/>
      <c r="E102" s="93">
        <f t="shared" ref="E102:Q102" si="53">SUM(E97:E101)</f>
        <v>2966505.25</v>
      </c>
      <c r="F102" s="912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223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4">F105+G105</f>
        <v>1747106.41666666</v>
      </c>
      <c r="I105" s="220">
        <f t="shared" ref="I105:I111" si="55">H105-E105</f>
        <v>311386.416666663</v>
      </c>
      <c r="J105" s="916">
        <v>114857.6</v>
      </c>
      <c r="K105" s="916">
        <f t="shared" ref="K105:K111" si="56">H105*0.08</f>
        <v>139768.513333333</v>
      </c>
      <c r="L105" s="916">
        <f t="shared" ref="L105:L111" si="57">K105-J105</f>
        <v>24910.913333333</v>
      </c>
      <c r="M105" s="916">
        <v>0</v>
      </c>
      <c r="N105" s="916"/>
      <c r="O105" s="916">
        <f t="shared" ref="O105:O111" si="58">N105-M105</f>
        <v>0</v>
      </c>
      <c r="P105" s="916">
        <f t="shared" ref="P105:P111" si="59">K105*12</f>
        <v>1677222.16</v>
      </c>
      <c r="Q105" s="916"/>
    </row>
    <row r="106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220">
        <v>350637.25</v>
      </c>
      <c r="H106" s="911">
        <f t="shared" si="54"/>
        <v>905306.75</v>
      </c>
      <c r="I106" s="220">
        <f t="shared" si="55"/>
        <v>142933.583333333</v>
      </c>
      <c r="J106" s="916">
        <v>60989.8533333333</v>
      </c>
      <c r="K106" s="916">
        <f t="shared" si="56"/>
        <v>72424.54</v>
      </c>
      <c r="L106" s="916">
        <f t="shared" si="57"/>
        <v>11434.6866666667</v>
      </c>
      <c r="M106" s="916">
        <v>10293.3979166667</v>
      </c>
      <c r="N106" s="916">
        <f>0.025*F106</f>
        <v>13866.7375</v>
      </c>
      <c r="O106" s="916">
        <f t="shared" si="58"/>
        <v>3573.3395833333</v>
      </c>
      <c r="P106" s="916">
        <f t="shared" si="59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228</v>
      </c>
      <c r="C107" s="4" t="s">
        <v>442</v>
      </c>
      <c r="D107" s="10" t="s">
        <v>52</v>
      </c>
      <c r="E107" s="85">
        <v>441804.916666667</v>
      </c>
      <c r="F107" s="909">
        <v>337730.833333333</v>
      </c>
      <c r="G107" s="220">
        <v>203620.5</v>
      </c>
      <c r="H107" s="911">
        <f t="shared" si="54"/>
        <v>541351.333333333</v>
      </c>
      <c r="I107" s="220">
        <f t="shared" si="55"/>
        <v>99546.416666666</v>
      </c>
      <c r="J107" s="916">
        <v>35344.3933333333</v>
      </c>
      <c r="K107" s="916">
        <f t="shared" si="56"/>
        <v>43308.1066666666</v>
      </c>
      <c r="L107" s="916">
        <f t="shared" si="57"/>
        <v>7963.71333333335</v>
      </c>
      <c r="M107" s="916">
        <v>5954.61041666667</v>
      </c>
      <c r="N107" s="916">
        <f>0.025*F107</f>
        <v>8443.27083333333</v>
      </c>
      <c r="O107" s="916">
        <f t="shared" si="58"/>
        <v>2488.66041666666</v>
      </c>
      <c r="P107" s="916">
        <f t="shared" si="5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231</v>
      </c>
      <c r="C108" s="4" t="s">
        <v>442</v>
      </c>
      <c r="D108" s="10" t="s">
        <v>52</v>
      </c>
      <c r="E108" s="85">
        <v>441804.916666667</v>
      </c>
      <c r="F108" s="909">
        <v>337730.833333333</v>
      </c>
      <c r="G108" s="220">
        <v>203620.5</v>
      </c>
      <c r="H108" s="911">
        <f t="shared" si="54"/>
        <v>541351.333333333</v>
      </c>
      <c r="I108" s="220">
        <f t="shared" si="55"/>
        <v>99546.416666666</v>
      </c>
      <c r="J108" s="916">
        <v>35344.3933333333</v>
      </c>
      <c r="K108" s="916">
        <f t="shared" si="56"/>
        <v>43308.1066666666</v>
      </c>
      <c r="L108" s="916">
        <f t="shared" si="57"/>
        <v>7963.71333333335</v>
      </c>
      <c r="M108" s="916"/>
      <c r="N108" s="916"/>
      <c r="O108" s="916">
        <f t="shared" si="58"/>
        <v>0</v>
      </c>
      <c r="P108" s="916">
        <f t="shared" si="59"/>
        <v>519697.28</v>
      </c>
      <c r="Q108" s="916"/>
    </row>
    <row r="109" customHeight="1" spans="1:17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220">
        <v>116846</v>
      </c>
      <c r="H109" s="911">
        <f t="shared" si="54"/>
        <v>329950.416666667</v>
      </c>
      <c r="I109" s="220">
        <f t="shared" si="55"/>
        <v>74629.833333334</v>
      </c>
      <c r="J109" s="916">
        <v>19931.8733333333</v>
      </c>
      <c r="K109" s="916">
        <f t="shared" si="56"/>
        <v>26396.0333333334</v>
      </c>
      <c r="L109" s="916">
        <f t="shared" si="57"/>
        <v>6464.16000000006</v>
      </c>
      <c r="M109" s="916"/>
      <c r="N109" s="916"/>
      <c r="O109" s="916">
        <f t="shared" si="58"/>
        <v>0</v>
      </c>
      <c r="P109" s="916">
        <f t="shared" si="59"/>
        <v>316752.4</v>
      </c>
      <c r="Q109" s="916"/>
    </row>
    <row r="110" customHeight="1" spans="1:17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220">
        <v>117614.916666667</v>
      </c>
      <c r="H110" s="911">
        <f t="shared" si="54"/>
        <v>330407.083333334</v>
      </c>
      <c r="I110" s="220">
        <f t="shared" si="55"/>
        <v>74558.083333334</v>
      </c>
      <c r="J110" s="916">
        <v>21053.2266666667</v>
      </c>
      <c r="K110" s="916">
        <f t="shared" si="56"/>
        <v>26432.5666666667</v>
      </c>
      <c r="L110" s="916">
        <f t="shared" si="57"/>
        <v>5379.34000000002</v>
      </c>
      <c r="M110" s="916"/>
      <c r="N110" s="916"/>
      <c r="O110" s="916">
        <f t="shared" si="58"/>
        <v>0</v>
      </c>
      <c r="P110" s="916">
        <f t="shared" si="59"/>
        <v>317190.800000001</v>
      </c>
      <c r="Q110" s="916"/>
    </row>
    <row r="111" customHeight="1" spans="1:17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220">
        <v>108371.25</v>
      </c>
      <c r="H111" s="911">
        <f t="shared" si="54"/>
        <v>308920.666666667</v>
      </c>
      <c r="I111" s="220">
        <f t="shared" si="55"/>
        <v>72116.583333334</v>
      </c>
      <c r="J111" s="916">
        <v>18450.5533333333</v>
      </c>
      <c r="K111" s="916">
        <f t="shared" si="56"/>
        <v>24713.6533333334</v>
      </c>
      <c r="L111" s="916">
        <f t="shared" si="57"/>
        <v>6263.10000000006</v>
      </c>
      <c r="M111" s="916"/>
      <c r="N111" s="916"/>
      <c r="O111" s="916">
        <f t="shared" si="58"/>
        <v>0</v>
      </c>
      <c r="P111" s="916">
        <f t="shared" si="59"/>
        <v>296563.84</v>
      </c>
      <c r="Q111" s="916"/>
    </row>
    <row r="112" ht="25.5" customHeight="1" spans="1:17">
      <c r="A112" s="4"/>
      <c r="B112" s="20" t="s">
        <v>111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237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220">
        <v>179784</v>
      </c>
      <c r="H115" s="911">
        <f t="shared" ref="H115:H117" si="61">F115+G115</f>
        <v>482662.666666667</v>
      </c>
      <c r="I115" s="220">
        <f t="shared" ref="I115:I117" si="62">H115-E115</f>
        <v>92576.166666667</v>
      </c>
      <c r="J115" s="916">
        <v>30231.6133333333</v>
      </c>
      <c r="K115" s="916">
        <f t="shared" ref="K115:K117" si="63">H115*0.08</f>
        <v>38613.0133333334</v>
      </c>
      <c r="L115" s="916">
        <f t="shared" ref="L115:L117" si="64">K115-J115</f>
        <v>8381.40000000006</v>
      </c>
      <c r="M115" s="916"/>
      <c r="N115" s="916"/>
      <c r="O115" s="916">
        <f t="shared" ref="O115:O117" si="65">N115-M115</f>
        <v>0</v>
      </c>
      <c r="P115" s="916">
        <f t="shared" ref="P115:P117" si="66">12*K115</f>
        <v>463356.16</v>
      </c>
      <c r="Q115" s="916"/>
    </row>
    <row r="116" ht="18.75" customHeight="1" spans="1:17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220">
        <v>174165.25</v>
      </c>
      <c r="H116" s="911">
        <f t="shared" si="61"/>
        <v>468828.166666667</v>
      </c>
      <c r="I116" s="220">
        <f t="shared" si="62"/>
        <v>90933</v>
      </c>
      <c r="J116" s="916">
        <v>30231.6133333333</v>
      </c>
      <c r="K116" s="916">
        <f t="shared" si="63"/>
        <v>37506.2533333334</v>
      </c>
      <c r="L116" s="916">
        <f t="shared" si="64"/>
        <v>7274.64000000006</v>
      </c>
      <c r="M116" s="916"/>
      <c r="N116" s="916"/>
      <c r="O116" s="916">
        <f t="shared" si="65"/>
        <v>0</v>
      </c>
      <c r="P116" s="916">
        <f t="shared" si="66"/>
        <v>450075.04</v>
      </c>
      <c r="Q116" s="916"/>
    </row>
    <row r="117" customHeight="1" spans="1:17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220">
        <v>179859.166666667</v>
      </c>
      <c r="H117" s="911">
        <f t="shared" si="61"/>
        <v>482846.583333334</v>
      </c>
      <c r="I117" s="220">
        <f t="shared" si="62"/>
        <v>92597.666666667</v>
      </c>
      <c r="J117" s="916">
        <v>31219.91</v>
      </c>
      <c r="K117" s="916">
        <f t="shared" si="63"/>
        <v>38627.7266666667</v>
      </c>
      <c r="L117" s="916">
        <f t="shared" si="64"/>
        <v>7407.81666666672</v>
      </c>
      <c r="M117" s="916">
        <v>5967.30625</v>
      </c>
      <c r="N117" s="916">
        <f>0.025*F117</f>
        <v>7574.68541666667</v>
      </c>
      <c r="O117" s="916">
        <f t="shared" si="65"/>
        <v>1607.37916666667</v>
      </c>
      <c r="P117" s="916">
        <f t="shared" si="66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111</v>
      </c>
      <c r="C118" s="21">
        <v>3</v>
      </c>
      <c r="D118" s="26"/>
      <c r="E118" s="93">
        <f t="shared" ref="E118:Q118" si="67">SUM(E115:E117)</f>
        <v>1158230.58333333</v>
      </c>
      <c r="F118" s="912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245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68">F121+G121</f>
        <v>287890.916666667</v>
      </c>
      <c r="I121" s="220">
        <f t="shared" ref="I121:I135" si="69">H121-E121</f>
        <v>69603.333333334</v>
      </c>
      <c r="J121" s="916">
        <v>17463.0066666666</v>
      </c>
      <c r="K121" s="916">
        <f t="shared" ref="K121:K135" si="70">H121*0.08</f>
        <v>23031.2733333334</v>
      </c>
      <c r="L121" s="916">
        <f t="shared" ref="L121:L135" si="71">K121-J121</f>
        <v>5568.26666666676</v>
      </c>
      <c r="M121" s="916"/>
      <c r="N121" s="916"/>
      <c r="O121" s="916">
        <f t="shared" ref="O121:O135" si="72">N121-M121</f>
        <v>0</v>
      </c>
      <c r="P121" s="916">
        <f t="shared" ref="P121:P135" si="73">12*K121</f>
        <v>276375.28</v>
      </c>
      <c r="Q121" s="916"/>
    </row>
    <row r="122" ht="24.75" customHeight="1" spans="1:17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220">
        <v>99896.5</v>
      </c>
      <c r="H122" s="911">
        <f t="shared" si="68"/>
        <v>287890.916666667</v>
      </c>
      <c r="I122" s="220">
        <f t="shared" si="69"/>
        <v>69603.333333334</v>
      </c>
      <c r="J122" s="916">
        <v>17463.0066666666</v>
      </c>
      <c r="K122" s="916">
        <f t="shared" si="70"/>
        <v>23031.2733333334</v>
      </c>
      <c r="L122" s="916">
        <f t="shared" si="71"/>
        <v>5568.26666666676</v>
      </c>
      <c r="M122" s="916"/>
      <c r="N122" s="916"/>
      <c r="O122" s="916">
        <f t="shared" si="72"/>
        <v>0</v>
      </c>
      <c r="P122" s="916">
        <f t="shared" si="73"/>
        <v>276375.28</v>
      </c>
      <c r="Q122" s="916"/>
    </row>
    <row r="123" customHeight="1" spans="1:17">
      <c r="A123" s="4"/>
      <c r="B123" s="20" t="s">
        <v>111</v>
      </c>
      <c r="C123" s="21">
        <v>3</v>
      </c>
      <c r="D123" s="26"/>
      <c r="E123" s="93">
        <f t="shared" ref="E123:Q123" si="74">SUM(E121:E122)</f>
        <v>436575.166666666</v>
      </c>
      <c r="F123" s="912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252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220">
        <v>660329.333333333</v>
      </c>
      <c r="H126" s="911">
        <f t="shared" si="68"/>
        <v>1747106.41666666</v>
      </c>
      <c r="I126" s="220">
        <f t="shared" si="69"/>
        <v>311386.416666663</v>
      </c>
      <c r="J126" s="916">
        <v>114857.6</v>
      </c>
      <c r="K126" s="916">
        <f t="shared" si="70"/>
        <v>139768.513333333</v>
      </c>
      <c r="L126" s="916">
        <f t="shared" si="71"/>
        <v>24910.913333333</v>
      </c>
      <c r="M126" s="916">
        <v>19384.7666666667</v>
      </c>
      <c r="N126" s="916">
        <f t="shared" ref="N126:N128" si="75">0.025*F126</f>
        <v>27169.4270833333</v>
      </c>
      <c r="O126" s="916">
        <f t="shared" si="72"/>
        <v>7784.66041666655</v>
      </c>
      <c r="P126" s="916">
        <f t="shared" si="73"/>
        <v>1677222.16</v>
      </c>
      <c r="Q126" s="916">
        <f t="shared" ref="Q126:Q135" si="76">N126*12</f>
        <v>326033.124999999</v>
      </c>
    </row>
    <row r="127" customHeight="1" spans="1:17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220">
        <v>350637.25</v>
      </c>
      <c r="H127" s="911">
        <f t="shared" si="68"/>
        <v>905306.75</v>
      </c>
      <c r="I127" s="220">
        <f t="shared" si="69"/>
        <v>142933.583333333</v>
      </c>
      <c r="J127" s="916">
        <v>59136.2866666667</v>
      </c>
      <c r="K127" s="916">
        <f t="shared" si="70"/>
        <v>72424.54</v>
      </c>
      <c r="L127" s="916">
        <f t="shared" si="71"/>
        <v>13288.2533333333</v>
      </c>
      <c r="M127" s="916">
        <v>9980.56666666667</v>
      </c>
      <c r="N127" s="916">
        <f t="shared" si="75"/>
        <v>13866.7375</v>
      </c>
      <c r="O127" s="916">
        <f t="shared" si="72"/>
        <v>3886.17083333333</v>
      </c>
      <c r="P127" s="916">
        <f t="shared" si="73"/>
        <v>869094.48</v>
      </c>
      <c r="Q127" s="916">
        <f t="shared" si="76"/>
        <v>166400.85</v>
      </c>
    </row>
    <row r="128" customHeight="1" spans="1:17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220">
        <v>329324.583333333</v>
      </c>
      <c r="H128" s="911">
        <f t="shared" si="68"/>
        <v>852711.083333333</v>
      </c>
      <c r="I128" s="220">
        <f t="shared" si="69"/>
        <v>136677.083333333</v>
      </c>
      <c r="J128" s="916">
        <v>59136.2866666667</v>
      </c>
      <c r="K128" s="916">
        <f t="shared" si="70"/>
        <v>68216.8866666666</v>
      </c>
      <c r="L128" s="916">
        <f t="shared" si="71"/>
        <v>9080.59999999994</v>
      </c>
      <c r="M128" s="916">
        <v>9980.56666666667</v>
      </c>
      <c r="N128" s="916">
        <f t="shared" si="75"/>
        <v>13084.6625</v>
      </c>
      <c r="O128" s="916">
        <f t="shared" si="72"/>
        <v>3104.09583333333</v>
      </c>
      <c r="P128" s="916">
        <f t="shared" si="73"/>
        <v>818602.64</v>
      </c>
      <c r="Q128" s="916">
        <f t="shared" si="76"/>
        <v>157015.95</v>
      </c>
    </row>
    <row r="129" customHeight="1" spans="1:17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220">
        <v>223239.5</v>
      </c>
      <c r="H129" s="911">
        <f t="shared" si="68"/>
        <v>589657</v>
      </c>
      <c r="I129" s="220">
        <f t="shared" si="69"/>
        <v>105283.25</v>
      </c>
      <c r="J129" s="916">
        <v>37639.84</v>
      </c>
      <c r="K129" s="916">
        <f t="shared" si="70"/>
        <v>47172.56</v>
      </c>
      <c r="L129" s="916">
        <f t="shared" si="71"/>
        <v>9532.72</v>
      </c>
      <c r="M129" s="916">
        <v>0</v>
      </c>
      <c r="N129" s="916"/>
      <c r="O129" s="916">
        <f t="shared" si="72"/>
        <v>0</v>
      </c>
      <c r="P129" s="916">
        <f t="shared" si="73"/>
        <v>566070.72</v>
      </c>
      <c r="Q129" s="916">
        <f t="shared" si="76"/>
        <v>0</v>
      </c>
    </row>
    <row r="130" customHeight="1" spans="1:17">
      <c r="A130" s="4">
        <v>5</v>
      </c>
      <c r="B130" s="11" t="s">
        <v>261</v>
      </c>
      <c r="C130" s="12" t="s">
        <v>495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68"/>
        <v>558165.25</v>
      </c>
      <c r="I130" s="220">
        <f t="shared" si="69"/>
        <v>101543</v>
      </c>
      <c r="J130" s="916">
        <v>35419.72</v>
      </c>
      <c r="K130" s="916">
        <f t="shared" si="70"/>
        <v>44653.22</v>
      </c>
      <c r="L130" s="916">
        <f t="shared" si="71"/>
        <v>9233.5</v>
      </c>
      <c r="M130" s="916">
        <v>5967.30625</v>
      </c>
      <c r="N130" s="916">
        <f>0.025*F130</f>
        <v>8692.89791666667</v>
      </c>
      <c r="O130" s="916">
        <f t="shared" si="72"/>
        <v>2725.59166666667</v>
      </c>
      <c r="P130" s="916">
        <f t="shared" si="73"/>
        <v>535838.64</v>
      </c>
      <c r="Q130" s="916">
        <f t="shared" si="76"/>
        <v>104314.775</v>
      </c>
    </row>
    <row r="131" customHeight="1" spans="1:17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220">
        <v>216844.416666667</v>
      </c>
      <c r="H131" s="911">
        <f t="shared" si="68"/>
        <v>573911.083333334</v>
      </c>
      <c r="I131" s="220">
        <f t="shared" si="69"/>
        <v>103413.083333334</v>
      </c>
      <c r="J131" s="916">
        <v>36529.78</v>
      </c>
      <c r="K131" s="916">
        <f t="shared" si="70"/>
        <v>45912.8866666667</v>
      </c>
      <c r="L131" s="916">
        <f t="shared" si="71"/>
        <v>9383.10666666672</v>
      </c>
      <c r="M131" s="916">
        <v>6154.32291666667</v>
      </c>
      <c r="N131" s="916">
        <f>0.025*F131</f>
        <v>8926.66666666668</v>
      </c>
      <c r="O131" s="916">
        <f t="shared" si="72"/>
        <v>2772.34375000001</v>
      </c>
      <c r="P131" s="916">
        <f t="shared" si="73"/>
        <v>550954.640000001</v>
      </c>
      <c r="Q131" s="916">
        <f t="shared" si="76"/>
        <v>107120</v>
      </c>
    </row>
    <row r="132" customHeight="1" spans="1:17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220">
        <v>127704.916666667</v>
      </c>
      <c r="H132" s="911">
        <f t="shared" si="68"/>
        <v>355320.666666667</v>
      </c>
      <c r="I132" s="220">
        <f t="shared" si="69"/>
        <v>77522.666666667</v>
      </c>
      <c r="J132" s="916">
        <v>21638.5333333333</v>
      </c>
      <c r="K132" s="916">
        <f t="shared" si="70"/>
        <v>28425.6533333334</v>
      </c>
      <c r="L132" s="916">
        <f t="shared" si="71"/>
        <v>6787.12000000006</v>
      </c>
      <c r="M132" s="916"/>
      <c r="N132" s="916"/>
      <c r="O132" s="916">
        <f t="shared" si="72"/>
        <v>0</v>
      </c>
      <c r="P132" s="916">
        <f t="shared" si="73"/>
        <v>341107.84</v>
      </c>
      <c r="Q132" s="916">
        <f t="shared" si="76"/>
        <v>0</v>
      </c>
    </row>
    <row r="133" customHeight="1" spans="1:17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220">
        <v>105546.333333333</v>
      </c>
      <c r="H133" s="911">
        <f t="shared" si="68"/>
        <v>301910.75</v>
      </c>
      <c r="I133" s="220">
        <f t="shared" si="69"/>
        <v>71278.833333333</v>
      </c>
      <c r="J133" s="916">
        <v>17956.78</v>
      </c>
      <c r="K133" s="916">
        <f t="shared" si="70"/>
        <v>24152.86</v>
      </c>
      <c r="L133" s="916">
        <f t="shared" si="71"/>
        <v>6196.08</v>
      </c>
      <c r="M133" s="916">
        <v>0</v>
      </c>
      <c r="N133" s="916"/>
      <c r="O133" s="916">
        <f t="shared" si="72"/>
        <v>0</v>
      </c>
      <c r="P133" s="916">
        <f t="shared" si="73"/>
        <v>289834.32</v>
      </c>
      <c r="Q133" s="916">
        <f t="shared" si="76"/>
        <v>0</v>
      </c>
    </row>
    <row r="134" customHeight="1" spans="1:17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220">
        <v>105546.333333333</v>
      </c>
      <c r="H134" s="911">
        <f t="shared" si="68"/>
        <v>301910.75</v>
      </c>
      <c r="I134" s="220">
        <f t="shared" si="69"/>
        <v>71278.833333333</v>
      </c>
      <c r="J134" s="916">
        <v>17956.78</v>
      </c>
      <c r="K134" s="916">
        <f t="shared" si="70"/>
        <v>24152.86</v>
      </c>
      <c r="L134" s="916">
        <f t="shared" si="71"/>
        <v>6196.08</v>
      </c>
      <c r="M134" s="916">
        <v>0</v>
      </c>
      <c r="N134" s="916"/>
      <c r="O134" s="916">
        <f t="shared" si="72"/>
        <v>0</v>
      </c>
      <c r="P134" s="916">
        <f t="shared" si="73"/>
        <v>289834.32</v>
      </c>
      <c r="Q134" s="916">
        <f t="shared" si="76"/>
        <v>0</v>
      </c>
    </row>
    <row r="135" customHeight="1" spans="1:17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2">
        <v>17463.0066666666</v>
      </c>
      <c r="K135" s="916">
        <f t="shared" si="70"/>
        <v>23592.0666666667</v>
      </c>
      <c r="L135" s="916">
        <f t="shared" si="71"/>
        <v>6129.06000000012</v>
      </c>
      <c r="M135" s="916"/>
      <c r="N135" s="916"/>
      <c r="O135" s="916">
        <f t="shared" si="72"/>
        <v>0</v>
      </c>
      <c r="P135" s="916">
        <f t="shared" si="73"/>
        <v>283104.800000001</v>
      </c>
      <c r="Q135" s="916">
        <f t="shared" si="76"/>
        <v>0</v>
      </c>
    </row>
    <row r="136" ht="28.5" customHeight="1" spans="1:17">
      <c r="A136" s="4"/>
      <c r="B136" s="20" t="s">
        <v>111</v>
      </c>
      <c r="C136" s="26" t="s">
        <v>496</v>
      </c>
      <c r="D136" s="15"/>
      <c r="E136" s="146">
        <f t="shared" ref="E136:Q136" si="77">SUM(E126:E135)</f>
        <v>5289142.75</v>
      </c>
      <c r="F136" s="913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272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</v>
      </c>
      <c r="J139" s="916">
        <v>114857.6</v>
      </c>
      <c r="K139" s="916">
        <f t="shared" ref="K139:K198" si="80">H139*0.08</f>
        <v>131808.96</v>
      </c>
      <c r="L139" s="916">
        <f t="shared" ref="L139:L198" si="81">K139-J139</f>
        <v>16951.3599999998</v>
      </c>
      <c r="M139" s="916">
        <v>18254.975</v>
      </c>
      <c r="N139" s="916">
        <f t="shared" ref="N139:N143" si="82">0.025*F139</f>
        <v>25644.2083333333</v>
      </c>
      <c r="O139" s="916">
        <f t="shared" ref="O139:O198" si="83">N139-M139</f>
        <v>7389.23333333325</v>
      </c>
      <c r="P139" s="916">
        <f t="shared" ref="P139:P198" si="84">12*K139</f>
        <v>1581707.52</v>
      </c>
      <c r="Q139" s="916">
        <f t="shared" ref="Q139:Q198" si="85">N139*12</f>
        <v>307730.499999999</v>
      </c>
    </row>
    <row r="140" customHeight="1" spans="1:17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6">
        <v>60989.8533333333</v>
      </c>
      <c r="K140" s="916">
        <f t="shared" si="80"/>
        <v>72424.54</v>
      </c>
      <c r="L140" s="916">
        <f t="shared" si="81"/>
        <v>11434.6866666667</v>
      </c>
      <c r="M140" s="916">
        <v>10293.3979166667</v>
      </c>
      <c r="N140" s="916">
        <f t="shared" si="82"/>
        <v>13866.7375</v>
      </c>
      <c r="O140" s="916">
        <f t="shared" si="83"/>
        <v>3573.3395833333</v>
      </c>
      <c r="P140" s="916">
        <f t="shared" si="84"/>
        <v>869094.48</v>
      </c>
      <c r="Q140" s="916">
        <f t="shared" si="85"/>
        <v>166400.85</v>
      </c>
    </row>
    <row r="141" customHeight="1" spans="1:17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6">
        <v>46569.45</v>
      </c>
      <c r="K141" s="916">
        <f t="shared" si="80"/>
        <v>56057.1133333333</v>
      </c>
      <c r="L141" s="916">
        <f t="shared" si="81"/>
        <v>9487.66333333329</v>
      </c>
      <c r="M141" s="916">
        <v>8380.22708333333</v>
      </c>
      <c r="N141" s="916">
        <f t="shared" si="82"/>
        <v>10824.5270833333</v>
      </c>
      <c r="O141" s="916">
        <f t="shared" si="83"/>
        <v>2444.3</v>
      </c>
      <c r="P141" s="916">
        <f t="shared" si="84"/>
        <v>672685.359999999</v>
      </c>
      <c r="Q141" s="916">
        <f t="shared" si="85"/>
        <v>129894.325</v>
      </c>
    </row>
    <row r="142" customHeight="1" spans="1:17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6">
        <v>46569.45</v>
      </c>
      <c r="K142" s="916">
        <f t="shared" si="80"/>
        <v>56057.1133333333</v>
      </c>
      <c r="L142" s="916">
        <f t="shared" si="81"/>
        <v>9487.66333333329</v>
      </c>
      <c r="M142" s="916">
        <v>8381.22708333333</v>
      </c>
      <c r="N142" s="916">
        <f t="shared" si="82"/>
        <v>10824.5270833333</v>
      </c>
      <c r="O142" s="916">
        <f t="shared" si="83"/>
        <v>2443.3</v>
      </c>
      <c r="P142" s="916">
        <f t="shared" si="84"/>
        <v>672685.359999999</v>
      </c>
      <c r="Q142" s="916">
        <f t="shared" si="85"/>
        <v>129894.325</v>
      </c>
    </row>
    <row r="143" customHeight="1" spans="1:17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6">
        <v>46569.45</v>
      </c>
      <c r="K143" s="916">
        <f t="shared" si="80"/>
        <v>56057.1133333333</v>
      </c>
      <c r="L143" s="916">
        <f t="shared" si="81"/>
        <v>9487.66333333329</v>
      </c>
      <c r="M143" s="916">
        <v>8382.22708333333</v>
      </c>
      <c r="N143" s="916">
        <f t="shared" si="82"/>
        <v>10824.5270833333</v>
      </c>
      <c r="O143" s="916">
        <f t="shared" si="83"/>
        <v>2442.3</v>
      </c>
      <c r="P143" s="916">
        <f t="shared" si="84"/>
        <v>672685.359999999</v>
      </c>
      <c r="Q143" s="916">
        <f t="shared" si="85"/>
        <v>129894.325</v>
      </c>
    </row>
    <row r="144" customHeight="1" spans="1:17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6">
        <v>31219.91</v>
      </c>
      <c r="K144" s="916">
        <f t="shared" si="80"/>
        <v>39797.82</v>
      </c>
      <c r="L144" s="916">
        <f t="shared" si="81"/>
        <v>8577.91</v>
      </c>
      <c r="M144" s="916">
        <v>0</v>
      </c>
      <c r="N144" s="916"/>
      <c r="O144" s="916">
        <f t="shared" si="83"/>
        <v>0</v>
      </c>
      <c r="P144" s="916">
        <f t="shared" si="84"/>
        <v>477573.84</v>
      </c>
      <c r="Q144" s="916">
        <f t="shared" si="85"/>
        <v>0</v>
      </c>
    </row>
    <row r="145" customHeight="1" spans="1:17">
      <c r="A145" s="27">
        <v>7</v>
      </c>
      <c r="B145" s="11" t="s">
        <v>284</v>
      </c>
      <c r="C145" s="4" t="s">
        <v>497</v>
      </c>
      <c r="D145" s="15" t="s">
        <v>159</v>
      </c>
      <c r="E145" s="85">
        <v>390248.916666667</v>
      </c>
      <c r="F145" s="909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6">
        <v>31219.91</v>
      </c>
      <c r="K145" s="916">
        <f t="shared" si="80"/>
        <v>38627.7266666667</v>
      </c>
      <c r="L145" s="916">
        <f t="shared" si="81"/>
        <v>7407.81666666672</v>
      </c>
      <c r="M145" s="916">
        <v>0</v>
      </c>
      <c r="N145" s="916"/>
      <c r="O145" s="916">
        <f t="shared" si="83"/>
        <v>0</v>
      </c>
      <c r="P145" s="916">
        <f t="shared" si="84"/>
        <v>463532.720000001</v>
      </c>
      <c r="Q145" s="916">
        <f t="shared" si="85"/>
        <v>0</v>
      </c>
    </row>
    <row r="146" customHeight="1" spans="1:17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6">
        <v>30231.6133333333</v>
      </c>
      <c r="K146" s="916">
        <f t="shared" si="80"/>
        <v>38613.0133333334</v>
      </c>
      <c r="L146" s="916">
        <f t="shared" si="81"/>
        <v>8381.40000000006</v>
      </c>
      <c r="M146" s="916">
        <v>0</v>
      </c>
      <c r="N146" s="916"/>
      <c r="O146" s="916">
        <f t="shared" si="83"/>
        <v>0</v>
      </c>
      <c r="P146" s="916">
        <f t="shared" si="84"/>
        <v>463356.16</v>
      </c>
      <c r="Q146" s="916">
        <f t="shared" si="85"/>
        <v>0</v>
      </c>
    </row>
    <row r="147" customHeight="1" spans="1:17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6">
        <v>29256.3066666667</v>
      </c>
      <c r="K147" s="916">
        <f t="shared" si="80"/>
        <v>37506.2533333334</v>
      </c>
      <c r="L147" s="916">
        <f t="shared" si="81"/>
        <v>8249.94666666666</v>
      </c>
      <c r="M147" s="916">
        <v>4928.93333333333</v>
      </c>
      <c r="N147" s="916">
        <f>0.025*F147</f>
        <v>7366.57291666668</v>
      </c>
      <c r="O147" s="916">
        <f t="shared" si="83"/>
        <v>2437.63958333335</v>
      </c>
      <c r="P147" s="916">
        <f t="shared" si="84"/>
        <v>450075.04</v>
      </c>
      <c r="Q147" s="916">
        <f t="shared" si="85"/>
        <v>88398.8750000001</v>
      </c>
    </row>
    <row r="148" customHeight="1" spans="1:17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6">
        <v>28281</v>
      </c>
      <c r="K148" s="916">
        <f t="shared" si="80"/>
        <v>36399.4866666666</v>
      </c>
      <c r="L148" s="916">
        <f t="shared" si="81"/>
        <v>8118.48666666664</v>
      </c>
      <c r="M148" s="916">
        <v>0</v>
      </c>
      <c r="N148" s="916"/>
      <c r="O148" s="916">
        <f t="shared" si="83"/>
        <v>0</v>
      </c>
      <c r="P148" s="916">
        <f t="shared" si="84"/>
        <v>436793.84</v>
      </c>
      <c r="Q148" s="916">
        <f t="shared" si="85"/>
        <v>0</v>
      </c>
    </row>
    <row r="149" customHeight="1" spans="1:17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6">
        <v>28281</v>
      </c>
      <c r="K149" s="916">
        <f t="shared" si="80"/>
        <v>35292.72</v>
      </c>
      <c r="L149" s="916">
        <f t="shared" si="81"/>
        <v>7011.72</v>
      </c>
      <c r="M149" s="916">
        <v>0</v>
      </c>
      <c r="N149" s="916"/>
      <c r="O149" s="916">
        <f t="shared" si="83"/>
        <v>0</v>
      </c>
      <c r="P149" s="916">
        <f t="shared" si="84"/>
        <v>423512.64</v>
      </c>
      <c r="Q149" s="916">
        <f t="shared" si="85"/>
        <v>0</v>
      </c>
    </row>
    <row r="150" customHeight="1" spans="1:17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6">
        <v>28281</v>
      </c>
      <c r="K150" s="916">
        <f t="shared" si="80"/>
        <v>35292.72</v>
      </c>
      <c r="L150" s="916">
        <f t="shared" si="81"/>
        <v>7011.72</v>
      </c>
      <c r="M150" s="916">
        <v>4928.93333333333</v>
      </c>
      <c r="N150" s="916">
        <f>0.025*F150</f>
        <v>6955.78125</v>
      </c>
      <c r="O150" s="916">
        <f t="shared" si="83"/>
        <v>2026.84791666667</v>
      </c>
      <c r="P150" s="916">
        <f t="shared" si="84"/>
        <v>423512.64</v>
      </c>
      <c r="Q150" s="916">
        <f t="shared" si="85"/>
        <v>83469.375</v>
      </c>
    </row>
    <row r="151" customHeight="1" spans="1:17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6">
        <v>28281</v>
      </c>
      <c r="K151" s="916">
        <f t="shared" si="80"/>
        <v>36399.4866666666</v>
      </c>
      <c r="L151" s="916">
        <f t="shared" si="81"/>
        <v>8118.48666666664</v>
      </c>
      <c r="M151" s="916">
        <v>0</v>
      </c>
      <c r="N151" s="916"/>
      <c r="O151" s="916">
        <f t="shared" si="83"/>
        <v>0</v>
      </c>
      <c r="P151" s="916">
        <f t="shared" si="84"/>
        <v>436793.84</v>
      </c>
      <c r="Q151" s="916">
        <f t="shared" si="85"/>
        <v>0</v>
      </c>
    </row>
    <row r="152" customHeight="1" spans="1:17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6">
        <v>24077.2466666667</v>
      </c>
      <c r="K152" s="916">
        <f t="shared" si="80"/>
        <v>31210.8666666667</v>
      </c>
      <c r="L152" s="916">
        <f t="shared" si="81"/>
        <v>7133.62000000002</v>
      </c>
      <c r="M152" s="916">
        <v>0</v>
      </c>
      <c r="N152" s="916"/>
      <c r="O152" s="916">
        <f t="shared" si="83"/>
        <v>0</v>
      </c>
      <c r="P152" s="916">
        <f t="shared" si="84"/>
        <v>374530.400000001</v>
      </c>
      <c r="Q152" s="916">
        <f t="shared" si="85"/>
        <v>0</v>
      </c>
    </row>
    <row r="153" customHeight="1" spans="1:17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6">
        <v>21053.2266666667</v>
      </c>
      <c r="K153" s="916">
        <f t="shared" si="80"/>
        <v>27761.2933333333</v>
      </c>
      <c r="L153" s="916">
        <f t="shared" si="81"/>
        <v>6708.06666666658</v>
      </c>
      <c r="M153" s="916">
        <v>0</v>
      </c>
      <c r="N153" s="916"/>
      <c r="O153" s="916">
        <f t="shared" si="83"/>
        <v>0</v>
      </c>
      <c r="P153" s="916">
        <f t="shared" si="84"/>
        <v>333135.519999999</v>
      </c>
      <c r="Q153" s="916">
        <f t="shared" si="85"/>
        <v>0</v>
      </c>
    </row>
    <row r="154" customHeight="1" spans="1:17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6">
        <v>24712.12</v>
      </c>
      <c r="K154" s="916">
        <f t="shared" si="80"/>
        <v>36525.18</v>
      </c>
      <c r="L154" s="916">
        <f t="shared" si="81"/>
        <v>11813.06</v>
      </c>
      <c r="M154" s="916">
        <v>0</v>
      </c>
      <c r="N154" s="916"/>
      <c r="O154" s="916">
        <f t="shared" si="83"/>
        <v>0</v>
      </c>
      <c r="P154" s="916">
        <f t="shared" si="84"/>
        <v>438302.16</v>
      </c>
      <c r="Q154" s="916">
        <f t="shared" si="85"/>
        <v>0</v>
      </c>
    </row>
    <row r="155" customHeight="1" spans="1:17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6">
        <v>21638.5333333333</v>
      </c>
      <c r="K155" s="916">
        <f t="shared" si="80"/>
        <v>28425.6533333334</v>
      </c>
      <c r="L155" s="916">
        <f t="shared" si="81"/>
        <v>6787.12000000006</v>
      </c>
      <c r="M155" s="916">
        <v>0</v>
      </c>
      <c r="N155" s="916"/>
      <c r="O155" s="916">
        <f t="shared" si="83"/>
        <v>0</v>
      </c>
      <c r="P155" s="916">
        <f t="shared" si="84"/>
        <v>341107.84</v>
      </c>
      <c r="Q155" s="916">
        <f t="shared" si="85"/>
        <v>0</v>
      </c>
    </row>
    <row r="156" customHeight="1" spans="1:17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6">
        <v>24712.12</v>
      </c>
      <c r="K156" s="916">
        <f t="shared" si="80"/>
        <v>36525.18</v>
      </c>
      <c r="L156" s="916">
        <f t="shared" si="81"/>
        <v>11813.06</v>
      </c>
      <c r="M156" s="916">
        <v>4123.42083333333</v>
      </c>
      <c r="N156" s="916">
        <f>0.025*F156</f>
        <v>7722.5375</v>
      </c>
      <c r="O156" s="916">
        <f t="shared" si="83"/>
        <v>3599.11666666667</v>
      </c>
      <c r="P156" s="916">
        <f t="shared" si="84"/>
        <v>438302.16</v>
      </c>
      <c r="Q156" s="916">
        <f t="shared" si="85"/>
        <v>92670.45</v>
      </c>
    </row>
    <row r="157" customHeight="1" spans="1:17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6">
        <v>21638.5333333333</v>
      </c>
      <c r="K157" s="916">
        <f t="shared" si="80"/>
        <v>28425.6533333334</v>
      </c>
      <c r="L157" s="916">
        <f t="shared" si="81"/>
        <v>6787.12000000006</v>
      </c>
      <c r="M157" s="916">
        <v>0</v>
      </c>
      <c r="N157" s="916"/>
      <c r="O157" s="916">
        <f t="shared" si="83"/>
        <v>0</v>
      </c>
      <c r="P157" s="916">
        <f t="shared" si="84"/>
        <v>341107.84</v>
      </c>
      <c r="Q157" s="916">
        <f t="shared" si="85"/>
        <v>0</v>
      </c>
    </row>
    <row r="158" customHeight="1" spans="1:17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6">
        <v>20467.92</v>
      </c>
      <c r="K158" s="916">
        <f t="shared" si="80"/>
        <v>27096.9333333334</v>
      </c>
      <c r="L158" s="916">
        <f t="shared" si="81"/>
        <v>6629.01333333336</v>
      </c>
      <c r="M158" s="916">
        <v>0</v>
      </c>
      <c r="N158" s="916"/>
      <c r="O158" s="916">
        <f t="shared" si="83"/>
        <v>0</v>
      </c>
      <c r="P158" s="916">
        <f t="shared" si="84"/>
        <v>325163.2</v>
      </c>
      <c r="Q158" s="916">
        <f t="shared" si="85"/>
        <v>0</v>
      </c>
    </row>
    <row r="159" customHeight="1" spans="1:17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6">
        <v>20467.92</v>
      </c>
      <c r="K159" s="916">
        <f t="shared" si="80"/>
        <v>27096.9333333334</v>
      </c>
      <c r="L159" s="916">
        <f t="shared" si="81"/>
        <v>6629.01333333336</v>
      </c>
      <c r="M159" s="916">
        <v>0</v>
      </c>
      <c r="N159" s="916"/>
      <c r="O159" s="916">
        <f t="shared" si="83"/>
        <v>0</v>
      </c>
      <c r="P159" s="916">
        <f t="shared" si="84"/>
        <v>325163.2</v>
      </c>
      <c r="Q159" s="916">
        <f t="shared" si="85"/>
        <v>0</v>
      </c>
    </row>
    <row r="160" customHeight="1" spans="1:17">
      <c r="A160" s="27">
        <v>22</v>
      </c>
      <c r="B160" s="18" t="s">
        <v>314</v>
      </c>
      <c r="C160" s="12" t="s">
        <v>315</v>
      </c>
      <c r="D160" s="15" t="s">
        <v>102</v>
      </c>
      <c r="E160" s="85">
        <v>230631.916666667</v>
      </c>
      <c r="F160" s="909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6">
        <v>17956.78</v>
      </c>
      <c r="K160" s="916">
        <f t="shared" si="80"/>
        <v>24152.86</v>
      </c>
      <c r="L160" s="916">
        <f t="shared" si="81"/>
        <v>6196.08</v>
      </c>
      <c r="M160" s="916">
        <v>0</v>
      </c>
      <c r="N160" s="916"/>
      <c r="O160" s="916">
        <f t="shared" si="83"/>
        <v>0</v>
      </c>
      <c r="P160" s="916">
        <f t="shared" si="84"/>
        <v>289834.32</v>
      </c>
      <c r="Q160" s="916">
        <f t="shared" si="85"/>
        <v>0</v>
      </c>
    </row>
    <row r="161" customHeight="1" spans="1:17">
      <c r="A161" s="27">
        <v>23</v>
      </c>
      <c r="B161" s="18" t="s">
        <v>316</v>
      </c>
      <c r="C161" s="12" t="s">
        <v>317</v>
      </c>
      <c r="D161" s="15" t="s">
        <v>102</v>
      </c>
      <c r="E161" s="85">
        <v>230631.916666667</v>
      </c>
      <c r="F161" s="909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6">
        <v>17956.78</v>
      </c>
      <c r="K161" s="916">
        <f t="shared" si="80"/>
        <v>24152.86</v>
      </c>
      <c r="L161" s="916">
        <f t="shared" si="81"/>
        <v>6196.08</v>
      </c>
      <c r="M161" s="916">
        <v>0</v>
      </c>
      <c r="N161" s="916"/>
      <c r="O161" s="916">
        <f t="shared" si="83"/>
        <v>0</v>
      </c>
      <c r="P161" s="916">
        <f t="shared" si="84"/>
        <v>289834.32</v>
      </c>
      <c r="Q161" s="916">
        <f t="shared" si="85"/>
        <v>0</v>
      </c>
    </row>
    <row r="162" customHeight="1" spans="1:17">
      <c r="A162" s="27">
        <v>24</v>
      </c>
      <c r="B162" s="18" t="s">
        <v>318</v>
      </c>
      <c r="C162" s="12" t="s">
        <v>319</v>
      </c>
      <c r="D162" s="15" t="s">
        <v>102</v>
      </c>
      <c r="E162" s="85">
        <v>230631.916666667</v>
      </c>
      <c r="F162" s="909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6">
        <v>17956.78</v>
      </c>
      <c r="K162" s="916">
        <f t="shared" si="80"/>
        <v>24152.86</v>
      </c>
      <c r="L162" s="916">
        <f t="shared" si="81"/>
        <v>6196.08</v>
      </c>
      <c r="M162" s="916">
        <v>0</v>
      </c>
      <c r="N162" s="916"/>
      <c r="O162" s="916">
        <f t="shared" si="83"/>
        <v>0</v>
      </c>
      <c r="P162" s="916">
        <f t="shared" si="84"/>
        <v>289834.32</v>
      </c>
      <c r="Q162" s="916">
        <f t="shared" si="85"/>
        <v>0</v>
      </c>
    </row>
    <row r="163" customHeight="1" spans="1:17">
      <c r="A163" s="27">
        <v>25</v>
      </c>
      <c r="B163" s="18" t="s">
        <v>320</v>
      </c>
      <c r="C163" s="12" t="s">
        <v>321</v>
      </c>
      <c r="D163" s="15" t="s">
        <v>208</v>
      </c>
      <c r="E163" s="85">
        <v>236804.083333333</v>
      </c>
      <c r="F163" s="909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6">
        <v>18450.5533333333</v>
      </c>
      <c r="K163" s="916">
        <f t="shared" si="80"/>
        <v>24713.6533333334</v>
      </c>
      <c r="L163" s="916">
        <f t="shared" si="81"/>
        <v>6263.10000000006</v>
      </c>
      <c r="M163" s="916">
        <v>0</v>
      </c>
      <c r="N163" s="916"/>
      <c r="O163" s="916">
        <f t="shared" si="83"/>
        <v>0</v>
      </c>
      <c r="P163" s="916">
        <f t="shared" si="84"/>
        <v>296563.84</v>
      </c>
      <c r="Q163" s="916">
        <f t="shared" si="85"/>
        <v>0</v>
      </c>
    </row>
    <row r="164" customHeight="1" spans="1:17">
      <c r="A164" s="27">
        <v>26</v>
      </c>
      <c r="B164" s="18" t="s">
        <v>322</v>
      </c>
      <c r="C164" s="12" t="s">
        <v>317</v>
      </c>
      <c r="D164" s="15" t="s">
        <v>102</v>
      </c>
      <c r="E164" s="85">
        <v>230631.916666667</v>
      </c>
      <c r="F164" s="909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6">
        <v>17956.78</v>
      </c>
      <c r="K164" s="916">
        <f t="shared" si="80"/>
        <v>24152.86</v>
      </c>
      <c r="L164" s="916">
        <f t="shared" si="81"/>
        <v>6196.08</v>
      </c>
      <c r="M164" s="916">
        <v>0</v>
      </c>
      <c r="N164" s="916"/>
      <c r="O164" s="916">
        <f t="shared" si="83"/>
        <v>0</v>
      </c>
      <c r="P164" s="916">
        <f t="shared" si="84"/>
        <v>289834.32</v>
      </c>
      <c r="Q164" s="916">
        <f t="shared" si="85"/>
        <v>0</v>
      </c>
    </row>
    <row r="165" customHeight="1" spans="1:17">
      <c r="A165" s="27">
        <v>27</v>
      </c>
      <c r="B165" s="18" t="s">
        <v>323</v>
      </c>
      <c r="C165" s="12" t="s">
        <v>324</v>
      </c>
      <c r="D165" s="15" t="s">
        <v>105</v>
      </c>
      <c r="E165" s="676">
        <v>224459.75</v>
      </c>
      <c r="F165" s="909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6">
        <v>17463.0066666666</v>
      </c>
      <c r="K165" s="916">
        <f t="shared" si="80"/>
        <v>23592.0666666667</v>
      </c>
      <c r="L165" s="916">
        <f t="shared" si="81"/>
        <v>6129.06000000012</v>
      </c>
      <c r="M165" s="916"/>
      <c r="N165" s="916"/>
      <c r="O165" s="916">
        <f t="shared" si="83"/>
        <v>0</v>
      </c>
      <c r="P165" s="916">
        <f t="shared" si="84"/>
        <v>283104.800000001</v>
      </c>
      <c r="Q165" s="916">
        <f t="shared" si="85"/>
        <v>0</v>
      </c>
    </row>
    <row r="166" customHeight="1" spans="1:17">
      <c r="A166" s="27">
        <v>28</v>
      </c>
      <c r="B166" s="18" t="s">
        <v>325</v>
      </c>
      <c r="C166" s="12" t="s">
        <v>324</v>
      </c>
      <c r="D166" s="15" t="s">
        <v>105</v>
      </c>
      <c r="E166" s="676">
        <v>224459.75</v>
      </c>
      <c r="F166" s="909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6">
        <v>17463.0066666666</v>
      </c>
      <c r="K166" s="916">
        <f t="shared" si="80"/>
        <v>23592.0666666667</v>
      </c>
      <c r="L166" s="916">
        <f t="shared" si="81"/>
        <v>6129.06000000012</v>
      </c>
      <c r="M166" s="916"/>
      <c r="N166" s="916"/>
      <c r="O166" s="916">
        <f t="shared" si="83"/>
        <v>0</v>
      </c>
      <c r="P166" s="916">
        <f t="shared" si="84"/>
        <v>283104.800000001</v>
      </c>
      <c r="Q166" s="916">
        <f t="shared" si="85"/>
        <v>0</v>
      </c>
    </row>
    <row r="167" customHeight="1" spans="1:17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6">
        <v>13487.8533333333</v>
      </c>
      <c r="K167" s="916">
        <f t="shared" si="80"/>
        <v>19017.3733333333</v>
      </c>
      <c r="L167" s="916">
        <f t="shared" si="81"/>
        <v>5529.52</v>
      </c>
      <c r="M167" s="916">
        <v>2313.575</v>
      </c>
      <c r="N167" s="916">
        <f>0.025*F167</f>
        <v>3982.21458333333</v>
      </c>
      <c r="O167" s="916">
        <f t="shared" si="83"/>
        <v>1668.63958333333</v>
      </c>
      <c r="P167" s="916">
        <f t="shared" si="84"/>
        <v>228208.48</v>
      </c>
      <c r="Q167" s="916">
        <f t="shared" si="85"/>
        <v>47786.5749999999</v>
      </c>
    </row>
    <row r="168" customHeight="1" spans="1:17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6">
        <v>13487.8533333333</v>
      </c>
      <c r="K168" s="916">
        <f t="shared" si="80"/>
        <v>19017.3733333333</v>
      </c>
      <c r="L168" s="916">
        <f t="shared" si="81"/>
        <v>5529.52</v>
      </c>
      <c r="M168" s="916">
        <v>0</v>
      </c>
      <c r="N168" s="916"/>
      <c r="O168" s="916">
        <f t="shared" si="83"/>
        <v>0</v>
      </c>
      <c r="P168" s="916">
        <f t="shared" si="84"/>
        <v>228208.48</v>
      </c>
      <c r="Q168" s="916">
        <f t="shared" si="85"/>
        <v>0</v>
      </c>
    </row>
    <row r="169" customHeight="1" spans="1:17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6">
        <v>13487.8533333333</v>
      </c>
      <c r="K169" s="916">
        <f t="shared" si="80"/>
        <v>19017.3733333333</v>
      </c>
      <c r="L169" s="916">
        <f t="shared" si="81"/>
        <v>5529.52</v>
      </c>
      <c r="M169" s="916">
        <v>0</v>
      </c>
      <c r="N169" s="916"/>
      <c r="O169" s="916">
        <f t="shared" si="83"/>
        <v>0</v>
      </c>
      <c r="P169" s="916">
        <f t="shared" si="84"/>
        <v>228208.48</v>
      </c>
      <c r="Q169" s="916">
        <f t="shared" si="85"/>
        <v>0</v>
      </c>
    </row>
    <row r="170" customHeight="1" spans="1:17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6">
        <v>13487.8533333333</v>
      </c>
      <c r="K170" s="916">
        <f t="shared" si="80"/>
        <v>19017.3733333333</v>
      </c>
      <c r="L170" s="916">
        <f t="shared" si="81"/>
        <v>5529.52</v>
      </c>
      <c r="M170" s="916">
        <v>2313.575</v>
      </c>
      <c r="N170" s="916">
        <v>3982.21458333333</v>
      </c>
      <c r="O170" s="916">
        <f t="shared" si="83"/>
        <v>1668.63958333333</v>
      </c>
      <c r="P170" s="916">
        <f t="shared" si="84"/>
        <v>228208.48</v>
      </c>
      <c r="Q170" s="916">
        <f t="shared" si="85"/>
        <v>47786.575</v>
      </c>
    </row>
    <row r="171" customHeight="1" spans="1:17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6">
        <v>13487.8533333333</v>
      </c>
      <c r="K171" s="916">
        <f t="shared" si="80"/>
        <v>19017.3733333333</v>
      </c>
      <c r="L171" s="916">
        <f t="shared" si="81"/>
        <v>5529.52</v>
      </c>
      <c r="M171" s="916"/>
      <c r="N171" s="916"/>
      <c r="O171" s="916">
        <f t="shared" si="83"/>
        <v>0</v>
      </c>
      <c r="P171" s="916">
        <f t="shared" si="84"/>
        <v>228208.48</v>
      </c>
      <c r="Q171" s="916">
        <f t="shared" si="85"/>
        <v>0</v>
      </c>
    </row>
    <row r="172" customHeight="1" spans="1:17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6">
        <v>13066.9466666667</v>
      </c>
      <c r="K172" s="916">
        <f t="shared" si="80"/>
        <v>18538.7066666667</v>
      </c>
      <c r="L172" s="916">
        <f t="shared" si="81"/>
        <v>5471.76</v>
      </c>
      <c r="M172" s="916"/>
      <c r="N172" s="916"/>
      <c r="O172" s="916">
        <f t="shared" si="83"/>
        <v>0</v>
      </c>
      <c r="P172" s="916">
        <f t="shared" si="84"/>
        <v>222464.48</v>
      </c>
      <c r="Q172" s="916">
        <f t="shared" si="85"/>
        <v>0</v>
      </c>
    </row>
    <row r="173" customHeight="1" spans="1:17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6">
        <v>13066.9466666667</v>
      </c>
      <c r="K173" s="916">
        <f t="shared" si="80"/>
        <v>18538.7066666667</v>
      </c>
      <c r="L173" s="916">
        <f t="shared" si="81"/>
        <v>5471.76</v>
      </c>
      <c r="M173" s="916"/>
      <c r="N173" s="916"/>
      <c r="O173" s="916">
        <f t="shared" si="83"/>
        <v>0</v>
      </c>
      <c r="P173" s="916">
        <f t="shared" si="84"/>
        <v>222464.48</v>
      </c>
      <c r="Q173" s="916">
        <f t="shared" si="85"/>
        <v>0</v>
      </c>
    </row>
    <row r="174" customHeight="1" spans="1:17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6">
        <v>13066.9466666667</v>
      </c>
      <c r="K174" s="916">
        <f t="shared" si="80"/>
        <v>18538.7066666667</v>
      </c>
      <c r="L174" s="916">
        <f t="shared" si="81"/>
        <v>5471.76</v>
      </c>
      <c r="M174" s="916"/>
      <c r="N174" s="916"/>
      <c r="O174" s="916">
        <f t="shared" si="83"/>
        <v>0</v>
      </c>
      <c r="P174" s="916">
        <f t="shared" si="84"/>
        <v>222464.48</v>
      </c>
      <c r="Q174" s="916">
        <f t="shared" si="85"/>
        <v>0</v>
      </c>
    </row>
    <row r="175" customHeight="1" spans="1:17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6">
        <v>13066.9466666667</v>
      </c>
      <c r="K175" s="916">
        <f t="shared" si="80"/>
        <v>18538.7066666667</v>
      </c>
      <c r="L175" s="916">
        <f t="shared" si="81"/>
        <v>5471.76</v>
      </c>
      <c r="M175" s="916"/>
      <c r="N175" s="916"/>
      <c r="O175" s="916">
        <f t="shared" si="83"/>
        <v>0</v>
      </c>
      <c r="P175" s="916">
        <f t="shared" si="84"/>
        <v>222464.48</v>
      </c>
      <c r="Q175" s="916">
        <f t="shared" si="85"/>
        <v>0</v>
      </c>
    </row>
    <row r="176" customHeight="1" spans="1:17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6">
        <v>13066.9466666667</v>
      </c>
      <c r="K176" s="916">
        <f t="shared" si="80"/>
        <v>18538.7066666667</v>
      </c>
      <c r="L176" s="916">
        <f t="shared" si="81"/>
        <v>5471.76</v>
      </c>
      <c r="M176" s="916"/>
      <c r="N176" s="916"/>
      <c r="O176" s="916">
        <f t="shared" si="83"/>
        <v>0</v>
      </c>
      <c r="P176" s="916">
        <f t="shared" si="84"/>
        <v>222464.48</v>
      </c>
      <c r="Q176" s="916">
        <f t="shared" si="85"/>
        <v>0</v>
      </c>
    </row>
    <row r="177" customHeight="1" spans="1:17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6">
        <v>13066.9466666667</v>
      </c>
      <c r="K177" s="916">
        <f t="shared" si="80"/>
        <v>18538.7066666667</v>
      </c>
      <c r="L177" s="916">
        <f t="shared" si="81"/>
        <v>5471.76</v>
      </c>
      <c r="M177" s="916"/>
      <c r="N177" s="916"/>
      <c r="O177" s="916">
        <f t="shared" si="83"/>
        <v>0</v>
      </c>
      <c r="P177" s="916">
        <f t="shared" si="84"/>
        <v>222464.48</v>
      </c>
      <c r="Q177" s="916">
        <f t="shared" si="85"/>
        <v>0</v>
      </c>
    </row>
    <row r="178" customHeight="1" spans="1:17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6">
        <v>12225.1333333333</v>
      </c>
      <c r="K178" s="916">
        <f t="shared" si="80"/>
        <v>17581.3866666667</v>
      </c>
      <c r="L178" s="916">
        <f t="shared" si="81"/>
        <v>5356.25333333336</v>
      </c>
      <c r="M178" s="916"/>
      <c r="N178" s="916"/>
      <c r="O178" s="916">
        <f t="shared" si="83"/>
        <v>0</v>
      </c>
      <c r="P178" s="916">
        <f t="shared" si="84"/>
        <v>210976.64</v>
      </c>
      <c r="Q178" s="916">
        <f t="shared" si="85"/>
        <v>0</v>
      </c>
    </row>
    <row r="179" customHeight="1" spans="1:17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6">
        <v>12225.1333333333</v>
      </c>
      <c r="K179" s="916">
        <f t="shared" si="80"/>
        <v>17581.3866666667</v>
      </c>
      <c r="L179" s="916">
        <f t="shared" si="81"/>
        <v>5356.25333333336</v>
      </c>
      <c r="M179" s="916"/>
      <c r="N179" s="916"/>
      <c r="O179" s="916">
        <f t="shared" si="83"/>
        <v>0</v>
      </c>
      <c r="P179" s="916">
        <f t="shared" si="84"/>
        <v>210976.64</v>
      </c>
      <c r="Q179" s="916">
        <f t="shared" si="85"/>
        <v>0</v>
      </c>
    </row>
    <row r="180" customHeight="1" spans="1:17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6">
        <v>12646.04</v>
      </c>
      <c r="K180" s="916">
        <f t="shared" si="80"/>
        <v>18060.0466666666</v>
      </c>
      <c r="L180" s="916">
        <f t="shared" si="81"/>
        <v>5414.00666666664</v>
      </c>
      <c r="M180" s="916"/>
      <c r="N180" s="916"/>
      <c r="O180" s="916">
        <f t="shared" si="83"/>
        <v>0</v>
      </c>
      <c r="P180" s="916">
        <f t="shared" si="84"/>
        <v>216720.56</v>
      </c>
      <c r="Q180" s="916">
        <f t="shared" si="85"/>
        <v>0</v>
      </c>
    </row>
    <row r="181" customHeight="1" spans="1:17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6">
        <v>12225.1333333333</v>
      </c>
      <c r="K181" s="916">
        <f t="shared" si="80"/>
        <v>17102.72</v>
      </c>
      <c r="L181" s="916">
        <f t="shared" si="81"/>
        <v>4877.58666666668</v>
      </c>
      <c r="M181" s="916"/>
      <c r="N181" s="916"/>
      <c r="O181" s="916">
        <f t="shared" si="83"/>
        <v>0</v>
      </c>
      <c r="P181" s="916">
        <f t="shared" si="84"/>
        <v>205232.64</v>
      </c>
      <c r="Q181" s="916">
        <f t="shared" si="85"/>
        <v>0</v>
      </c>
    </row>
    <row r="182" customHeight="1" spans="1:17">
      <c r="A182" s="27">
        <v>44</v>
      </c>
      <c r="B182" s="11" t="s">
        <v>354</v>
      </c>
      <c r="C182" s="12" t="s">
        <v>355</v>
      </c>
      <c r="D182" s="15" t="s">
        <v>498</v>
      </c>
      <c r="E182" s="85">
        <v>94145.75</v>
      </c>
      <c r="F182" s="921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6">
        <v>7327.84</v>
      </c>
      <c r="K182" s="916">
        <f t="shared" si="80"/>
        <v>11708.54</v>
      </c>
      <c r="L182" s="916">
        <f t="shared" si="81"/>
        <v>4380.7</v>
      </c>
      <c r="M182" s="916"/>
      <c r="N182" s="916"/>
      <c r="O182" s="916">
        <f t="shared" si="83"/>
        <v>0</v>
      </c>
      <c r="P182" s="916">
        <f t="shared" si="84"/>
        <v>140502.48</v>
      </c>
      <c r="Q182" s="916">
        <f t="shared" si="85"/>
        <v>0</v>
      </c>
    </row>
    <row r="183" customHeight="1" spans="1:17">
      <c r="A183" s="27">
        <v>45</v>
      </c>
      <c r="B183" s="11" t="s">
        <v>357</v>
      </c>
      <c r="C183" s="12" t="s">
        <v>355</v>
      </c>
      <c r="D183" s="15" t="s">
        <v>498</v>
      </c>
      <c r="E183" s="85">
        <v>94145.75</v>
      </c>
      <c r="F183" s="921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6">
        <v>7327.84</v>
      </c>
      <c r="K183" s="916">
        <f t="shared" si="80"/>
        <v>11708.54</v>
      </c>
      <c r="L183" s="916">
        <f t="shared" si="81"/>
        <v>4380.7</v>
      </c>
      <c r="M183" s="916"/>
      <c r="N183" s="916"/>
      <c r="O183" s="916">
        <f t="shared" si="83"/>
        <v>0</v>
      </c>
      <c r="P183" s="916">
        <f t="shared" si="84"/>
        <v>140502.48</v>
      </c>
      <c r="Q183" s="916">
        <f t="shared" si="85"/>
        <v>0</v>
      </c>
    </row>
    <row r="184" customHeight="1" spans="1:17">
      <c r="A184" s="27">
        <v>46</v>
      </c>
      <c r="B184" s="11" t="s">
        <v>358</v>
      </c>
      <c r="C184" s="12" t="s">
        <v>355</v>
      </c>
      <c r="D184" s="15" t="s">
        <v>498</v>
      </c>
      <c r="E184" s="85">
        <v>94145.75</v>
      </c>
      <c r="F184" s="921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6">
        <v>7327.84</v>
      </c>
      <c r="K184" s="916">
        <f t="shared" si="80"/>
        <v>11708.54</v>
      </c>
      <c r="L184" s="916">
        <f t="shared" si="81"/>
        <v>4380.7</v>
      </c>
      <c r="M184" s="916"/>
      <c r="N184" s="916"/>
      <c r="O184" s="916">
        <f t="shared" si="83"/>
        <v>0</v>
      </c>
      <c r="P184" s="916">
        <f t="shared" si="84"/>
        <v>140502.48</v>
      </c>
      <c r="Q184" s="916">
        <f t="shared" si="85"/>
        <v>0</v>
      </c>
    </row>
    <row r="185" customHeight="1" spans="1:17">
      <c r="A185" s="27">
        <v>47</v>
      </c>
      <c r="B185" s="11" t="s">
        <v>359</v>
      </c>
      <c r="C185" s="12" t="s">
        <v>355</v>
      </c>
      <c r="D185" s="15" t="s">
        <v>498</v>
      </c>
      <c r="E185" s="85">
        <v>94145.75</v>
      </c>
      <c r="F185" s="921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6">
        <v>7327.84</v>
      </c>
      <c r="K185" s="916">
        <f t="shared" si="80"/>
        <v>11708.54</v>
      </c>
      <c r="L185" s="916">
        <f t="shared" si="81"/>
        <v>4380.7</v>
      </c>
      <c r="M185" s="916"/>
      <c r="N185" s="916"/>
      <c r="O185" s="916">
        <f t="shared" si="83"/>
        <v>0</v>
      </c>
      <c r="P185" s="916">
        <f t="shared" si="84"/>
        <v>140502.48</v>
      </c>
      <c r="Q185" s="916">
        <f t="shared" si="85"/>
        <v>0</v>
      </c>
    </row>
    <row r="186" customHeight="1" spans="1:17">
      <c r="A186" s="27">
        <v>48</v>
      </c>
      <c r="B186" s="11" t="s">
        <v>360</v>
      </c>
      <c r="C186" s="12" t="s">
        <v>355</v>
      </c>
      <c r="D186" s="15" t="s">
        <v>498</v>
      </c>
      <c r="E186" s="85">
        <v>94145.75</v>
      </c>
      <c r="F186" s="921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6">
        <v>7327.84</v>
      </c>
      <c r="K186" s="916">
        <f t="shared" si="80"/>
        <v>11708.54</v>
      </c>
      <c r="L186" s="916">
        <f t="shared" si="81"/>
        <v>4380.7</v>
      </c>
      <c r="M186" s="916"/>
      <c r="N186" s="916"/>
      <c r="O186" s="916">
        <f t="shared" si="83"/>
        <v>0</v>
      </c>
      <c r="P186" s="916">
        <f t="shared" si="84"/>
        <v>140502.48</v>
      </c>
      <c r="Q186" s="916">
        <f t="shared" si="85"/>
        <v>0</v>
      </c>
    </row>
    <row r="187" customHeight="1" spans="1:17">
      <c r="A187" s="27">
        <v>49</v>
      </c>
      <c r="B187" s="18" t="s">
        <v>361</v>
      </c>
      <c r="C187" s="12" t="s">
        <v>355</v>
      </c>
      <c r="D187" s="15" t="s">
        <v>498</v>
      </c>
      <c r="E187" s="85">
        <v>94145.75</v>
      </c>
      <c r="F187" s="921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6">
        <v>7327.84</v>
      </c>
      <c r="K187" s="916">
        <f t="shared" si="80"/>
        <v>11708.54</v>
      </c>
      <c r="L187" s="916">
        <f t="shared" si="81"/>
        <v>4380.7</v>
      </c>
      <c r="M187" s="916"/>
      <c r="N187" s="916"/>
      <c r="O187" s="916">
        <f t="shared" si="83"/>
        <v>0</v>
      </c>
      <c r="P187" s="916">
        <f t="shared" si="84"/>
        <v>140502.48</v>
      </c>
      <c r="Q187" s="916">
        <f t="shared" si="85"/>
        <v>0</v>
      </c>
    </row>
    <row r="188" customHeight="1" spans="1:17">
      <c r="A188" s="27">
        <v>50</v>
      </c>
      <c r="B188" s="18" t="s">
        <v>362</v>
      </c>
      <c r="C188" s="12" t="s">
        <v>355</v>
      </c>
      <c r="D188" s="15" t="s">
        <v>498</v>
      </c>
      <c r="E188" s="85">
        <v>94145.75</v>
      </c>
      <c r="F188" s="921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6">
        <v>7327.84</v>
      </c>
      <c r="K188" s="916">
        <f t="shared" si="80"/>
        <v>11708.54</v>
      </c>
      <c r="L188" s="916">
        <f t="shared" si="81"/>
        <v>4380.7</v>
      </c>
      <c r="M188" s="916"/>
      <c r="N188" s="916"/>
      <c r="O188" s="916">
        <f t="shared" si="83"/>
        <v>0</v>
      </c>
      <c r="P188" s="916">
        <f t="shared" si="84"/>
        <v>140502.48</v>
      </c>
      <c r="Q188" s="916">
        <f t="shared" si="85"/>
        <v>0</v>
      </c>
    </row>
    <row r="189" customHeight="1" spans="1:17">
      <c r="A189" s="27">
        <v>51</v>
      </c>
      <c r="B189" s="11" t="s">
        <v>499</v>
      </c>
      <c r="C189" s="12" t="s">
        <v>352</v>
      </c>
      <c r="D189" s="15" t="s">
        <v>498</v>
      </c>
      <c r="E189" s="85">
        <v>94145.75</v>
      </c>
      <c r="F189" s="921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6"/>
      <c r="K189" s="916">
        <f t="shared" si="80"/>
        <v>11708.54</v>
      </c>
      <c r="L189" s="916">
        <f t="shared" si="81"/>
        <v>11708.54</v>
      </c>
      <c r="M189" s="916"/>
      <c r="N189" s="916"/>
      <c r="O189" s="916">
        <f t="shared" si="83"/>
        <v>0</v>
      </c>
      <c r="P189" s="916">
        <f t="shared" si="84"/>
        <v>140502.48</v>
      </c>
      <c r="Q189" s="916">
        <f t="shared" si="85"/>
        <v>0</v>
      </c>
    </row>
    <row r="190" customHeight="1" spans="1:17">
      <c r="A190" s="27">
        <v>52</v>
      </c>
      <c r="B190" s="11" t="s">
        <v>363</v>
      </c>
      <c r="C190" s="12" t="s">
        <v>352</v>
      </c>
      <c r="D190" s="15" t="s">
        <v>498</v>
      </c>
      <c r="E190" s="85">
        <v>94145.75</v>
      </c>
      <c r="F190" s="921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6">
        <v>7327.84</v>
      </c>
      <c r="K190" s="916">
        <f t="shared" si="80"/>
        <v>11708.54</v>
      </c>
      <c r="L190" s="916">
        <f t="shared" si="81"/>
        <v>4380.7</v>
      </c>
      <c r="M190" s="916"/>
      <c r="N190" s="916"/>
      <c r="O190" s="916">
        <f t="shared" si="83"/>
        <v>0</v>
      </c>
      <c r="P190" s="916">
        <f t="shared" si="84"/>
        <v>140502.48</v>
      </c>
      <c r="Q190" s="916">
        <f t="shared" si="85"/>
        <v>0</v>
      </c>
    </row>
    <row r="191" customHeight="1" spans="1:17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6">
        <v>7124.02</v>
      </c>
      <c r="K191" s="916">
        <f t="shared" si="80"/>
        <v>11479.6533333333</v>
      </c>
      <c r="L191" s="916">
        <f t="shared" si="81"/>
        <v>4355.63333333334</v>
      </c>
      <c r="M191" s="916"/>
      <c r="N191" s="916"/>
      <c r="O191" s="916">
        <f t="shared" si="83"/>
        <v>0</v>
      </c>
      <c r="P191" s="916">
        <f t="shared" si="84"/>
        <v>137755.84</v>
      </c>
      <c r="Q191" s="916">
        <f t="shared" si="85"/>
        <v>0</v>
      </c>
    </row>
    <row r="192" customHeight="1" spans="1:17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6"/>
      <c r="K192" s="916">
        <f t="shared" si="80"/>
        <v>11021.88</v>
      </c>
      <c r="L192" s="916">
        <f t="shared" si="81"/>
        <v>11021.88</v>
      </c>
      <c r="M192" s="916"/>
      <c r="N192" s="916"/>
      <c r="O192" s="916">
        <f t="shared" si="83"/>
        <v>0</v>
      </c>
      <c r="P192" s="916">
        <f t="shared" si="84"/>
        <v>132262.56</v>
      </c>
      <c r="Q192" s="916">
        <f t="shared" si="85"/>
        <v>0</v>
      </c>
    </row>
    <row r="193" customHeight="1" spans="1:17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6">
        <v>6920.2</v>
      </c>
      <c r="K193" s="916">
        <f t="shared" si="80"/>
        <v>10793.0133333333</v>
      </c>
      <c r="L193" s="916">
        <f t="shared" si="81"/>
        <v>3872.81333333333</v>
      </c>
      <c r="M193" s="916"/>
      <c r="N193" s="916"/>
      <c r="O193" s="916">
        <f t="shared" si="83"/>
        <v>0</v>
      </c>
      <c r="P193" s="916">
        <f t="shared" si="84"/>
        <v>129516.16</v>
      </c>
      <c r="Q193" s="916">
        <f t="shared" si="85"/>
        <v>0</v>
      </c>
    </row>
    <row r="194" customHeight="1" spans="1:17">
      <c r="A194" s="27">
        <v>56</v>
      </c>
      <c r="B194" s="18" t="s">
        <v>371</v>
      </c>
      <c r="C194" s="12" t="s">
        <v>372</v>
      </c>
      <c r="D194" s="15" t="s">
        <v>373</v>
      </c>
      <c r="E194" s="85">
        <v>78733.8333333333</v>
      </c>
      <c r="F194" s="909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6">
        <v>6123.26</v>
      </c>
      <c r="K194" s="916">
        <f t="shared" si="80"/>
        <v>10323.9533333333</v>
      </c>
      <c r="L194" s="916">
        <f t="shared" si="81"/>
        <v>4200.69333333334</v>
      </c>
      <c r="M194" s="916"/>
      <c r="N194" s="916"/>
      <c r="O194" s="916">
        <f t="shared" si="83"/>
        <v>0</v>
      </c>
      <c r="P194" s="916">
        <f t="shared" si="84"/>
        <v>123887.44</v>
      </c>
      <c r="Q194" s="916">
        <f t="shared" si="85"/>
        <v>0</v>
      </c>
    </row>
    <row r="195" customHeight="1" spans="1:17">
      <c r="A195" s="27">
        <v>57</v>
      </c>
      <c r="B195" s="18" t="s">
        <v>374</v>
      </c>
      <c r="C195" s="12" t="s">
        <v>372</v>
      </c>
      <c r="D195" s="15" t="s">
        <v>373</v>
      </c>
      <c r="E195" s="85">
        <v>78733.8333333333</v>
      </c>
      <c r="F195" s="909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6">
        <v>6123.26</v>
      </c>
      <c r="K195" s="916">
        <f t="shared" si="80"/>
        <v>10323.9533333333</v>
      </c>
      <c r="L195" s="916">
        <f t="shared" si="81"/>
        <v>4200.69333333334</v>
      </c>
      <c r="M195" s="916"/>
      <c r="N195" s="916"/>
      <c r="O195" s="916">
        <f t="shared" si="83"/>
        <v>0</v>
      </c>
      <c r="P195" s="916">
        <f t="shared" si="84"/>
        <v>123887.44</v>
      </c>
      <c r="Q195" s="916">
        <f t="shared" si="85"/>
        <v>0</v>
      </c>
    </row>
    <row r="196" customHeight="1" spans="1:17">
      <c r="A196" s="27">
        <v>58</v>
      </c>
      <c r="B196" s="18" t="s">
        <v>375</v>
      </c>
      <c r="C196" s="12" t="s">
        <v>372</v>
      </c>
      <c r="D196" s="15" t="s">
        <v>373</v>
      </c>
      <c r="E196" s="85">
        <v>78733.8333333333</v>
      </c>
      <c r="F196" s="909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6">
        <v>6123.26</v>
      </c>
      <c r="K196" s="916">
        <f t="shared" si="80"/>
        <v>10323.9533333333</v>
      </c>
      <c r="L196" s="916">
        <f t="shared" si="81"/>
        <v>4200.69333333334</v>
      </c>
      <c r="M196" s="916"/>
      <c r="N196" s="916"/>
      <c r="O196" s="916">
        <f t="shared" si="83"/>
        <v>0</v>
      </c>
      <c r="P196" s="916">
        <f t="shared" si="84"/>
        <v>123887.44</v>
      </c>
      <c r="Q196" s="916">
        <f t="shared" si="85"/>
        <v>0</v>
      </c>
    </row>
    <row r="197" customHeight="1" spans="1:17">
      <c r="A197" s="27">
        <v>59</v>
      </c>
      <c r="B197" s="18" t="s">
        <v>376</v>
      </c>
      <c r="C197" s="12" t="s">
        <v>377</v>
      </c>
      <c r="D197" s="15" t="s">
        <v>378</v>
      </c>
      <c r="E197" s="85">
        <v>89050.25</v>
      </c>
      <c r="F197" s="909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6">
        <v>6920.2</v>
      </c>
      <c r="K197" s="916">
        <f t="shared" si="80"/>
        <v>11250.7733333333</v>
      </c>
      <c r="L197" s="916">
        <f t="shared" si="81"/>
        <v>4330.57333333333</v>
      </c>
      <c r="M197" s="916"/>
      <c r="N197" s="916"/>
      <c r="O197" s="916">
        <f t="shared" si="83"/>
        <v>0</v>
      </c>
      <c r="P197" s="916">
        <f t="shared" si="84"/>
        <v>135009.28</v>
      </c>
      <c r="Q197" s="916">
        <f t="shared" si="85"/>
        <v>0</v>
      </c>
    </row>
    <row r="198" customHeight="1" spans="1:17">
      <c r="A198" s="27">
        <v>60</v>
      </c>
      <c r="B198" s="18" t="s">
        <v>379</v>
      </c>
      <c r="C198" s="12" t="s">
        <v>377</v>
      </c>
      <c r="D198" s="15" t="s">
        <v>378</v>
      </c>
      <c r="E198" s="85">
        <v>89050.25</v>
      </c>
      <c r="F198" s="909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6">
        <v>6920.2</v>
      </c>
      <c r="K198" s="916">
        <f t="shared" si="80"/>
        <v>11250.7733333333</v>
      </c>
      <c r="L198" s="916">
        <f t="shared" si="81"/>
        <v>4330.57333333333</v>
      </c>
      <c r="M198" s="916"/>
      <c r="N198" s="916"/>
      <c r="O198" s="916">
        <f t="shared" si="83"/>
        <v>0</v>
      </c>
      <c r="P198" s="916">
        <f t="shared" si="84"/>
        <v>135009.28</v>
      </c>
      <c r="Q198" s="916">
        <f t="shared" si="85"/>
        <v>0</v>
      </c>
    </row>
    <row r="199" ht="30.75" customHeight="1" spans="1:17">
      <c r="A199" s="27"/>
      <c r="B199" s="8" t="s">
        <v>111</v>
      </c>
      <c r="C199" s="28" t="s">
        <v>500</v>
      </c>
      <c r="D199" s="29"/>
      <c r="E199" s="93">
        <f t="shared" ref="E199:Q199" si="86">SUM(E139:E198)</f>
        <v>14787756.9166667</v>
      </c>
      <c r="F199" s="912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4595998.66666666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501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6046437.41333333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373109.295833333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6">
      <c r="A201" s="4"/>
      <c r="B201" s="30" t="s">
        <v>502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503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6715955.99333333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373109.295833333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1">
      <c r="A1" s="856" t="s">
        <v>531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1">
      <c r="A2" s="856" t="s">
        <v>532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1">
      <c r="A3" s="623" t="s">
        <v>533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74"/>
    </row>
    <row r="5" ht="41" customHeight="1" spans="1:12">
      <c r="A5" s="857" t="s">
        <v>21</v>
      </c>
      <c r="B5" s="858" t="s">
        <v>2</v>
      </c>
      <c r="C5" s="858" t="s">
        <v>3</v>
      </c>
      <c r="D5" s="859" t="s">
        <v>4</v>
      </c>
      <c r="E5" s="860">
        <v>45293</v>
      </c>
      <c r="F5" s="860">
        <v>45324</v>
      </c>
      <c r="G5" s="860">
        <v>45354</v>
      </c>
      <c r="H5" s="860">
        <v>45386</v>
      </c>
      <c r="I5" s="860">
        <v>45417</v>
      </c>
      <c r="J5" s="860">
        <v>45449</v>
      </c>
      <c r="K5" s="875" t="s">
        <v>534</v>
      </c>
      <c r="L5" s="874"/>
    </row>
    <row r="6" ht="25" customHeight="1" spans="1:12">
      <c r="A6" s="861"/>
      <c r="B6" s="287"/>
      <c r="C6" s="287"/>
      <c r="D6" s="862"/>
      <c r="E6" s="862"/>
      <c r="F6" s="863" t="s">
        <v>20</v>
      </c>
      <c r="G6" s="863"/>
      <c r="H6" s="863"/>
      <c r="I6" s="863"/>
      <c r="J6" s="863"/>
      <c r="K6" s="863" t="s">
        <v>20</v>
      </c>
      <c r="L6" s="874"/>
    </row>
    <row r="7" ht="29" customHeight="1" spans="1:12">
      <c r="A7" s="95">
        <v>1</v>
      </c>
      <c r="B7" s="643" t="s">
        <v>23</v>
      </c>
      <c r="C7" s="83" t="s">
        <v>24</v>
      </c>
      <c r="D7" s="83" t="s">
        <v>25</v>
      </c>
      <c r="E7" s="641">
        <v>35000</v>
      </c>
      <c r="F7" s="641">
        <v>35000</v>
      </c>
      <c r="G7" s="641">
        <v>35000</v>
      </c>
      <c r="H7" s="641">
        <v>35000</v>
      </c>
      <c r="I7" s="641">
        <v>35000</v>
      </c>
      <c r="J7" s="641">
        <v>35000</v>
      </c>
      <c r="K7" s="642">
        <f>SUM(E7:J7)</f>
        <v>210000</v>
      </c>
      <c r="L7" s="874"/>
    </row>
    <row r="8" ht="25" customHeight="1" spans="1:12">
      <c r="A8" s="95">
        <v>2</v>
      </c>
      <c r="B8" s="643" t="s">
        <v>26</v>
      </c>
      <c r="C8" s="83" t="s">
        <v>27</v>
      </c>
      <c r="D8" s="95" t="s">
        <v>28</v>
      </c>
      <c r="E8" s="641">
        <v>35000</v>
      </c>
      <c r="F8" s="641">
        <v>35000</v>
      </c>
      <c r="G8" s="641">
        <v>35000</v>
      </c>
      <c r="H8" s="641">
        <v>35000</v>
      </c>
      <c r="I8" s="641">
        <v>35000</v>
      </c>
      <c r="J8" s="641">
        <v>35000</v>
      </c>
      <c r="K8" s="642">
        <f t="shared" ref="K8:K33" si="0">SUM(E8:J8)</f>
        <v>210000</v>
      </c>
      <c r="L8" s="874"/>
    </row>
    <row r="9" ht="25" customHeight="1" spans="1:12">
      <c r="A9" s="95">
        <v>3</v>
      </c>
      <c r="B9" s="639" t="s">
        <v>29</v>
      </c>
      <c r="C9" s="86" t="s">
        <v>30</v>
      </c>
      <c r="D9" s="95" t="s">
        <v>28</v>
      </c>
      <c r="E9" s="641">
        <v>35000</v>
      </c>
      <c r="F9" s="641">
        <v>35000</v>
      </c>
      <c r="G9" s="641">
        <v>35000</v>
      </c>
      <c r="H9" s="641">
        <v>35000</v>
      </c>
      <c r="I9" s="641">
        <v>35000</v>
      </c>
      <c r="J9" s="641">
        <v>35000</v>
      </c>
      <c r="K9" s="642">
        <f t="shared" si="0"/>
        <v>210000</v>
      </c>
      <c r="L9" s="874"/>
    </row>
    <row r="10" ht="25" customHeight="1" spans="1:12">
      <c r="A10" s="95">
        <v>4</v>
      </c>
      <c r="B10" s="643" t="s">
        <v>31</v>
      </c>
      <c r="C10" s="87" t="s">
        <v>32</v>
      </c>
      <c r="D10" s="95" t="s">
        <v>28</v>
      </c>
      <c r="E10" s="641">
        <v>35000</v>
      </c>
      <c r="F10" s="641">
        <v>35000</v>
      </c>
      <c r="G10" s="641">
        <v>35000</v>
      </c>
      <c r="H10" s="641">
        <v>35000</v>
      </c>
      <c r="I10" s="641">
        <v>35000</v>
      </c>
      <c r="J10" s="641">
        <v>35000</v>
      </c>
      <c r="K10" s="642">
        <f t="shared" si="0"/>
        <v>210000</v>
      </c>
      <c r="L10" s="874"/>
    </row>
    <row r="11" ht="25" customHeight="1" spans="1:12">
      <c r="A11" s="95">
        <v>5</v>
      </c>
      <c r="B11" s="639" t="s">
        <v>273</v>
      </c>
      <c r="C11" s="86" t="s">
        <v>535</v>
      </c>
      <c r="D11" s="95" t="s">
        <v>28</v>
      </c>
      <c r="E11" s="641">
        <v>35000</v>
      </c>
      <c r="F11" s="641">
        <v>35000</v>
      </c>
      <c r="G11" s="641">
        <v>35000</v>
      </c>
      <c r="H11" s="641">
        <v>35000</v>
      </c>
      <c r="I11" s="641">
        <v>35000</v>
      </c>
      <c r="J11" s="641">
        <v>35000</v>
      </c>
      <c r="K11" s="642">
        <f t="shared" si="0"/>
        <v>210000</v>
      </c>
      <c r="L11" s="874"/>
    </row>
    <row r="12" ht="25" customHeight="1" spans="1:12">
      <c r="A12" s="95">
        <v>6</v>
      </c>
      <c r="B12" s="351" t="s">
        <v>536</v>
      </c>
      <c r="C12" s="87" t="s">
        <v>537</v>
      </c>
      <c r="D12" s="95" t="s">
        <v>28</v>
      </c>
      <c r="E12" s="641">
        <v>35000</v>
      </c>
      <c r="F12" s="641">
        <v>35000</v>
      </c>
      <c r="G12" s="641">
        <v>35000</v>
      </c>
      <c r="H12" s="641">
        <v>35000</v>
      </c>
      <c r="I12" s="641">
        <v>35000</v>
      </c>
      <c r="J12" s="641">
        <v>35000</v>
      </c>
      <c r="K12" s="642">
        <f t="shared" si="0"/>
        <v>210000</v>
      </c>
      <c r="L12" s="874"/>
    </row>
    <row r="13" ht="25" customHeight="1" spans="1:12">
      <c r="A13" s="95">
        <v>7</v>
      </c>
      <c r="B13" s="643" t="s">
        <v>33</v>
      </c>
      <c r="C13" s="83" t="s">
        <v>538</v>
      </c>
      <c r="D13" s="640" t="s">
        <v>131</v>
      </c>
      <c r="E13" s="641">
        <v>35000</v>
      </c>
      <c r="F13" s="641">
        <v>35000</v>
      </c>
      <c r="G13" s="641">
        <v>35000</v>
      </c>
      <c r="H13" s="641">
        <v>35000</v>
      </c>
      <c r="I13" s="641">
        <v>35000</v>
      </c>
      <c r="J13" s="641">
        <v>35000</v>
      </c>
      <c r="K13" s="642">
        <f t="shared" si="0"/>
        <v>210000</v>
      </c>
      <c r="L13" s="874"/>
    </row>
    <row r="14" ht="25" customHeight="1" spans="1:12">
      <c r="A14" s="95">
        <v>8</v>
      </c>
      <c r="B14" s="643" t="s">
        <v>36</v>
      </c>
      <c r="C14" s="86" t="s">
        <v>37</v>
      </c>
      <c r="D14" s="95" t="s">
        <v>49</v>
      </c>
      <c r="E14" s="641">
        <v>35000</v>
      </c>
      <c r="F14" s="641">
        <v>35000</v>
      </c>
      <c r="G14" s="641">
        <v>35000</v>
      </c>
      <c r="H14" s="641">
        <v>35000</v>
      </c>
      <c r="I14" s="641">
        <v>35000</v>
      </c>
      <c r="J14" s="641">
        <v>35000</v>
      </c>
      <c r="K14" s="642">
        <f t="shared" si="0"/>
        <v>210000</v>
      </c>
      <c r="L14" s="874"/>
    </row>
    <row r="15" ht="25" customHeight="1" spans="1:12">
      <c r="A15" s="95">
        <v>9</v>
      </c>
      <c r="B15" s="643" t="s">
        <v>39</v>
      </c>
      <c r="C15" s="86" t="s">
        <v>40</v>
      </c>
      <c r="D15" s="640" t="s">
        <v>41</v>
      </c>
      <c r="E15" s="641">
        <v>35000</v>
      </c>
      <c r="F15" s="641">
        <v>35000</v>
      </c>
      <c r="G15" s="641">
        <v>35000</v>
      </c>
      <c r="H15" s="641">
        <v>35000</v>
      </c>
      <c r="I15" s="641">
        <v>35000</v>
      </c>
      <c r="J15" s="641">
        <v>35000</v>
      </c>
      <c r="K15" s="642">
        <f t="shared" si="0"/>
        <v>210000</v>
      </c>
      <c r="L15" s="874"/>
    </row>
    <row r="16" ht="25" customHeight="1" spans="1:12">
      <c r="A16" s="95">
        <v>10</v>
      </c>
      <c r="B16" s="639" t="s">
        <v>42</v>
      </c>
      <c r="C16" s="87" t="s">
        <v>156</v>
      </c>
      <c r="D16" s="640" t="s">
        <v>178</v>
      </c>
      <c r="E16" s="641">
        <v>35000</v>
      </c>
      <c r="F16" s="641">
        <v>35000</v>
      </c>
      <c r="G16" s="641">
        <v>35000</v>
      </c>
      <c r="H16" s="641">
        <v>35000</v>
      </c>
      <c r="I16" s="641">
        <v>35000</v>
      </c>
      <c r="J16" s="641">
        <v>35000</v>
      </c>
      <c r="K16" s="642">
        <f t="shared" si="0"/>
        <v>210000</v>
      </c>
      <c r="L16" s="874"/>
    </row>
    <row r="17" ht="25" customHeight="1" spans="1:12">
      <c r="A17" s="95">
        <v>11</v>
      </c>
      <c r="B17" s="643" t="s">
        <v>44</v>
      </c>
      <c r="C17" s="86" t="s">
        <v>45</v>
      </c>
      <c r="D17" s="95" t="s">
        <v>199</v>
      </c>
      <c r="E17" s="641">
        <v>35000</v>
      </c>
      <c r="F17" s="641">
        <v>35000</v>
      </c>
      <c r="G17" s="641">
        <v>35000</v>
      </c>
      <c r="H17" s="641">
        <v>35000</v>
      </c>
      <c r="I17" s="641">
        <v>35000</v>
      </c>
      <c r="J17" s="641">
        <v>35000</v>
      </c>
      <c r="K17" s="642">
        <f t="shared" si="0"/>
        <v>210000</v>
      </c>
      <c r="L17" s="874"/>
    </row>
    <row r="18" ht="25" customHeight="1" spans="1:12">
      <c r="A18" s="95">
        <v>12</v>
      </c>
      <c r="B18" s="643" t="s">
        <v>47</v>
      </c>
      <c r="C18" s="86" t="s">
        <v>539</v>
      </c>
      <c r="D18" s="95" t="s">
        <v>52</v>
      </c>
      <c r="E18" s="641">
        <v>35000</v>
      </c>
      <c r="F18" s="641">
        <v>35000</v>
      </c>
      <c r="G18" s="641">
        <v>35000</v>
      </c>
      <c r="H18" s="641">
        <v>35000</v>
      </c>
      <c r="I18" s="641">
        <v>35000</v>
      </c>
      <c r="J18" s="641">
        <v>35000</v>
      </c>
      <c r="K18" s="642">
        <f t="shared" si="0"/>
        <v>210000</v>
      </c>
      <c r="L18" s="874"/>
    </row>
    <row r="19" ht="25" customHeight="1" spans="1:12">
      <c r="A19" s="95">
        <v>13</v>
      </c>
      <c r="B19" s="643" t="s">
        <v>50</v>
      </c>
      <c r="C19" s="83" t="s">
        <v>51</v>
      </c>
      <c r="D19" s="640" t="s">
        <v>460</v>
      </c>
      <c r="E19" s="641">
        <v>35000</v>
      </c>
      <c r="F19" s="641">
        <v>35000</v>
      </c>
      <c r="G19" s="641">
        <v>35000</v>
      </c>
      <c r="H19" s="641">
        <v>35000</v>
      </c>
      <c r="I19" s="641">
        <v>35000</v>
      </c>
      <c r="J19" s="641">
        <v>35000</v>
      </c>
      <c r="K19" s="642">
        <f t="shared" si="0"/>
        <v>210000</v>
      </c>
      <c r="L19" s="874"/>
    </row>
    <row r="20" ht="25" customHeight="1" spans="1:12">
      <c r="A20" s="95">
        <v>14</v>
      </c>
      <c r="B20" s="351" t="s">
        <v>53</v>
      </c>
      <c r="C20" s="86" t="s">
        <v>54</v>
      </c>
      <c r="D20" s="640" t="s">
        <v>540</v>
      </c>
      <c r="E20" s="641">
        <v>35000</v>
      </c>
      <c r="F20" s="641">
        <v>35000</v>
      </c>
      <c r="G20" s="641">
        <v>35000</v>
      </c>
      <c r="H20" s="641">
        <v>35000</v>
      </c>
      <c r="I20" s="641">
        <v>35000</v>
      </c>
      <c r="J20" s="641">
        <v>35000</v>
      </c>
      <c r="K20" s="642">
        <f t="shared" si="0"/>
        <v>210000</v>
      </c>
      <c r="L20" s="874"/>
    </row>
    <row r="21" ht="25" customHeight="1" spans="1:12">
      <c r="A21" s="95">
        <v>15</v>
      </c>
      <c r="B21" s="643" t="s">
        <v>63</v>
      </c>
      <c r="C21" s="83" t="s">
        <v>64</v>
      </c>
      <c r="D21" s="640" t="s">
        <v>162</v>
      </c>
      <c r="E21" s="641">
        <v>35000</v>
      </c>
      <c r="F21" s="641">
        <v>35000</v>
      </c>
      <c r="G21" s="641">
        <v>35000</v>
      </c>
      <c r="H21" s="641">
        <v>35000</v>
      </c>
      <c r="I21" s="641">
        <v>35000</v>
      </c>
      <c r="J21" s="641">
        <v>35000</v>
      </c>
      <c r="K21" s="642">
        <f t="shared" si="0"/>
        <v>210000</v>
      </c>
      <c r="L21" s="874"/>
    </row>
    <row r="22" ht="25" customHeight="1" spans="1:12">
      <c r="A22" s="95">
        <v>16</v>
      </c>
      <c r="B22" s="639" t="s">
        <v>66</v>
      </c>
      <c r="C22" s="87" t="s">
        <v>67</v>
      </c>
      <c r="D22" s="95" t="s">
        <v>137</v>
      </c>
      <c r="E22" s="641">
        <v>35000</v>
      </c>
      <c r="F22" s="641">
        <v>35000</v>
      </c>
      <c r="G22" s="641">
        <v>35000</v>
      </c>
      <c r="H22" s="641">
        <v>35000</v>
      </c>
      <c r="I22" s="641">
        <v>35000</v>
      </c>
      <c r="J22" s="641">
        <v>35000</v>
      </c>
      <c r="K22" s="642">
        <f t="shared" si="0"/>
        <v>210000</v>
      </c>
      <c r="L22" s="874"/>
    </row>
    <row r="23" ht="25" customHeight="1" spans="1:12">
      <c r="A23" s="95">
        <v>17</v>
      </c>
      <c r="B23" s="643" t="s">
        <v>69</v>
      </c>
      <c r="C23" s="87" t="s">
        <v>70</v>
      </c>
      <c r="D23" s="640" t="s">
        <v>137</v>
      </c>
      <c r="E23" s="641">
        <v>35000</v>
      </c>
      <c r="F23" s="641">
        <v>35000</v>
      </c>
      <c r="G23" s="641">
        <v>35000</v>
      </c>
      <c r="H23" s="641">
        <v>35000</v>
      </c>
      <c r="I23" s="641">
        <v>35000</v>
      </c>
      <c r="J23" s="641">
        <v>35000</v>
      </c>
      <c r="K23" s="642">
        <f t="shared" si="0"/>
        <v>210000</v>
      </c>
      <c r="L23" s="874"/>
    </row>
    <row r="24" ht="25" customHeight="1" spans="1:12">
      <c r="A24" s="95">
        <v>18</v>
      </c>
      <c r="B24" s="639" t="s">
        <v>71</v>
      </c>
      <c r="C24" s="87" t="s">
        <v>72</v>
      </c>
      <c r="D24" s="95" t="s">
        <v>73</v>
      </c>
      <c r="E24" s="641">
        <v>35000</v>
      </c>
      <c r="F24" s="641">
        <v>35000</v>
      </c>
      <c r="G24" s="641">
        <v>35000</v>
      </c>
      <c r="H24" s="641">
        <v>35000</v>
      </c>
      <c r="I24" s="641">
        <v>35000</v>
      </c>
      <c r="J24" s="641">
        <v>35000</v>
      </c>
      <c r="K24" s="642">
        <f t="shared" si="0"/>
        <v>210000</v>
      </c>
      <c r="L24" s="874"/>
    </row>
    <row r="25" ht="25" customHeight="1" spans="1:12">
      <c r="A25" s="95">
        <v>19</v>
      </c>
      <c r="B25" s="86" t="s">
        <v>77</v>
      </c>
      <c r="C25" s="86" t="s">
        <v>78</v>
      </c>
      <c r="D25" s="95" t="s">
        <v>84</v>
      </c>
      <c r="E25" s="641">
        <v>35000</v>
      </c>
      <c r="F25" s="641">
        <v>35000</v>
      </c>
      <c r="G25" s="641">
        <v>35000</v>
      </c>
      <c r="H25" s="641">
        <v>35000</v>
      </c>
      <c r="I25" s="641">
        <v>35000</v>
      </c>
      <c r="J25" s="641">
        <v>35000</v>
      </c>
      <c r="K25" s="642">
        <f t="shared" si="0"/>
        <v>210000</v>
      </c>
      <c r="L25" s="874"/>
    </row>
    <row r="26" ht="25" customHeight="1" spans="1:12">
      <c r="A26" s="95">
        <v>20</v>
      </c>
      <c r="B26" s="351" t="s">
        <v>80</v>
      </c>
      <c r="C26" s="83" t="s">
        <v>78</v>
      </c>
      <c r="D26" s="640" t="s">
        <v>84</v>
      </c>
      <c r="E26" s="641">
        <v>35000</v>
      </c>
      <c r="F26" s="641">
        <v>35000</v>
      </c>
      <c r="G26" s="641">
        <v>35000</v>
      </c>
      <c r="H26" s="641">
        <v>35000</v>
      </c>
      <c r="I26" s="641">
        <v>35000</v>
      </c>
      <c r="J26" s="641">
        <v>35000</v>
      </c>
      <c r="K26" s="642">
        <f t="shared" si="0"/>
        <v>210000</v>
      </c>
      <c r="L26" s="874"/>
    </row>
    <row r="27" ht="25" customHeight="1" spans="1:12">
      <c r="A27" s="95">
        <v>21</v>
      </c>
      <c r="B27" s="643" t="s">
        <v>81</v>
      </c>
      <c r="C27" s="87" t="s">
        <v>67</v>
      </c>
      <c r="D27" s="95" t="s">
        <v>84</v>
      </c>
      <c r="E27" s="641">
        <v>35000</v>
      </c>
      <c r="F27" s="641">
        <v>35000</v>
      </c>
      <c r="G27" s="641">
        <v>35000</v>
      </c>
      <c r="H27" s="641">
        <v>35000</v>
      </c>
      <c r="I27" s="641">
        <v>35000</v>
      </c>
      <c r="J27" s="641">
        <v>35000</v>
      </c>
      <c r="K27" s="642">
        <f t="shared" si="0"/>
        <v>210000</v>
      </c>
      <c r="L27" s="874"/>
    </row>
    <row r="28" ht="25" customHeight="1" spans="1:12">
      <c r="A28" s="95">
        <v>22</v>
      </c>
      <c r="B28" s="351" t="s">
        <v>82</v>
      </c>
      <c r="C28" s="83" t="s">
        <v>83</v>
      </c>
      <c r="D28" s="640" t="s">
        <v>87</v>
      </c>
      <c r="E28" s="641">
        <v>35000</v>
      </c>
      <c r="F28" s="641">
        <v>35000</v>
      </c>
      <c r="G28" s="641">
        <v>35000</v>
      </c>
      <c r="H28" s="641">
        <v>35000</v>
      </c>
      <c r="I28" s="641">
        <v>35000</v>
      </c>
      <c r="J28" s="641">
        <v>35000</v>
      </c>
      <c r="K28" s="642">
        <f t="shared" si="0"/>
        <v>210000</v>
      </c>
      <c r="L28" s="874"/>
    </row>
    <row r="29" ht="25" customHeight="1" spans="1:12">
      <c r="A29" s="95">
        <v>23</v>
      </c>
      <c r="B29" s="351" t="s">
        <v>85</v>
      </c>
      <c r="C29" s="86" t="s">
        <v>86</v>
      </c>
      <c r="D29" s="95" t="s">
        <v>96</v>
      </c>
      <c r="E29" s="641">
        <v>35000</v>
      </c>
      <c r="F29" s="641">
        <v>35000</v>
      </c>
      <c r="G29" s="641">
        <v>35000</v>
      </c>
      <c r="H29" s="641">
        <v>35000</v>
      </c>
      <c r="I29" s="641">
        <v>35000</v>
      </c>
      <c r="J29" s="641">
        <v>35000</v>
      </c>
      <c r="K29" s="642">
        <f t="shared" si="0"/>
        <v>210000</v>
      </c>
      <c r="L29" s="874"/>
    </row>
    <row r="30" ht="25" customHeight="1" spans="1:12">
      <c r="A30" s="95">
        <v>24</v>
      </c>
      <c r="B30" s="351" t="s">
        <v>88</v>
      </c>
      <c r="C30" s="86" t="s">
        <v>86</v>
      </c>
      <c r="D30" s="95" t="s">
        <v>96</v>
      </c>
      <c r="E30" s="641">
        <v>35000</v>
      </c>
      <c r="F30" s="641">
        <v>35000</v>
      </c>
      <c r="G30" s="641">
        <v>35000</v>
      </c>
      <c r="H30" s="641">
        <v>35000</v>
      </c>
      <c r="I30" s="641">
        <v>35000</v>
      </c>
      <c r="J30" s="641">
        <v>35000</v>
      </c>
      <c r="K30" s="642">
        <f t="shared" si="0"/>
        <v>210000</v>
      </c>
      <c r="L30" s="874"/>
    </row>
    <row r="31" ht="25" customHeight="1" spans="1:12">
      <c r="A31" s="95">
        <v>25</v>
      </c>
      <c r="B31" s="351" t="s">
        <v>89</v>
      </c>
      <c r="C31" s="87" t="s">
        <v>90</v>
      </c>
      <c r="D31" s="640" t="s">
        <v>84</v>
      </c>
      <c r="E31" s="641">
        <v>35000</v>
      </c>
      <c r="F31" s="641">
        <v>35000</v>
      </c>
      <c r="G31" s="641">
        <v>35000</v>
      </c>
      <c r="H31" s="641">
        <v>35000</v>
      </c>
      <c r="I31" s="641">
        <v>35000</v>
      </c>
      <c r="J31" s="641">
        <v>35000</v>
      </c>
      <c r="K31" s="642">
        <f t="shared" si="0"/>
        <v>210000</v>
      </c>
      <c r="L31" s="874"/>
    </row>
    <row r="32" ht="25" customHeight="1" spans="1:12">
      <c r="A32" s="95">
        <v>26</v>
      </c>
      <c r="B32" s="351" t="s">
        <v>92</v>
      </c>
      <c r="C32" s="86" t="s">
        <v>93</v>
      </c>
      <c r="D32" s="95" t="s">
        <v>102</v>
      </c>
      <c r="E32" s="641">
        <v>35000</v>
      </c>
      <c r="F32" s="641">
        <v>35000</v>
      </c>
      <c r="G32" s="641">
        <v>35000</v>
      </c>
      <c r="H32" s="641">
        <v>35000</v>
      </c>
      <c r="I32" s="641">
        <v>35000</v>
      </c>
      <c r="J32" s="641">
        <v>35000</v>
      </c>
      <c r="K32" s="642">
        <f t="shared" si="0"/>
        <v>210000</v>
      </c>
      <c r="L32" s="874"/>
    </row>
    <row r="33" ht="25" customHeight="1" spans="1:12">
      <c r="A33" s="95">
        <v>27</v>
      </c>
      <c r="B33" s="351" t="s">
        <v>100</v>
      </c>
      <c r="C33" s="83" t="s">
        <v>101</v>
      </c>
      <c r="D33" s="640" t="s">
        <v>105</v>
      </c>
      <c r="E33" s="641">
        <v>35000</v>
      </c>
      <c r="F33" s="641">
        <v>35000</v>
      </c>
      <c r="G33" s="641">
        <v>35000</v>
      </c>
      <c r="H33" s="641">
        <v>35000</v>
      </c>
      <c r="I33" s="641">
        <v>35000</v>
      </c>
      <c r="J33" s="641">
        <v>35000</v>
      </c>
      <c r="K33" s="642">
        <f t="shared" si="0"/>
        <v>210000</v>
      </c>
      <c r="L33" s="874"/>
    </row>
    <row r="34" ht="25" customHeight="1" spans="1:12">
      <c r="A34" s="95"/>
      <c r="B34" s="864" t="s">
        <v>111</v>
      </c>
      <c r="C34" s="88">
        <v>27</v>
      </c>
      <c r="D34" s="640"/>
      <c r="E34" s="865">
        <f t="shared" ref="E34:K34" si="1">SUM(E7:E33)</f>
        <v>945000</v>
      </c>
      <c r="F34" s="866">
        <f t="shared" si="1"/>
        <v>945000</v>
      </c>
      <c r="G34" s="866">
        <f t="shared" si="1"/>
        <v>945000</v>
      </c>
      <c r="H34" s="866">
        <f t="shared" si="1"/>
        <v>945000</v>
      </c>
      <c r="I34" s="866">
        <f t="shared" si="1"/>
        <v>945000</v>
      </c>
      <c r="J34" s="866">
        <f t="shared" si="1"/>
        <v>945000</v>
      </c>
      <c r="K34" s="866">
        <f t="shared" si="1"/>
        <v>5670000</v>
      </c>
      <c r="L34" s="874"/>
    </row>
    <row r="35" ht="25" customHeight="1" spans="1:12">
      <c r="A35" s="95"/>
      <c r="B35" s="867"/>
      <c r="C35" s="86"/>
      <c r="D35" s="640"/>
      <c r="E35" s="640"/>
      <c r="F35" s="868"/>
      <c r="G35" s="868"/>
      <c r="H35" s="868"/>
      <c r="I35" s="868"/>
      <c r="J35" s="868"/>
      <c r="K35" s="642"/>
      <c r="L35" s="874"/>
    </row>
    <row r="36" ht="25" customHeight="1" spans="1:12">
      <c r="A36" s="95"/>
      <c r="B36" s="864" t="s">
        <v>112</v>
      </c>
      <c r="C36" s="86"/>
      <c r="D36" s="640"/>
      <c r="E36" s="640"/>
      <c r="F36" s="641"/>
      <c r="G36" s="641"/>
      <c r="H36" s="641"/>
      <c r="I36" s="641"/>
      <c r="J36" s="641"/>
      <c r="K36" s="642"/>
      <c r="L36" s="874"/>
    </row>
    <row r="37" ht="25" customHeight="1" spans="1:12">
      <c r="A37" s="95">
        <v>1</v>
      </c>
      <c r="B37" s="351" t="s">
        <v>113</v>
      </c>
      <c r="C37" s="86" t="s">
        <v>114</v>
      </c>
      <c r="D37" s="95" t="s">
        <v>115</v>
      </c>
      <c r="E37" s="641">
        <v>35000</v>
      </c>
      <c r="F37" s="641">
        <v>35000</v>
      </c>
      <c r="G37" s="641">
        <v>35000</v>
      </c>
      <c r="H37" s="641">
        <v>35000</v>
      </c>
      <c r="I37" s="641">
        <v>35000</v>
      </c>
      <c r="J37" s="641">
        <v>35000</v>
      </c>
      <c r="K37" s="642">
        <f t="shared" ref="K37:K39" si="2">SUM(E37:J37)</f>
        <v>210000</v>
      </c>
      <c r="L37" s="874"/>
    </row>
    <row r="38" ht="25" customHeight="1" spans="1:12">
      <c r="A38" s="95">
        <v>2</v>
      </c>
      <c r="B38" s="351" t="s">
        <v>116</v>
      </c>
      <c r="C38" s="86" t="s">
        <v>117</v>
      </c>
      <c r="D38" s="95" t="s">
        <v>73</v>
      </c>
      <c r="E38" s="641">
        <v>35000</v>
      </c>
      <c r="F38" s="641">
        <v>35000</v>
      </c>
      <c r="G38" s="641">
        <v>35000</v>
      </c>
      <c r="H38" s="641">
        <v>35000</v>
      </c>
      <c r="I38" s="641">
        <v>35000</v>
      </c>
      <c r="J38" s="641">
        <v>35000</v>
      </c>
      <c r="K38" s="642">
        <f t="shared" si="2"/>
        <v>210000</v>
      </c>
      <c r="L38" s="874"/>
    </row>
    <row r="39" ht="25" customHeight="1" spans="1:12">
      <c r="A39" s="95">
        <v>3</v>
      </c>
      <c r="B39" s="643" t="s">
        <v>118</v>
      </c>
      <c r="C39" s="86" t="s">
        <v>117</v>
      </c>
      <c r="D39" s="640" t="s">
        <v>76</v>
      </c>
      <c r="E39" s="641">
        <v>35000</v>
      </c>
      <c r="F39" s="641">
        <v>35000</v>
      </c>
      <c r="G39" s="641">
        <v>35000</v>
      </c>
      <c r="H39" s="641">
        <v>35000</v>
      </c>
      <c r="I39" s="641">
        <v>35000</v>
      </c>
      <c r="J39" s="641">
        <v>35000</v>
      </c>
      <c r="K39" s="642">
        <f t="shared" si="2"/>
        <v>210000</v>
      </c>
      <c r="L39" s="874"/>
    </row>
    <row r="40" ht="25" customHeight="1" spans="1:12">
      <c r="A40" s="95"/>
      <c r="B40" s="639"/>
      <c r="C40" s="88">
        <v>3</v>
      </c>
      <c r="D40" s="95"/>
      <c r="E40" s="866">
        <f t="shared" ref="E40:K40" si="3">SUM(E37:E39)</f>
        <v>105000</v>
      </c>
      <c r="F40" s="866">
        <f t="shared" si="3"/>
        <v>105000</v>
      </c>
      <c r="G40" s="866">
        <f t="shared" si="3"/>
        <v>105000</v>
      </c>
      <c r="H40" s="866">
        <f t="shared" si="3"/>
        <v>105000</v>
      </c>
      <c r="I40" s="866">
        <f t="shared" si="3"/>
        <v>105000</v>
      </c>
      <c r="J40" s="866">
        <f t="shared" si="3"/>
        <v>105000</v>
      </c>
      <c r="K40" s="866">
        <f t="shared" si="3"/>
        <v>630000</v>
      </c>
      <c r="L40" s="874"/>
    </row>
    <row r="41" ht="25" customHeight="1" spans="1:12">
      <c r="A41" s="95"/>
      <c r="B41" s="639"/>
      <c r="C41" s="86"/>
      <c r="D41" s="95"/>
      <c r="E41" s="95"/>
      <c r="F41" s="868"/>
      <c r="G41" s="868"/>
      <c r="H41" s="868"/>
      <c r="I41" s="868"/>
      <c r="J41" s="868"/>
      <c r="K41" s="642"/>
      <c r="L41" s="874"/>
    </row>
    <row r="42" ht="25" customHeight="1" spans="1:12">
      <c r="A42" s="95"/>
      <c r="B42" s="869" t="s">
        <v>125</v>
      </c>
      <c r="C42" s="90"/>
      <c r="D42" s="646"/>
      <c r="E42" s="646"/>
      <c r="F42" s="868"/>
      <c r="G42" s="868"/>
      <c r="H42" s="868"/>
      <c r="I42" s="868"/>
      <c r="J42" s="868"/>
      <c r="K42" s="642"/>
      <c r="L42" s="874"/>
    </row>
    <row r="43" ht="25" customHeight="1" spans="1:12">
      <c r="A43" s="95">
        <v>1</v>
      </c>
      <c r="B43" s="870" t="s">
        <v>541</v>
      </c>
      <c r="C43" s="86" t="s">
        <v>542</v>
      </c>
      <c r="D43" s="95" t="s">
        <v>115</v>
      </c>
      <c r="E43" s="641">
        <v>35000</v>
      </c>
      <c r="F43" s="641">
        <v>35000</v>
      </c>
      <c r="G43" s="641">
        <v>35000</v>
      </c>
      <c r="H43" s="641">
        <v>35000</v>
      </c>
      <c r="I43" s="641">
        <v>35000</v>
      </c>
      <c r="J43" s="641">
        <v>35000</v>
      </c>
      <c r="K43" s="642">
        <f t="shared" ref="K43:K45" si="4">SUM(E43:J43)</f>
        <v>210000</v>
      </c>
      <c r="L43" s="874"/>
    </row>
    <row r="44" ht="25" customHeight="1" spans="1:12">
      <c r="A44" s="95">
        <v>2</v>
      </c>
      <c r="B44" s="870" t="s">
        <v>543</v>
      </c>
      <c r="C44" s="86" t="s">
        <v>43</v>
      </c>
      <c r="D44" s="95" t="s">
        <v>131</v>
      </c>
      <c r="E44" s="641">
        <v>35000</v>
      </c>
      <c r="F44" s="641">
        <v>35000</v>
      </c>
      <c r="G44" s="641">
        <v>35000</v>
      </c>
      <c r="H44" s="641">
        <v>35000</v>
      </c>
      <c r="I44" s="641">
        <v>35000</v>
      </c>
      <c r="J44" s="641">
        <v>35000</v>
      </c>
      <c r="K44" s="642">
        <f t="shared" si="4"/>
        <v>210000</v>
      </c>
      <c r="L44" s="874"/>
    </row>
    <row r="45" ht="25" customHeight="1" spans="1:12">
      <c r="A45" s="95">
        <v>3</v>
      </c>
      <c r="B45" s="643" t="s">
        <v>126</v>
      </c>
      <c r="C45" s="86" t="s">
        <v>127</v>
      </c>
      <c r="D45" s="95" t="s">
        <v>35</v>
      </c>
      <c r="E45" s="641">
        <v>35000</v>
      </c>
      <c r="F45" s="641">
        <v>35000</v>
      </c>
      <c r="G45" s="641">
        <v>35000</v>
      </c>
      <c r="H45" s="641">
        <v>35000</v>
      </c>
      <c r="I45" s="641">
        <v>35000</v>
      </c>
      <c r="J45" s="641">
        <v>35000</v>
      </c>
      <c r="K45" s="642">
        <f t="shared" si="4"/>
        <v>210000</v>
      </c>
      <c r="L45" s="874"/>
    </row>
    <row r="46" ht="25" customHeight="1" spans="1:12">
      <c r="A46" s="95">
        <v>4</v>
      </c>
      <c r="B46" s="643" t="s">
        <v>129</v>
      </c>
      <c r="C46" s="86" t="s">
        <v>130</v>
      </c>
      <c r="D46" s="95" t="s">
        <v>131</v>
      </c>
      <c r="E46" s="641">
        <v>35000</v>
      </c>
      <c r="F46" s="641">
        <v>35000</v>
      </c>
      <c r="G46" s="641">
        <v>35000</v>
      </c>
      <c r="H46" s="641">
        <v>35000</v>
      </c>
      <c r="I46" s="641">
        <v>35000</v>
      </c>
      <c r="J46" s="641">
        <v>35000</v>
      </c>
      <c r="K46" s="642">
        <f t="shared" ref="K46:K53" si="5">SUM(E46:J46)</f>
        <v>210000</v>
      </c>
      <c r="L46" s="874"/>
    </row>
    <row r="47" ht="25" customHeight="1" spans="1:12">
      <c r="A47" s="95">
        <v>5</v>
      </c>
      <c r="B47" s="643" t="s">
        <v>132</v>
      </c>
      <c r="C47" s="86" t="s">
        <v>130</v>
      </c>
      <c r="D47" s="95" t="s">
        <v>131</v>
      </c>
      <c r="E47" s="641">
        <v>35000</v>
      </c>
      <c r="F47" s="641">
        <v>35000</v>
      </c>
      <c r="G47" s="641">
        <v>35000</v>
      </c>
      <c r="H47" s="641">
        <v>35000</v>
      </c>
      <c r="I47" s="641">
        <v>35000</v>
      </c>
      <c r="J47" s="641">
        <v>35000</v>
      </c>
      <c r="K47" s="642">
        <f t="shared" si="5"/>
        <v>210000</v>
      </c>
      <c r="L47" s="874"/>
    </row>
    <row r="48" ht="25" customHeight="1" spans="1:12">
      <c r="A48" s="95">
        <v>6</v>
      </c>
      <c r="B48" s="643" t="s">
        <v>133</v>
      </c>
      <c r="C48" s="86" t="s">
        <v>130</v>
      </c>
      <c r="D48" s="95" t="s">
        <v>49</v>
      </c>
      <c r="E48" s="641">
        <v>35000</v>
      </c>
      <c r="F48" s="641">
        <v>35000</v>
      </c>
      <c r="G48" s="641">
        <v>35000</v>
      </c>
      <c r="H48" s="641">
        <v>35000</v>
      </c>
      <c r="I48" s="641">
        <v>35000</v>
      </c>
      <c r="J48" s="641">
        <v>35000</v>
      </c>
      <c r="K48" s="642">
        <f t="shared" si="5"/>
        <v>210000</v>
      </c>
      <c r="L48" s="874"/>
    </row>
    <row r="49" ht="25" customHeight="1" spans="1:12">
      <c r="A49" s="95">
        <v>7</v>
      </c>
      <c r="B49" s="639" t="s">
        <v>134</v>
      </c>
      <c r="C49" s="86" t="s">
        <v>156</v>
      </c>
      <c r="D49" s="871" t="s">
        <v>178</v>
      </c>
      <c r="E49" s="641">
        <v>35000</v>
      </c>
      <c r="F49" s="641">
        <v>35000</v>
      </c>
      <c r="G49" s="641">
        <v>35000</v>
      </c>
      <c r="H49" s="641">
        <v>35000</v>
      </c>
      <c r="I49" s="641">
        <v>35000</v>
      </c>
      <c r="J49" s="641">
        <v>35000</v>
      </c>
      <c r="K49" s="642">
        <f t="shared" si="5"/>
        <v>210000</v>
      </c>
      <c r="L49" s="874"/>
    </row>
    <row r="50" ht="25" customHeight="1" spans="1:12">
      <c r="A50" s="95">
        <v>8</v>
      </c>
      <c r="B50" s="643" t="s">
        <v>138</v>
      </c>
      <c r="C50" s="86" t="s">
        <v>139</v>
      </c>
      <c r="D50" s="95" t="s">
        <v>76</v>
      </c>
      <c r="E50" s="641">
        <v>35000</v>
      </c>
      <c r="F50" s="641">
        <v>35000</v>
      </c>
      <c r="G50" s="641">
        <v>35000</v>
      </c>
      <c r="H50" s="641">
        <v>35000</v>
      </c>
      <c r="I50" s="641">
        <v>35000</v>
      </c>
      <c r="J50" s="641">
        <v>35000</v>
      </c>
      <c r="K50" s="642">
        <f t="shared" si="5"/>
        <v>210000</v>
      </c>
      <c r="L50" s="874"/>
    </row>
    <row r="51" ht="25" customHeight="1" spans="1:12">
      <c r="A51" s="95">
        <v>9</v>
      </c>
      <c r="B51" s="643" t="s">
        <v>142</v>
      </c>
      <c r="C51" s="86" t="s">
        <v>139</v>
      </c>
      <c r="D51" s="95" t="s">
        <v>87</v>
      </c>
      <c r="E51" s="641">
        <v>35000</v>
      </c>
      <c r="F51" s="641">
        <v>35000</v>
      </c>
      <c r="G51" s="641">
        <v>35000</v>
      </c>
      <c r="H51" s="641">
        <v>35000</v>
      </c>
      <c r="I51" s="641">
        <v>35000</v>
      </c>
      <c r="J51" s="641">
        <v>35000</v>
      </c>
      <c r="K51" s="642">
        <f t="shared" si="5"/>
        <v>210000</v>
      </c>
      <c r="L51" s="874"/>
    </row>
    <row r="52" ht="25" customHeight="1" spans="1:12">
      <c r="A52" s="95">
        <v>10</v>
      </c>
      <c r="B52" s="643" t="s">
        <v>544</v>
      </c>
      <c r="C52" s="86" t="s">
        <v>139</v>
      </c>
      <c r="D52" s="95" t="s">
        <v>87</v>
      </c>
      <c r="E52" s="641">
        <v>35000</v>
      </c>
      <c r="F52" s="641">
        <v>35000</v>
      </c>
      <c r="G52" s="641">
        <v>35000</v>
      </c>
      <c r="H52" s="641">
        <v>35000</v>
      </c>
      <c r="I52" s="641">
        <v>35000</v>
      </c>
      <c r="J52" s="641">
        <v>35000</v>
      </c>
      <c r="K52" s="642">
        <f t="shared" si="5"/>
        <v>210000</v>
      </c>
      <c r="L52" s="874"/>
    </row>
    <row r="53" ht="25" customHeight="1" spans="1:12">
      <c r="A53" s="95">
        <v>11</v>
      </c>
      <c r="B53" s="643" t="s">
        <v>143</v>
      </c>
      <c r="C53" s="86" t="s">
        <v>139</v>
      </c>
      <c r="D53" s="95" t="s">
        <v>87</v>
      </c>
      <c r="E53" s="641">
        <v>35000</v>
      </c>
      <c r="F53" s="641">
        <v>35000</v>
      </c>
      <c r="G53" s="641">
        <v>35000</v>
      </c>
      <c r="H53" s="641">
        <v>35000</v>
      </c>
      <c r="I53" s="641">
        <v>35000</v>
      </c>
      <c r="J53" s="641">
        <v>35000</v>
      </c>
      <c r="K53" s="642">
        <f t="shared" si="5"/>
        <v>210000</v>
      </c>
      <c r="L53" s="874"/>
    </row>
    <row r="54" ht="25" customHeight="1" spans="1:12">
      <c r="A54" s="95"/>
      <c r="B54" s="864" t="s">
        <v>111</v>
      </c>
      <c r="C54" s="88">
        <v>11</v>
      </c>
      <c r="D54" s="88"/>
      <c r="E54" s="872">
        <f t="shared" ref="E54:K54" si="6">SUM(E43:E53)</f>
        <v>385000</v>
      </c>
      <c r="F54" s="872">
        <f t="shared" si="6"/>
        <v>385000</v>
      </c>
      <c r="G54" s="872">
        <f t="shared" si="6"/>
        <v>385000</v>
      </c>
      <c r="H54" s="872">
        <f t="shared" si="6"/>
        <v>385000</v>
      </c>
      <c r="I54" s="872">
        <f t="shared" si="6"/>
        <v>385000</v>
      </c>
      <c r="J54" s="872">
        <f t="shared" si="6"/>
        <v>385000</v>
      </c>
      <c r="K54" s="866">
        <f t="shared" si="6"/>
        <v>2310000</v>
      </c>
      <c r="L54" s="874"/>
    </row>
    <row r="55" ht="25" customHeight="1" spans="1:12">
      <c r="A55" s="95"/>
      <c r="B55" s="867"/>
      <c r="C55" s="88"/>
      <c r="D55" s="88"/>
      <c r="E55" s="88"/>
      <c r="F55" s="647"/>
      <c r="G55" s="647"/>
      <c r="H55" s="647"/>
      <c r="I55" s="647"/>
      <c r="J55" s="647"/>
      <c r="K55" s="642"/>
      <c r="L55" s="874"/>
    </row>
    <row r="56" ht="25" customHeight="1" spans="1:12">
      <c r="A56" s="95"/>
      <c r="B56" s="864" t="s">
        <v>145</v>
      </c>
      <c r="C56" s="88"/>
      <c r="D56" s="88"/>
      <c r="E56" s="88"/>
      <c r="F56" s="647"/>
      <c r="G56" s="647"/>
      <c r="H56" s="647"/>
      <c r="I56" s="647"/>
      <c r="J56" s="647"/>
      <c r="K56" s="642"/>
      <c r="L56" s="874"/>
    </row>
    <row r="57" ht="25" customHeight="1" spans="1:12">
      <c r="A57" s="95">
        <v>1</v>
      </c>
      <c r="B57" s="643" t="s">
        <v>545</v>
      </c>
      <c r="C57" s="83" t="s">
        <v>147</v>
      </c>
      <c r="D57" s="640" t="s">
        <v>115</v>
      </c>
      <c r="E57" s="641">
        <v>35000</v>
      </c>
      <c r="F57" s="641">
        <v>35000</v>
      </c>
      <c r="G57" s="641">
        <v>35000</v>
      </c>
      <c r="H57" s="641">
        <v>35000</v>
      </c>
      <c r="I57" s="641">
        <v>35000</v>
      </c>
      <c r="J57" s="641">
        <v>35000</v>
      </c>
      <c r="K57" s="642">
        <f t="shared" ref="K57:K71" si="7">SUM(E57:J57)</f>
        <v>210000</v>
      </c>
      <c r="L57" s="874"/>
    </row>
    <row r="58" ht="25" customHeight="1" spans="1:12">
      <c r="A58" s="95">
        <v>2</v>
      </c>
      <c r="B58" s="643" t="s">
        <v>148</v>
      </c>
      <c r="C58" s="83" t="s">
        <v>149</v>
      </c>
      <c r="D58" s="640" t="s">
        <v>150</v>
      </c>
      <c r="E58" s="641">
        <v>35000</v>
      </c>
      <c r="F58" s="641">
        <v>35000</v>
      </c>
      <c r="G58" s="641">
        <v>35000</v>
      </c>
      <c r="H58" s="641">
        <v>35000</v>
      </c>
      <c r="I58" s="641">
        <v>35000</v>
      </c>
      <c r="J58" s="641">
        <v>35000</v>
      </c>
      <c r="K58" s="642">
        <f t="shared" si="7"/>
        <v>210000</v>
      </c>
      <c r="L58" s="874"/>
    </row>
    <row r="59" ht="25" customHeight="1" spans="1:12">
      <c r="A59" s="95"/>
      <c r="B59" s="864" t="s">
        <v>111</v>
      </c>
      <c r="C59" s="88">
        <v>2</v>
      </c>
      <c r="D59" s="88"/>
      <c r="E59" s="872">
        <f t="shared" ref="E59:K59" si="8">SUM(E57:E58)</f>
        <v>70000</v>
      </c>
      <c r="F59" s="872">
        <f t="shared" si="8"/>
        <v>70000</v>
      </c>
      <c r="G59" s="872">
        <f t="shared" si="8"/>
        <v>70000</v>
      </c>
      <c r="H59" s="872">
        <f t="shared" si="8"/>
        <v>70000</v>
      </c>
      <c r="I59" s="872">
        <f t="shared" si="8"/>
        <v>70000</v>
      </c>
      <c r="J59" s="872">
        <f t="shared" si="8"/>
        <v>70000</v>
      </c>
      <c r="K59" s="876">
        <f t="shared" si="8"/>
        <v>420000</v>
      </c>
      <c r="L59" s="874"/>
    </row>
    <row r="60" ht="25" customHeight="1" spans="1:12">
      <c r="A60" s="95"/>
      <c r="B60" s="864"/>
      <c r="C60" s="88"/>
      <c r="D60" s="88"/>
      <c r="E60" s="88"/>
      <c r="F60" s="647"/>
      <c r="G60" s="647"/>
      <c r="H60" s="647"/>
      <c r="I60" s="647"/>
      <c r="J60" s="647"/>
      <c r="K60" s="642"/>
      <c r="L60" s="874"/>
    </row>
    <row r="61" ht="25" customHeight="1" spans="1:12">
      <c r="A61" s="95"/>
      <c r="B61" s="864" t="s">
        <v>151</v>
      </c>
      <c r="C61" s="88"/>
      <c r="D61" s="88"/>
      <c r="E61" s="88"/>
      <c r="F61" s="647"/>
      <c r="G61" s="647"/>
      <c r="H61" s="647"/>
      <c r="I61" s="647"/>
      <c r="J61" s="647"/>
      <c r="K61" s="642"/>
      <c r="L61" s="874"/>
    </row>
    <row r="62" ht="25" customHeight="1" spans="1:12">
      <c r="A62" s="95">
        <v>1</v>
      </c>
      <c r="B62" s="870" t="s">
        <v>546</v>
      </c>
      <c r="C62" s="87" t="s">
        <v>547</v>
      </c>
      <c r="D62" s="95" t="s">
        <v>115</v>
      </c>
      <c r="E62" s="641">
        <v>35000</v>
      </c>
      <c r="F62" s="641">
        <v>35000</v>
      </c>
      <c r="G62" s="641">
        <v>35000</v>
      </c>
      <c r="H62" s="641">
        <v>35000</v>
      </c>
      <c r="I62" s="641">
        <v>35000</v>
      </c>
      <c r="J62" s="641">
        <v>35000</v>
      </c>
      <c r="K62" s="642">
        <f t="shared" si="7"/>
        <v>210000</v>
      </c>
      <c r="L62" s="874"/>
    </row>
    <row r="63" ht="25" customHeight="1" spans="1:12">
      <c r="A63" s="95">
        <v>2</v>
      </c>
      <c r="B63" s="873" t="s">
        <v>548</v>
      </c>
      <c r="C63" s="87" t="s">
        <v>549</v>
      </c>
      <c r="D63" s="640" t="s">
        <v>38</v>
      </c>
      <c r="E63" s="641">
        <v>35000</v>
      </c>
      <c r="F63" s="641">
        <v>35000</v>
      </c>
      <c r="G63" s="641">
        <v>35000</v>
      </c>
      <c r="H63" s="641">
        <v>35000</v>
      </c>
      <c r="I63" s="641">
        <v>35000</v>
      </c>
      <c r="J63" s="641">
        <v>35000</v>
      </c>
      <c r="K63" s="642">
        <f t="shared" si="7"/>
        <v>210000</v>
      </c>
      <c r="L63" s="874"/>
    </row>
    <row r="64" ht="25" customHeight="1" spans="1:12">
      <c r="A64" s="95">
        <v>3</v>
      </c>
      <c r="B64" s="643" t="s">
        <v>155</v>
      </c>
      <c r="C64" s="86" t="s">
        <v>156</v>
      </c>
      <c r="D64" s="95" t="s">
        <v>199</v>
      </c>
      <c r="E64" s="641">
        <v>35000</v>
      </c>
      <c r="F64" s="641">
        <v>35000</v>
      </c>
      <c r="G64" s="641">
        <v>35000</v>
      </c>
      <c r="H64" s="641">
        <v>35000</v>
      </c>
      <c r="I64" s="641">
        <v>35000</v>
      </c>
      <c r="J64" s="641">
        <v>35000</v>
      </c>
      <c r="K64" s="642">
        <f t="shared" si="7"/>
        <v>210000</v>
      </c>
      <c r="L64" s="874"/>
    </row>
    <row r="65" ht="25" customHeight="1" spans="1:12">
      <c r="A65" s="95">
        <v>4</v>
      </c>
      <c r="B65" s="873" t="s">
        <v>550</v>
      </c>
      <c r="C65" s="87" t="s">
        <v>158</v>
      </c>
      <c r="D65" s="640" t="s">
        <v>460</v>
      </c>
      <c r="E65" s="641">
        <v>35000</v>
      </c>
      <c r="F65" s="641">
        <v>35000</v>
      </c>
      <c r="G65" s="641">
        <v>35000</v>
      </c>
      <c r="H65" s="641">
        <v>35000</v>
      </c>
      <c r="I65" s="641">
        <v>35000</v>
      </c>
      <c r="J65" s="641">
        <v>35000</v>
      </c>
      <c r="K65" s="642">
        <f t="shared" si="7"/>
        <v>210000</v>
      </c>
      <c r="L65" s="874"/>
    </row>
    <row r="66" ht="25" customHeight="1" spans="1:12">
      <c r="A66" s="95">
        <v>5</v>
      </c>
      <c r="B66" s="877" t="s">
        <v>551</v>
      </c>
      <c r="C66" s="87" t="s">
        <v>156</v>
      </c>
      <c r="D66" s="640" t="s">
        <v>41</v>
      </c>
      <c r="E66" s="641">
        <v>35000</v>
      </c>
      <c r="F66" s="641">
        <v>35000</v>
      </c>
      <c r="G66" s="641">
        <v>35000</v>
      </c>
      <c r="H66" s="641">
        <v>35000</v>
      </c>
      <c r="I66" s="641">
        <v>35000</v>
      </c>
      <c r="J66" s="641">
        <v>35000</v>
      </c>
      <c r="K66" s="642">
        <f t="shared" si="7"/>
        <v>210000</v>
      </c>
      <c r="L66" s="874"/>
    </row>
    <row r="67" ht="25" customHeight="1" spans="1:12">
      <c r="A67" s="95">
        <v>6</v>
      </c>
      <c r="B67" s="643" t="s">
        <v>161</v>
      </c>
      <c r="C67" s="86" t="s">
        <v>139</v>
      </c>
      <c r="D67" s="95" t="s">
        <v>68</v>
      </c>
      <c r="E67" s="641">
        <v>35000</v>
      </c>
      <c r="F67" s="641">
        <v>35000</v>
      </c>
      <c r="G67" s="641">
        <v>35000</v>
      </c>
      <c r="H67" s="641">
        <v>35000</v>
      </c>
      <c r="I67" s="641">
        <v>35000</v>
      </c>
      <c r="J67" s="641">
        <v>35000</v>
      </c>
      <c r="K67" s="642">
        <f t="shared" si="7"/>
        <v>210000</v>
      </c>
      <c r="L67" s="874"/>
    </row>
    <row r="68" ht="25" customHeight="1" spans="1:12">
      <c r="A68" s="95">
        <v>7</v>
      </c>
      <c r="B68" s="643" t="s">
        <v>163</v>
      </c>
      <c r="C68" s="87" t="s">
        <v>70</v>
      </c>
      <c r="D68" s="95" t="s">
        <v>68</v>
      </c>
      <c r="E68" s="641">
        <v>35000</v>
      </c>
      <c r="F68" s="641">
        <v>35000</v>
      </c>
      <c r="G68" s="641">
        <v>35000</v>
      </c>
      <c r="H68" s="641">
        <v>35000</v>
      </c>
      <c r="I68" s="641">
        <v>35000</v>
      </c>
      <c r="J68" s="641">
        <v>35000</v>
      </c>
      <c r="K68" s="642">
        <f t="shared" si="7"/>
        <v>210000</v>
      </c>
      <c r="L68" s="874"/>
    </row>
    <row r="69" ht="25" customHeight="1" spans="1:12">
      <c r="A69" s="95">
        <v>8</v>
      </c>
      <c r="B69" s="643" t="s">
        <v>164</v>
      </c>
      <c r="C69" s="87" t="s">
        <v>70</v>
      </c>
      <c r="D69" s="95" t="s">
        <v>68</v>
      </c>
      <c r="E69" s="641">
        <v>35000</v>
      </c>
      <c r="F69" s="641">
        <v>35000</v>
      </c>
      <c r="G69" s="641">
        <v>35000</v>
      </c>
      <c r="H69" s="641">
        <v>35000</v>
      </c>
      <c r="I69" s="641">
        <v>35000</v>
      </c>
      <c r="J69" s="641">
        <v>35000</v>
      </c>
      <c r="K69" s="642">
        <f t="shared" si="7"/>
        <v>210000</v>
      </c>
      <c r="L69" s="874"/>
    </row>
    <row r="70" ht="25" customHeight="1" spans="1:12">
      <c r="A70" s="95">
        <v>9</v>
      </c>
      <c r="B70" s="643" t="s">
        <v>165</v>
      </c>
      <c r="C70" s="86" t="s">
        <v>166</v>
      </c>
      <c r="D70" s="95" t="s">
        <v>162</v>
      </c>
      <c r="E70" s="641">
        <v>35000</v>
      </c>
      <c r="F70" s="641">
        <v>35000</v>
      </c>
      <c r="G70" s="641">
        <v>35000</v>
      </c>
      <c r="H70" s="641">
        <v>35000</v>
      </c>
      <c r="I70" s="641">
        <v>35000</v>
      </c>
      <c r="J70" s="641">
        <v>35000</v>
      </c>
      <c r="K70" s="642">
        <f t="shared" si="7"/>
        <v>210000</v>
      </c>
      <c r="L70" s="874"/>
    </row>
    <row r="71" ht="25" customHeight="1" spans="1:12">
      <c r="A71" s="95">
        <v>10</v>
      </c>
      <c r="B71" s="643" t="s">
        <v>168</v>
      </c>
      <c r="C71" s="86" t="s">
        <v>139</v>
      </c>
      <c r="D71" s="95" t="s">
        <v>76</v>
      </c>
      <c r="E71" s="641">
        <v>35000</v>
      </c>
      <c r="F71" s="641">
        <v>35000</v>
      </c>
      <c r="G71" s="641">
        <v>35000</v>
      </c>
      <c r="H71" s="641">
        <v>35000</v>
      </c>
      <c r="I71" s="641">
        <v>35000</v>
      </c>
      <c r="J71" s="641">
        <v>35000</v>
      </c>
      <c r="K71" s="642">
        <f t="shared" si="7"/>
        <v>210000</v>
      </c>
      <c r="L71" s="874"/>
    </row>
    <row r="72" ht="25" customHeight="1" spans="1:12">
      <c r="A72" s="95"/>
      <c r="B72" s="864" t="s">
        <v>111</v>
      </c>
      <c r="C72" s="88">
        <v>10</v>
      </c>
      <c r="D72" s="88"/>
      <c r="E72" s="872">
        <f t="shared" ref="E72:K72" si="9">SUM(E62:E71)</f>
        <v>350000</v>
      </c>
      <c r="F72" s="872">
        <f t="shared" si="9"/>
        <v>350000</v>
      </c>
      <c r="G72" s="872">
        <f t="shared" si="9"/>
        <v>350000</v>
      </c>
      <c r="H72" s="872">
        <f t="shared" si="9"/>
        <v>350000</v>
      </c>
      <c r="I72" s="872">
        <f t="shared" si="9"/>
        <v>350000</v>
      </c>
      <c r="J72" s="872">
        <f t="shared" si="9"/>
        <v>350000</v>
      </c>
      <c r="K72" s="876">
        <f t="shared" si="9"/>
        <v>2100000</v>
      </c>
      <c r="L72" s="874"/>
    </row>
    <row r="73" ht="25" customHeight="1" spans="1:12">
      <c r="A73" s="95"/>
      <c r="B73" s="867"/>
      <c r="C73" s="88"/>
      <c r="D73" s="88"/>
      <c r="E73" s="88"/>
      <c r="F73" s="647"/>
      <c r="G73" s="647"/>
      <c r="H73" s="647"/>
      <c r="I73" s="647"/>
      <c r="J73" s="647"/>
      <c r="K73" s="642"/>
      <c r="L73" s="874"/>
    </row>
    <row r="74" ht="25" customHeight="1" spans="1:12">
      <c r="A74" s="95"/>
      <c r="B74" s="864" t="s">
        <v>169</v>
      </c>
      <c r="C74" s="88"/>
      <c r="D74" s="88"/>
      <c r="E74" s="88"/>
      <c r="F74" s="647"/>
      <c r="G74" s="647"/>
      <c r="H74" s="647"/>
      <c r="I74" s="647"/>
      <c r="J74" s="647"/>
      <c r="K74" s="642"/>
      <c r="L74" s="874"/>
    </row>
    <row r="75" ht="25" customHeight="1" spans="1:12">
      <c r="A75" s="95">
        <v>1</v>
      </c>
      <c r="B75" s="643" t="s">
        <v>170</v>
      </c>
      <c r="C75" s="86" t="s">
        <v>171</v>
      </c>
      <c r="D75" s="95" t="s">
        <v>115</v>
      </c>
      <c r="E75" s="641">
        <v>35000</v>
      </c>
      <c r="F75" s="641">
        <v>35000</v>
      </c>
      <c r="G75" s="641">
        <v>35000</v>
      </c>
      <c r="H75" s="641">
        <v>35000</v>
      </c>
      <c r="I75" s="641">
        <v>35000</v>
      </c>
      <c r="J75" s="641">
        <v>35000</v>
      </c>
      <c r="K75" s="642">
        <f t="shared" ref="K75:K81" si="10">SUM(E75:J75)</f>
        <v>210000</v>
      </c>
      <c r="L75" s="874"/>
    </row>
    <row r="76" ht="25" customHeight="1" spans="1:12">
      <c r="A76" s="95">
        <v>2</v>
      </c>
      <c r="B76" s="639" t="s">
        <v>552</v>
      </c>
      <c r="C76" s="86" t="s">
        <v>553</v>
      </c>
      <c r="D76" s="640" t="s">
        <v>554</v>
      </c>
      <c r="E76" s="641">
        <v>35000</v>
      </c>
      <c r="F76" s="641">
        <v>35000</v>
      </c>
      <c r="G76" s="641">
        <v>35000</v>
      </c>
      <c r="H76" s="641">
        <v>35000</v>
      </c>
      <c r="I76" s="641">
        <v>35000</v>
      </c>
      <c r="J76" s="641">
        <v>35000</v>
      </c>
      <c r="K76" s="642">
        <f t="shared" si="10"/>
        <v>210000</v>
      </c>
      <c r="L76" s="874"/>
    </row>
    <row r="77" ht="25" customHeight="1" spans="1:12">
      <c r="A77" s="95">
        <v>3</v>
      </c>
      <c r="B77" s="351" t="s">
        <v>172</v>
      </c>
      <c r="C77" s="83" t="s">
        <v>555</v>
      </c>
      <c r="D77" s="95" t="s">
        <v>150</v>
      </c>
      <c r="E77" s="641">
        <v>35000</v>
      </c>
      <c r="F77" s="641">
        <v>35000</v>
      </c>
      <c r="G77" s="641">
        <v>35000</v>
      </c>
      <c r="H77" s="641">
        <v>35000</v>
      </c>
      <c r="I77" s="641">
        <v>35000</v>
      </c>
      <c r="J77" s="641">
        <v>35000</v>
      </c>
      <c r="K77" s="642">
        <f t="shared" si="10"/>
        <v>210000</v>
      </c>
      <c r="L77" s="874"/>
    </row>
    <row r="78" ht="25" customHeight="1" spans="1:12">
      <c r="A78" s="95">
        <v>4</v>
      </c>
      <c r="B78" s="643" t="s">
        <v>176</v>
      </c>
      <c r="C78" s="86" t="s">
        <v>177</v>
      </c>
      <c r="D78" s="640" t="s">
        <v>46</v>
      </c>
      <c r="E78" s="641">
        <v>35000</v>
      </c>
      <c r="F78" s="641">
        <v>35000</v>
      </c>
      <c r="G78" s="641">
        <v>35000</v>
      </c>
      <c r="H78" s="641">
        <v>35000</v>
      </c>
      <c r="I78" s="641">
        <v>35000</v>
      </c>
      <c r="J78" s="641">
        <v>35000</v>
      </c>
      <c r="K78" s="642">
        <f t="shared" si="10"/>
        <v>210000</v>
      </c>
      <c r="L78" s="874"/>
    </row>
    <row r="79" ht="25" customHeight="1" spans="1:12">
      <c r="A79" s="95">
        <v>5</v>
      </c>
      <c r="B79" s="643" t="s">
        <v>183</v>
      </c>
      <c r="C79" s="86" t="s">
        <v>186</v>
      </c>
      <c r="D79" s="95" t="s">
        <v>119</v>
      </c>
      <c r="E79" s="641">
        <v>35000</v>
      </c>
      <c r="F79" s="641">
        <v>35000</v>
      </c>
      <c r="G79" s="641">
        <v>35000</v>
      </c>
      <c r="H79" s="641">
        <v>35000</v>
      </c>
      <c r="I79" s="641">
        <v>35000</v>
      </c>
      <c r="J79" s="641">
        <v>35000</v>
      </c>
      <c r="K79" s="642">
        <f t="shared" si="10"/>
        <v>210000</v>
      </c>
      <c r="L79" s="874"/>
    </row>
    <row r="80" ht="25" customHeight="1" spans="1:12">
      <c r="A80" s="95">
        <v>6</v>
      </c>
      <c r="B80" s="643" t="s">
        <v>185</v>
      </c>
      <c r="C80" s="86" t="s">
        <v>186</v>
      </c>
      <c r="D80" s="95" t="s">
        <v>87</v>
      </c>
      <c r="E80" s="641">
        <v>35000</v>
      </c>
      <c r="F80" s="641">
        <v>35000</v>
      </c>
      <c r="G80" s="641">
        <v>35000</v>
      </c>
      <c r="H80" s="641">
        <v>35000</v>
      </c>
      <c r="I80" s="641">
        <v>35000</v>
      </c>
      <c r="J80" s="641">
        <v>35000</v>
      </c>
      <c r="K80" s="642">
        <f t="shared" si="10"/>
        <v>210000</v>
      </c>
      <c r="L80" s="874"/>
    </row>
    <row r="81" ht="25" customHeight="1" spans="1:12">
      <c r="A81" s="95">
        <v>7</v>
      </c>
      <c r="B81" s="643" t="s">
        <v>187</v>
      </c>
      <c r="C81" s="86" t="s">
        <v>188</v>
      </c>
      <c r="D81" s="95" t="s">
        <v>105</v>
      </c>
      <c r="E81" s="641">
        <v>35000</v>
      </c>
      <c r="F81" s="641">
        <v>35000</v>
      </c>
      <c r="G81" s="641">
        <v>35000</v>
      </c>
      <c r="H81" s="641">
        <v>35000</v>
      </c>
      <c r="I81" s="641">
        <v>35000</v>
      </c>
      <c r="J81" s="641">
        <v>35000</v>
      </c>
      <c r="K81" s="642">
        <f t="shared" si="10"/>
        <v>210000</v>
      </c>
      <c r="L81" s="874"/>
    </row>
    <row r="82" ht="25" customHeight="1" spans="1:12">
      <c r="A82" s="95"/>
      <c r="B82" s="864" t="s">
        <v>111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82">
        <f t="shared" si="11"/>
        <v>1470000</v>
      </c>
      <c r="L82" s="874"/>
    </row>
    <row r="83" ht="25" customHeight="1" spans="1:12">
      <c r="A83" s="95"/>
      <c r="B83" s="864"/>
      <c r="C83" s="88"/>
      <c r="D83" s="88"/>
      <c r="E83" s="88"/>
      <c r="F83" s="647"/>
      <c r="G83" s="647"/>
      <c r="H83" s="647"/>
      <c r="I83" s="647"/>
      <c r="J83" s="647"/>
      <c r="K83" s="642"/>
      <c r="L83" s="874"/>
    </row>
    <row r="84" ht="25" customHeight="1" spans="1:12">
      <c r="A84" s="95"/>
      <c r="B84" s="864" t="s">
        <v>189</v>
      </c>
      <c r="C84" s="879"/>
      <c r="D84" s="88"/>
      <c r="E84" s="88"/>
      <c r="F84" s="647"/>
      <c r="G84" s="647"/>
      <c r="H84" s="647"/>
      <c r="I84" s="647"/>
      <c r="J84" s="647"/>
      <c r="K84" s="642"/>
      <c r="L84" s="874"/>
    </row>
    <row r="85" ht="25" customHeight="1" spans="1:12">
      <c r="A85" s="95">
        <v>1</v>
      </c>
      <c r="B85" s="643" t="s">
        <v>192</v>
      </c>
      <c r="C85" s="86" t="s">
        <v>130</v>
      </c>
      <c r="D85" s="95" t="s">
        <v>131</v>
      </c>
      <c r="E85" s="641">
        <v>35000</v>
      </c>
      <c r="F85" s="641">
        <v>35000</v>
      </c>
      <c r="G85" s="641">
        <v>35000</v>
      </c>
      <c r="H85" s="641">
        <v>35000</v>
      </c>
      <c r="I85" s="641">
        <v>35000</v>
      </c>
      <c r="J85" s="641">
        <v>35000</v>
      </c>
      <c r="K85" s="642">
        <f t="shared" ref="K85:K94" si="12">SUM(E85:J85)</f>
        <v>210000</v>
      </c>
      <c r="L85" s="874"/>
    </row>
    <row r="86" ht="25" customHeight="1" spans="1:12">
      <c r="A86" s="95">
        <v>2</v>
      </c>
      <c r="B86" s="643" t="s">
        <v>190</v>
      </c>
      <c r="C86" s="86" t="s">
        <v>130</v>
      </c>
      <c r="D86" s="95" t="s">
        <v>131</v>
      </c>
      <c r="E86" s="641">
        <v>35000</v>
      </c>
      <c r="F86" s="641">
        <v>35000</v>
      </c>
      <c r="G86" s="641">
        <v>35000</v>
      </c>
      <c r="H86" s="641">
        <v>35000</v>
      </c>
      <c r="I86" s="641">
        <v>35000</v>
      </c>
      <c r="J86" s="641">
        <v>35000</v>
      </c>
      <c r="K86" s="642">
        <f t="shared" si="12"/>
        <v>210000</v>
      </c>
      <c r="L86" s="874"/>
    </row>
    <row r="87" ht="25" customHeight="1" spans="1:12">
      <c r="A87" s="95">
        <v>3</v>
      </c>
      <c r="B87" s="643" t="s">
        <v>195</v>
      </c>
      <c r="C87" s="86" t="s">
        <v>130</v>
      </c>
      <c r="D87" s="95" t="s">
        <v>49</v>
      </c>
      <c r="E87" s="641">
        <v>35000</v>
      </c>
      <c r="F87" s="641">
        <v>35000</v>
      </c>
      <c r="G87" s="641">
        <v>35000</v>
      </c>
      <c r="H87" s="641">
        <v>35000</v>
      </c>
      <c r="I87" s="641">
        <v>35000</v>
      </c>
      <c r="J87" s="641">
        <v>35000</v>
      </c>
      <c r="K87" s="642">
        <f t="shared" si="12"/>
        <v>210000</v>
      </c>
      <c r="L87" s="874"/>
    </row>
    <row r="88" ht="25" customHeight="1" spans="1:12">
      <c r="A88" s="95">
        <v>4</v>
      </c>
      <c r="B88" s="643" t="s">
        <v>196</v>
      </c>
      <c r="C88" s="86" t="s">
        <v>556</v>
      </c>
      <c r="D88" s="640" t="s">
        <v>52</v>
      </c>
      <c r="E88" s="641">
        <v>35000</v>
      </c>
      <c r="F88" s="641">
        <v>35000</v>
      </c>
      <c r="G88" s="641">
        <v>35000</v>
      </c>
      <c r="H88" s="641">
        <v>35000</v>
      </c>
      <c r="I88" s="641">
        <v>35000</v>
      </c>
      <c r="J88" s="641">
        <v>35000</v>
      </c>
      <c r="K88" s="642">
        <f t="shared" si="12"/>
        <v>210000</v>
      </c>
      <c r="L88" s="874"/>
    </row>
    <row r="89" ht="25" customHeight="1" spans="1:12">
      <c r="A89" s="95">
        <v>5</v>
      </c>
      <c r="B89" s="643" t="s">
        <v>197</v>
      </c>
      <c r="C89" s="83" t="s">
        <v>158</v>
      </c>
      <c r="D89" s="640" t="s">
        <v>460</v>
      </c>
      <c r="E89" s="641">
        <v>35000</v>
      </c>
      <c r="F89" s="641">
        <v>35000</v>
      </c>
      <c r="G89" s="641">
        <v>35000</v>
      </c>
      <c r="H89" s="641">
        <v>35000</v>
      </c>
      <c r="I89" s="641">
        <v>35000</v>
      </c>
      <c r="J89" s="641">
        <v>35000</v>
      </c>
      <c r="K89" s="642">
        <f t="shared" si="12"/>
        <v>210000</v>
      </c>
      <c r="L89" s="874"/>
    </row>
    <row r="90" ht="25" customHeight="1" spans="1:12">
      <c r="A90" s="95">
        <v>6</v>
      </c>
      <c r="B90" s="643" t="s">
        <v>198</v>
      </c>
      <c r="C90" s="83" t="s">
        <v>156</v>
      </c>
      <c r="D90" s="640" t="s">
        <v>230</v>
      </c>
      <c r="E90" s="641">
        <v>35000</v>
      </c>
      <c r="F90" s="641">
        <v>35000</v>
      </c>
      <c r="G90" s="641">
        <v>35000</v>
      </c>
      <c r="H90" s="641">
        <v>35000</v>
      </c>
      <c r="I90" s="641">
        <v>35000</v>
      </c>
      <c r="J90" s="641">
        <v>35000</v>
      </c>
      <c r="K90" s="642">
        <f t="shared" si="12"/>
        <v>210000</v>
      </c>
      <c r="L90" s="874"/>
    </row>
    <row r="91" ht="25" customHeight="1" spans="1:12">
      <c r="A91" s="95">
        <v>7</v>
      </c>
      <c r="B91" s="643" t="s">
        <v>200</v>
      </c>
      <c r="C91" s="87" t="s">
        <v>70</v>
      </c>
      <c r="D91" s="640" t="s">
        <v>68</v>
      </c>
      <c r="E91" s="641">
        <v>35000</v>
      </c>
      <c r="F91" s="641">
        <v>35000</v>
      </c>
      <c r="G91" s="641">
        <v>35000</v>
      </c>
      <c r="H91" s="641">
        <v>35000</v>
      </c>
      <c r="I91" s="641">
        <v>35000</v>
      </c>
      <c r="J91" s="641">
        <v>35000</v>
      </c>
      <c r="K91" s="642">
        <f t="shared" si="12"/>
        <v>210000</v>
      </c>
      <c r="L91" s="874"/>
    </row>
    <row r="92" ht="25" customHeight="1" spans="1:12">
      <c r="A92" s="95">
        <v>8</v>
      </c>
      <c r="B92" s="643" t="s">
        <v>201</v>
      </c>
      <c r="C92" s="87" t="s">
        <v>158</v>
      </c>
      <c r="D92" s="640" t="s">
        <v>159</v>
      </c>
      <c r="E92" s="641">
        <v>35000</v>
      </c>
      <c r="F92" s="641">
        <v>35000</v>
      </c>
      <c r="G92" s="641">
        <v>35000</v>
      </c>
      <c r="H92" s="641">
        <v>35000</v>
      </c>
      <c r="I92" s="641">
        <v>35000</v>
      </c>
      <c r="J92" s="641">
        <v>35000</v>
      </c>
      <c r="K92" s="642">
        <f t="shared" si="12"/>
        <v>210000</v>
      </c>
      <c r="L92" s="874"/>
    </row>
    <row r="93" ht="25" customHeight="1" spans="1:12">
      <c r="A93" s="95">
        <v>9</v>
      </c>
      <c r="B93" s="643" t="s">
        <v>204</v>
      </c>
      <c r="C93" s="86" t="s">
        <v>205</v>
      </c>
      <c r="D93" s="95" t="s">
        <v>76</v>
      </c>
      <c r="E93" s="641">
        <v>35000</v>
      </c>
      <c r="F93" s="641">
        <v>35000</v>
      </c>
      <c r="G93" s="641">
        <v>35000</v>
      </c>
      <c r="H93" s="641">
        <v>35000</v>
      </c>
      <c r="I93" s="641">
        <v>35000</v>
      </c>
      <c r="J93" s="641">
        <v>35000</v>
      </c>
      <c r="K93" s="642">
        <f t="shared" si="12"/>
        <v>210000</v>
      </c>
      <c r="L93" s="874"/>
    </row>
    <row r="94" ht="25" customHeight="1" spans="1:12">
      <c r="A94" s="95">
        <v>10</v>
      </c>
      <c r="B94" s="643" t="s">
        <v>206</v>
      </c>
      <c r="C94" s="87" t="s">
        <v>207</v>
      </c>
      <c r="D94" s="640" t="s">
        <v>102</v>
      </c>
      <c r="E94" s="641">
        <v>35000</v>
      </c>
      <c r="F94" s="641">
        <v>35000</v>
      </c>
      <c r="G94" s="641">
        <v>35000</v>
      </c>
      <c r="H94" s="641">
        <v>35000</v>
      </c>
      <c r="I94" s="641">
        <v>35000</v>
      </c>
      <c r="J94" s="641">
        <v>35000</v>
      </c>
      <c r="K94" s="642">
        <f t="shared" si="12"/>
        <v>210000</v>
      </c>
      <c r="L94" s="874"/>
    </row>
    <row r="95" ht="25" customHeight="1" spans="1:12">
      <c r="A95" s="95"/>
      <c r="B95" s="864" t="s">
        <v>111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3">
        <f t="shared" si="13"/>
        <v>2100000</v>
      </c>
      <c r="L95" s="874"/>
    </row>
    <row r="96" ht="25" customHeight="1" spans="1:12">
      <c r="A96" s="95"/>
      <c r="B96" s="867"/>
      <c r="C96" s="88"/>
      <c r="D96" s="88"/>
      <c r="E96" s="88"/>
      <c r="F96" s="647"/>
      <c r="G96" s="647"/>
      <c r="H96" s="647"/>
      <c r="I96" s="647"/>
      <c r="J96" s="647"/>
      <c r="K96" s="642"/>
      <c r="L96" s="874"/>
    </row>
    <row r="97" ht="25" customHeight="1" spans="1:12">
      <c r="A97" s="95"/>
      <c r="B97" s="864" t="s">
        <v>209</v>
      </c>
      <c r="C97" s="88"/>
      <c r="D97" s="88"/>
      <c r="E97" s="88"/>
      <c r="F97" s="647"/>
      <c r="G97" s="647"/>
      <c r="H97" s="647"/>
      <c r="I97" s="647"/>
      <c r="J97" s="647"/>
      <c r="K97" s="642"/>
      <c r="L97" s="874"/>
    </row>
    <row r="98" ht="25" customHeight="1" spans="1:12">
      <c r="A98" s="95">
        <v>1</v>
      </c>
      <c r="B98" s="639" t="s">
        <v>210</v>
      </c>
      <c r="C98" s="86" t="s">
        <v>211</v>
      </c>
      <c r="D98" s="871" t="s">
        <v>128</v>
      </c>
      <c r="E98" s="641">
        <v>35000</v>
      </c>
      <c r="F98" s="641">
        <v>35000</v>
      </c>
      <c r="G98" s="641">
        <v>35000</v>
      </c>
      <c r="H98" s="641">
        <v>35000</v>
      </c>
      <c r="I98" s="641">
        <v>35000</v>
      </c>
      <c r="J98" s="641">
        <v>35000</v>
      </c>
      <c r="K98" s="642">
        <f t="shared" ref="K98:K101" si="14">SUM(E98:J98)</f>
        <v>210000</v>
      </c>
      <c r="L98" s="874"/>
    </row>
    <row r="99" ht="25" customHeight="1" spans="1:12">
      <c r="A99" s="95">
        <v>2</v>
      </c>
      <c r="B99" s="643" t="s">
        <v>213</v>
      </c>
      <c r="C99" s="86" t="s">
        <v>214</v>
      </c>
      <c r="D99" s="640" t="s">
        <v>46</v>
      </c>
      <c r="E99" s="641">
        <v>35000</v>
      </c>
      <c r="F99" s="641">
        <v>35000</v>
      </c>
      <c r="G99" s="641">
        <v>35000</v>
      </c>
      <c r="H99" s="641">
        <v>35000</v>
      </c>
      <c r="I99" s="641">
        <v>35000</v>
      </c>
      <c r="J99" s="641">
        <v>35000</v>
      </c>
      <c r="K99" s="642">
        <f t="shared" si="14"/>
        <v>210000</v>
      </c>
      <c r="L99" s="874"/>
    </row>
    <row r="100" ht="25" customHeight="1" spans="1:12">
      <c r="A100" s="95">
        <v>3</v>
      </c>
      <c r="B100" s="643" t="s">
        <v>219</v>
      </c>
      <c r="C100" s="86" t="s">
        <v>220</v>
      </c>
      <c r="D100" s="640" t="s">
        <v>162</v>
      </c>
      <c r="E100" s="641">
        <v>35000</v>
      </c>
      <c r="F100" s="641">
        <v>35000</v>
      </c>
      <c r="G100" s="641">
        <v>35000</v>
      </c>
      <c r="H100" s="641">
        <v>35000</v>
      </c>
      <c r="I100" s="641">
        <v>35000</v>
      </c>
      <c r="J100" s="641">
        <v>35000</v>
      </c>
      <c r="K100" s="642">
        <f t="shared" si="14"/>
        <v>210000</v>
      </c>
      <c r="L100" s="874"/>
    </row>
    <row r="101" ht="25" customHeight="1" spans="1:12">
      <c r="A101" s="95">
        <v>4</v>
      </c>
      <c r="B101" s="643" t="s">
        <v>221</v>
      </c>
      <c r="C101" s="86" t="s">
        <v>222</v>
      </c>
      <c r="D101" s="640" t="s">
        <v>76</v>
      </c>
      <c r="E101" s="641">
        <v>35000</v>
      </c>
      <c r="F101" s="641">
        <v>35000</v>
      </c>
      <c r="G101" s="641">
        <v>35000</v>
      </c>
      <c r="H101" s="641">
        <v>35000</v>
      </c>
      <c r="I101" s="641">
        <v>35000</v>
      </c>
      <c r="J101" s="641">
        <v>35000</v>
      </c>
      <c r="K101" s="642">
        <f t="shared" si="14"/>
        <v>210000</v>
      </c>
      <c r="L101" s="874"/>
    </row>
    <row r="102" ht="25" customHeight="1" spans="1:12">
      <c r="A102" s="86"/>
      <c r="B102" s="864" t="s">
        <v>111</v>
      </c>
      <c r="C102" s="88">
        <v>4</v>
      </c>
      <c r="D102" s="99"/>
      <c r="E102" s="872">
        <f>SUM(E98:E101)</f>
        <v>140000</v>
      </c>
      <c r="F102" s="872">
        <f t="shared" ref="F102:K102" si="15">SUM(F98:F101)</f>
        <v>140000</v>
      </c>
      <c r="G102" s="872">
        <f t="shared" si="15"/>
        <v>140000</v>
      </c>
      <c r="H102" s="872">
        <f t="shared" si="15"/>
        <v>140000</v>
      </c>
      <c r="I102" s="872">
        <f t="shared" si="15"/>
        <v>140000</v>
      </c>
      <c r="J102" s="872">
        <f t="shared" si="15"/>
        <v>140000</v>
      </c>
      <c r="K102" s="872">
        <f t="shared" si="15"/>
        <v>840000</v>
      </c>
      <c r="L102" s="874"/>
    </row>
    <row r="103" ht="25" customHeight="1" spans="1:12">
      <c r="A103" s="86"/>
      <c r="B103" s="867"/>
      <c r="C103" s="88"/>
      <c r="D103" s="99"/>
      <c r="E103" s="99"/>
      <c r="F103" s="647"/>
      <c r="G103" s="647"/>
      <c r="H103" s="647"/>
      <c r="I103" s="647"/>
      <c r="J103" s="647"/>
      <c r="K103" s="642"/>
      <c r="L103" s="874"/>
    </row>
    <row r="104" ht="25" customHeight="1" spans="1:12">
      <c r="A104" s="86"/>
      <c r="B104" s="864" t="s">
        <v>223</v>
      </c>
      <c r="C104" s="86"/>
      <c r="D104" s="86"/>
      <c r="E104" s="86"/>
      <c r="F104" s="86"/>
      <c r="G104" s="86"/>
      <c r="H104" s="86"/>
      <c r="I104" s="86"/>
      <c r="J104" s="86"/>
      <c r="K104" s="642"/>
      <c r="L104" s="874"/>
    </row>
    <row r="105" ht="25" customHeight="1" spans="1:12">
      <c r="A105" s="86">
        <v>1</v>
      </c>
      <c r="B105" s="643" t="s">
        <v>224</v>
      </c>
      <c r="C105" s="83" t="s">
        <v>225</v>
      </c>
      <c r="D105" s="640" t="s">
        <v>115</v>
      </c>
      <c r="E105" s="641">
        <v>35000</v>
      </c>
      <c r="F105" s="641">
        <v>35000</v>
      </c>
      <c r="G105" s="641">
        <v>35000</v>
      </c>
      <c r="H105" s="641">
        <v>35000</v>
      </c>
      <c r="I105" s="641">
        <v>35000</v>
      </c>
      <c r="J105" s="641">
        <v>35000</v>
      </c>
      <c r="K105" s="642">
        <f t="shared" ref="K105:K111" si="16">SUM(E105:J105)</f>
        <v>210000</v>
      </c>
      <c r="L105" s="874"/>
    </row>
    <row r="106" ht="25" customHeight="1" spans="1:12">
      <c r="A106" s="86">
        <v>2</v>
      </c>
      <c r="B106" s="643" t="s">
        <v>226</v>
      </c>
      <c r="C106" s="86" t="s">
        <v>227</v>
      </c>
      <c r="D106" s="871" t="s">
        <v>154</v>
      </c>
      <c r="E106" s="641">
        <v>35000</v>
      </c>
      <c r="F106" s="641">
        <v>35000</v>
      </c>
      <c r="G106" s="641">
        <v>35000</v>
      </c>
      <c r="H106" s="641">
        <v>35000</v>
      </c>
      <c r="I106" s="641">
        <v>35000</v>
      </c>
      <c r="J106" s="641">
        <v>35000</v>
      </c>
      <c r="K106" s="642">
        <f t="shared" si="16"/>
        <v>210000</v>
      </c>
      <c r="L106" s="874"/>
    </row>
    <row r="107" ht="25" customHeight="1" spans="1:12">
      <c r="A107" s="86">
        <v>3</v>
      </c>
      <c r="B107" s="643" t="s">
        <v>228</v>
      </c>
      <c r="C107" s="86" t="s">
        <v>442</v>
      </c>
      <c r="D107" s="95" t="s">
        <v>52</v>
      </c>
      <c r="E107" s="641">
        <v>35000</v>
      </c>
      <c r="F107" s="641">
        <v>35000</v>
      </c>
      <c r="G107" s="641">
        <v>35000</v>
      </c>
      <c r="H107" s="641">
        <v>35000</v>
      </c>
      <c r="I107" s="641">
        <v>35000</v>
      </c>
      <c r="J107" s="641">
        <v>35000</v>
      </c>
      <c r="K107" s="642">
        <f t="shared" si="16"/>
        <v>210000</v>
      </c>
      <c r="L107" s="874"/>
    </row>
    <row r="108" ht="25" customHeight="1" spans="1:12">
      <c r="A108" s="86">
        <v>4</v>
      </c>
      <c r="B108" s="643" t="s">
        <v>231</v>
      </c>
      <c r="C108" s="86" t="s">
        <v>442</v>
      </c>
      <c r="D108" s="95" t="s">
        <v>52</v>
      </c>
      <c r="E108" s="641">
        <v>35000</v>
      </c>
      <c r="F108" s="641">
        <v>35000</v>
      </c>
      <c r="G108" s="641">
        <v>35000</v>
      </c>
      <c r="H108" s="641">
        <v>35000</v>
      </c>
      <c r="I108" s="641">
        <v>35000</v>
      </c>
      <c r="J108" s="641">
        <v>35000</v>
      </c>
      <c r="K108" s="642">
        <f t="shared" si="16"/>
        <v>210000</v>
      </c>
      <c r="L108" s="874"/>
    </row>
    <row r="109" ht="25" customHeight="1" spans="1:12">
      <c r="A109" s="86">
        <v>5</v>
      </c>
      <c r="B109" s="643" t="s">
        <v>232</v>
      </c>
      <c r="C109" s="86" t="s">
        <v>233</v>
      </c>
      <c r="D109" s="640" t="s">
        <v>557</v>
      </c>
      <c r="E109" s="641">
        <v>35000</v>
      </c>
      <c r="F109" s="641">
        <v>35000</v>
      </c>
      <c r="G109" s="641">
        <v>35000</v>
      </c>
      <c r="H109" s="641">
        <v>35000</v>
      </c>
      <c r="I109" s="641">
        <v>35000</v>
      </c>
      <c r="J109" s="641">
        <v>35000</v>
      </c>
      <c r="K109" s="642">
        <f t="shared" si="16"/>
        <v>210000</v>
      </c>
      <c r="L109" s="874"/>
    </row>
    <row r="110" ht="25" customHeight="1" spans="1:12">
      <c r="A110" s="86">
        <v>6</v>
      </c>
      <c r="B110" s="351" t="s">
        <v>235</v>
      </c>
      <c r="C110" s="86" t="s">
        <v>233</v>
      </c>
      <c r="D110" s="95" t="s">
        <v>558</v>
      </c>
      <c r="E110" s="641">
        <v>35000</v>
      </c>
      <c r="F110" s="641">
        <v>35000</v>
      </c>
      <c r="G110" s="641">
        <v>35000</v>
      </c>
      <c r="H110" s="641">
        <v>35000</v>
      </c>
      <c r="I110" s="641">
        <v>35000</v>
      </c>
      <c r="J110" s="641">
        <v>35000</v>
      </c>
      <c r="K110" s="642">
        <f t="shared" si="16"/>
        <v>210000</v>
      </c>
      <c r="L110" s="874"/>
    </row>
    <row r="111" ht="25" customHeight="1" spans="1:12">
      <c r="A111" s="86">
        <v>7</v>
      </c>
      <c r="B111" s="351" t="s">
        <v>236</v>
      </c>
      <c r="C111" s="86" t="s">
        <v>233</v>
      </c>
      <c r="D111" s="640" t="s">
        <v>102</v>
      </c>
      <c r="E111" s="641">
        <v>35000</v>
      </c>
      <c r="F111" s="641">
        <v>35000</v>
      </c>
      <c r="G111" s="641">
        <v>35000</v>
      </c>
      <c r="H111" s="641">
        <v>35000</v>
      </c>
      <c r="I111" s="641">
        <v>35000</v>
      </c>
      <c r="J111" s="641">
        <v>35000</v>
      </c>
      <c r="K111" s="642">
        <f t="shared" si="16"/>
        <v>210000</v>
      </c>
      <c r="L111" s="874"/>
    </row>
    <row r="112" ht="25" customHeight="1" spans="1:12">
      <c r="A112" s="86"/>
      <c r="B112" s="864" t="s">
        <v>111</v>
      </c>
      <c r="C112" s="88">
        <v>7</v>
      </c>
      <c r="D112" s="86"/>
      <c r="E112" s="880">
        <f t="shared" ref="E112:K112" si="17">SUM(E105:E111)</f>
        <v>245000</v>
      </c>
      <c r="F112" s="880">
        <f t="shared" si="17"/>
        <v>245000</v>
      </c>
      <c r="G112" s="880">
        <f t="shared" si="17"/>
        <v>245000</v>
      </c>
      <c r="H112" s="880">
        <f t="shared" si="17"/>
        <v>245000</v>
      </c>
      <c r="I112" s="880">
        <f t="shared" si="17"/>
        <v>245000</v>
      </c>
      <c r="J112" s="880">
        <f t="shared" si="17"/>
        <v>245000</v>
      </c>
      <c r="K112" s="884">
        <f t="shared" si="17"/>
        <v>1470000</v>
      </c>
      <c r="L112" s="874"/>
    </row>
    <row r="113" ht="25" customHeight="1" spans="1:12">
      <c r="A113" s="86"/>
      <c r="B113" s="864"/>
      <c r="C113" s="88"/>
      <c r="D113" s="86"/>
      <c r="E113" s="86"/>
      <c r="F113" s="881"/>
      <c r="G113" s="881"/>
      <c r="H113" s="881"/>
      <c r="I113" s="881"/>
      <c r="J113" s="881"/>
      <c r="K113" s="885"/>
      <c r="L113" s="874"/>
    </row>
    <row r="114" ht="25" customHeight="1" spans="1:12">
      <c r="A114" s="95"/>
      <c r="B114" s="864" t="s">
        <v>237</v>
      </c>
      <c r="C114" s="88"/>
      <c r="D114" s="88"/>
      <c r="E114" s="88"/>
      <c r="F114" s="647"/>
      <c r="G114" s="647"/>
      <c r="H114" s="647"/>
      <c r="I114" s="647"/>
      <c r="J114" s="647"/>
      <c r="K114" s="642"/>
      <c r="L114" s="874"/>
    </row>
    <row r="115" ht="25" customHeight="1" spans="1:12">
      <c r="A115" s="95">
        <v>1</v>
      </c>
      <c r="B115" s="639" t="s">
        <v>152</v>
      </c>
      <c r="C115" s="86" t="s">
        <v>130</v>
      </c>
      <c r="D115" s="95" t="s">
        <v>38</v>
      </c>
      <c r="E115" s="641">
        <v>35000</v>
      </c>
      <c r="F115" s="641">
        <v>35000</v>
      </c>
      <c r="G115" s="641">
        <v>35000</v>
      </c>
      <c r="H115" s="641">
        <v>35000</v>
      </c>
      <c r="I115" s="641">
        <v>35000</v>
      </c>
      <c r="J115" s="641">
        <v>35000</v>
      </c>
      <c r="K115" s="642">
        <f t="shared" ref="K115:K117" si="18">SUM(E115:J115)</f>
        <v>210000</v>
      </c>
      <c r="L115" s="874"/>
    </row>
    <row r="116" ht="25" customHeight="1" spans="1:12">
      <c r="A116" s="95">
        <v>2</v>
      </c>
      <c r="B116" s="643" t="s">
        <v>238</v>
      </c>
      <c r="C116" s="86" t="s">
        <v>239</v>
      </c>
      <c r="D116" s="640" t="s">
        <v>162</v>
      </c>
      <c r="E116" s="641">
        <v>35000</v>
      </c>
      <c r="F116" s="641">
        <v>35000</v>
      </c>
      <c r="G116" s="641">
        <v>35000</v>
      </c>
      <c r="H116" s="641">
        <v>35000</v>
      </c>
      <c r="I116" s="641">
        <v>35000</v>
      </c>
      <c r="J116" s="641">
        <v>35000</v>
      </c>
      <c r="K116" s="642">
        <f t="shared" si="18"/>
        <v>210000</v>
      </c>
      <c r="L116" s="874"/>
    </row>
    <row r="117" ht="25" customHeight="1" spans="1:12">
      <c r="A117" s="95">
        <v>3</v>
      </c>
      <c r="B117" s="643" t="s">
        <v>179</v>
      </c>
      <c r="C117" s="83" t="s">
        <v>559</v>
      </c>
      <c r="D117" s="640" t="s">
        <v>65</v>
      </c>
      <c r="E117" s="641">
        <v>35000</v>
      </c>
      <c r="F117" s="641">
        <v>35000</v>
      </c>
      <c r="G117" s="641">
        <v>35000</v>
      </c>
      <c r="H117" s="641">
        <v>35000</v>
      </c>
      <c r="I117" s="641">
        <v>35000</v>
      </c>
      <c r="J117" s="641">
        <v>35000</v>
      </c>
      <c r="K117" s="642">
        <f t="shared" si="18"/>
        <v>210000</v>
      </c>
      <c r="L117" s="874"/>
    </row>
    <row r="118" ht="25" customHeight="1" spans="1:12">
      <c r="A118" s="86"/>
      <c r="B118" s="864" t="s">
        <v>111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74"/>
    </row>
    <row r="119" ht="25" customHeight="1" spans="1:12">
      <c r="A119" s="86"/>
      <c r="B119" s="867"/>
      <c r="C119" s="95"/>
      <c r="D119" s="86"/>
      <c r="E119" s="86"/>
      <c r="F119" s="670"/>
      <c r="G119" s="670"/>
      <c r="H119" s="670"/>
      <c r="I119" s="670"/>
      <c r="J119" s="670"/>
      <c r="K119" s="642"/>
      <c r="L119" s="874"/>
    </row>
    <row r="120" ht="25" customHeight="1" spans="1:12">
      <c r="A120" s="86"/>
      <c r="B120" s="864" t="s">
        <v>252</v>
      </c>
      <c r="C120" s="88"/>
      <c r="D120" s="88"/>
      <c r="E120" s="88"/>
      <c r="F120" s="647"/>
      <c r="G120" s="647"/>
      <c r="H120" s="647"/>
      <c r="I120" s="647"/>
      <c r="J120" s="647"/>
      <c r="K120" s="642"/>
      <c r="L120" s="874"/>
    </row>
    <row r="121" ht="25" customHeight="1" spans="1:12">
      <c r="A121" s="86">
        <v>1</v>
      </c>
      <c r="B121" s="643" t="s">
        <v>253</v>
      </c>
      <c r="C121" s="83" t="s">
        <v>254</v>
      </c>
      <c r="D121" s="640" t="s">
        <v>115</v>
      </c>
      <c r="E121" s="641">
        <v>35000</v>
      </c>
      <c r="F121" s="641">
        <v>35000</v>
      </c>
      <c r="G121" s="641">
        <v>35000</v>
      </c>
      <c r="H121" s="641">
        <v>35000</v>
      </c>
      <c r="I121" s="641">
        <v>35000</v>
      </c>
      <c r="J121" s="641">
        <v>35000</v>
      </c>
      <c r="K121" s="642">
        <f t="shared" ref="K121:K130" si="20">SUM(E121:J121)</f>
        <v>210000</v>
      </c>
      <c r="L121" s="874"/>
    </row>
    <row r="122" ht="25" customHeight="1" spans="1:12">
      <c r="A122" s="86">
        <v>2</v>
      </c>
      <c r="B122" s="643" t="s">
        <v>255</v>
      </c>
      <c r="C122" s="83" t="s">
        <v>256</v>
      </c>
      <c r="D122" s="640" t="s">
        <v>35</v>
      </c>
      <c r="E122" s="641">
        <v>35000</v>
      </c>
      <c r="F122" s="641">
        <v>35000</v>
      </c>
      <c r="G122" s="641">
        <v>35000</v>
      </c>
      <c r="H122" s="641">
        <v>35000</v>
      </c>
      <c r="I122" s="641">
        <v>35000</v>
      </c>
      <c r="J122" s="641">
        <v>35000</v>
      </c>
      <c r="K122" s="642">
        <f t="shared" si="20"/>
        <v>210000</v>
      </c>
      <c r="L122" s="874"/>
    </row>
    <row r="123" ht="25" customHeight="1" spans="1:12">
      <c r="A123" s="86">
        <v>3</v>
      </c>
      <c r="B123" s="639" t="s">
        <v>257</v>
      </c>
      <c r="C123" s="83" t="s">
        <v>258</v>
      </c>
      <c r="D123" s="640" t="s">
        <v>131</v>
      </c>
      <c r="E123" s="641">
        <v>35000</v>
      </c>
      <c r="F123" s="641">
        <v>35000</v>
      </c>
      <c r="G123" s="641">
        <v>35000</v>
      </c>
      <c r="H123" s="641">
        <v>35000</v>
      </c>
      <c r="I123" s="641">
        <v>35000</v>
      </c>
      <c r="J123" s="641">
        <v>35000</v>
      </c>
      <c r="K123" s="642">
        <f t="shared" si="20"/>
        <v>210000</v>
      </c>
      <c r="L123" s="874"/>
    </row>
    <row r="124" ht="25" customHeight="1" spans="1:12">
      <c r="A124" s="86">
        <v>4</v>
      </c>
      <c r="B124" s="639" t="s">
        <v>560</v>
      </c>
      <c r="C124" s="83" t="s">
        <v>258</v>
      </c>
      <c r="D124" s="640" t="s">
        <v>49</v>
      </c>
      <c r="E124" s="641">
        <v>35000</v>
      </c>
      <c r="F124" s="641">
        <v>35000</v>
      </c>
      <c r="G124" s="641">
        <v>35000</v>
      </c>
      <c r="H124" s="641">
        <v>35000</v>
      </c>
      <c r="I124" s="641">
        <v>35000</v>
      </c>
      <c r="J124" s="641">
        <v>35000</v>
      </c>
      <c r="K124" s="642">
        <f t="shared" si="20"/>
        <v>210000</v>
      </c>
      <c r="L124" s="874"/>
    </row>
    <row r="125" ht="25" customHeight="1" spans="1:12">
      <c r="A125" s="86">
        <v>5</v>
      </c>
      <c r="B125" s="643" t="s">
        <v>259</v>
      </c>
      <c r="C125" s="83" t="s">
        <v>260</v>
      </c>
      <c r="D125" s="640" t="s">
        <v>178</v>
      </c>
      <c r="E125" s="641">
        <v>35000</v>
      </c>
      <c r="F125" s="641">
        <v>35000</v>
      </c>
      <c r="G125" s="641">
        <v>35000</v>
      </c>
      <c r="H125" s="641">
        <v>35000</v>
      </c>
      <c r="I125" s="641">
        <v>35000</v>
      </c>
      <c r="J125" s="641">
        <v>35000</v>
      </c>
      <c r="K125" s="642">
        <f t="shared" si="20"/>
        <v>210000</v>
      </c>
      <c r="L125" s="874"/>
    </row>
    <row r="126" ht="25" customHeight="1" spans="1:12">
      <c r="A126" s="86">
        <v>6</v>
      </c>
      <c r="B126" s="643" t="s">
        <v>261</v>
      </c>
      <c r="C126" s="83" t="s">
        <v>495</v>
      </c>
      <c r="D126" s="640" t="s">
        <v>199</v>
      </c>
      <c r="E126" s="641">
        <v>35000</v>
      </c>
      <c r="F126" s="641">
        <v>35000</v>
      </c>
      <c r="G126" s="641">
        <v>35000</v>
      </c>
      <c r="H126" s="641">
        <v>35000</v>
      </c>
      <c r="I126" s="641">
        <v>35000</v>
      </c>
      <c r="J126" s="641">
        <v>35000</v>
      </c>
      <c r="K126" s="642">
        <f t="shared" si="20"/>
        <v>210000</v>
      </c>
      <c r="L126" s="874"/>
    </row>
    <row r="127" ht="25" customHeight="1" spans="1:12">
      <c r="A127" s="86">
        <v>7</v>
      </c>
      <c r="B127" s="643" t="s">
        <v>262</v>
      </c>
      <c r="C127" s="83" t="s">
        <v>260</v>
      </c>
      <c r="D127" s="640" t="s">
        <v>46</v>
      </c>
      <c r="E127" s="641">
        <v>35000</v>
      </c>
      <c r="F127" s="641">
        <v>35000</v>
      </c>
      <c r="G127" s="641">
        <v>35000</v>
      </c>
      <c r="H127" s="641">
        <v>35000</v>
      </c>
      <c r="I127" s="641">
        <v>35000</v>
      </c>
      <c r="J127" s="641">
        <v>35000</v>
      </c>
      <c r="K127" s="642">
        <f t="shared" si="20"/>
        <v>210000</v>
      </c>
      <c r="L127" s="874"/>
    </row>
    <row r="128" ht="25" customHeight="1" spans="1:12">
      <c r="A128" s="86">
        <v>8</v>
      </c>
      <c r="B128" s="643" t="s">
        <v>265</v>
      </c>
      <c r="C128" s="83" t="s">
        <v>266</v>
      </c>
      <c r="D128" s="95" t="s">
        <v>84</v>
      </c>
      <c r="E128" s="641">
        <v>35000</v>
      </c>
      <c r="F128" s="641">
        <v>35000</v>
      </c>
      <c r="G128" s="641">
        <v>35000</v>
      </c>
      <c r="H128" s="641">
        <v>35000</v>
      </c>
      <c r="I128" s="641">
        <v>35000</v>
      </c>
      <c r="J128" s="641">
        <v>35000</v>
      </c>
      <c r="K128" s="642">
        <f t="shared" si="20"/>
        <v>210000</v>
      </c>
      <c r="L128" s="874"/>
    </row>
    <row r="129" ht="25" customHeight="1" spans="1:12">
      <c r="A129" s="86">
        <v>9</v>
      </c>
      <c r="B129" s="351" t="s">
        <v>267</v>
      </c>
      <c r="C129" s="83" t="s">
        <v>268</v>
      </c>
      <c r="D129" s="640" t="s">
        <v>105</v>
      </c>
      <c r="E129" s="641">
        <v>35000</v>
      </c>
      <c r="F129" s="641">
        <v>35000</v>
      </c>
      <c r="G129" s="641">
        <v>35000</v>
      </c>
      <c r="H129" s="641">
        <v>35000</v>
      </c>
      <c r="I129" s="641">
        <v>35000</v>
      </c>
      <c r="J129" s="641">
        <v>35000</v>
      </c>
      <c r="K129" s="642">
        <f t="shared" si="20"/>
        <v>210000</v>
      </c>
      <c r="L129" s="874"/>
    </row>
    <row r="130" ht="25" customHeight="1" spans="1:12">
      <c r="A130" s="86">
        <v>10</v>
      </c>
      <c r="B130" s="351" t="s">
        <v>269</v>
      </c>
      <c r="C130" s="83" t="s">
        <v>264</v>
      </c>
      <c r="D130" s="640" t="s">
        <v>105</v>
      </c>
      <c r="E130" s="641">
        <v>35000</v>
      </c>
      <c r="F130" s="641">
        <v>35000</v>
      </c>
      <c r="G130" s="641">
        <v>35000</v>
      </c>
      <c r="H130" s="641">
        <v>35000</v>
      </c>
      <c r="I130" s="641">
        <v>35000</v>
      </c>
      <c r="J130" s="641">
        <v>35000</v>
      </c>
      <c r="K130" s="642">
        <f t="shared" si="20"/>
        <v>210000</v>
      </c>
      <c r="L130" s="874"/>
    </row>
    <row r="131" ht="25" customHeight="1" spans="1:12">
      <c r="A131" s="86"/>
      <c r="B131" s="864" t="s">
        <v>111</v>
      </c>
      <c r="C131" s="99" t="s">
        <v>496</v>
      </c>
      <c r="D131" s="640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3">
        <f t="shared" si="21"/>
        <v>2100000</v>
      </c>
      <c r="L131" s="874"/>
    </row>
    <row r="132" ht="25" customHeight="1" spans="1:12">
      <c r="A132" s="86"/>
      <c r="B132" s="867"/>
      <c r="C132" s="99"/>
      <c r="D132" s="640"/>
      <c r="E132" s="640"/>
      <c r="F132" s="647"/>
      <c r="G132" s="647"/>
      <c r="H132" s="647"/>
      <c r="I132" s="647"/>
      <c r="J132" s="647"/>
      <c r="K132" s="642"/>
      <c r="L132" s="874"/>
    </row>
    <row r="133" ht="25" customHeight="1" spans="1:12">
      <c r="A133" s="86"/>
      <c r="B133" s="864" t="s">
        <v>272</v>
      </c>
      <c r="C133" s="83"/>
      <c r="D133" s="640"/>
      <c r="E133" s="640"/>
      <c r="F133" s="641"/>
      <c r="G133" s="641"/>
      <c r="H133" s="641"/>
      <c r="I133" s="641"/>
      <c r="J133" s="641"/>
      <c r="K133" s="642"/>
      <c r="L133" s="874"/>
    </row>
    <row r="134" ht="25" customHeight="1" spans="1:12">
      <c r="A134" s="886">
        <v>1</v>
      </c>
      <c r="B134" s="870" t="s">
        <v>561</v>
      </c>
      <c r="C134" s="83" t="s">
        <v>562</v>
      </c>
      <c r="D134" s="640" t="s">
        <v>115</v>
      </c>
      <c r="E134" s="641">
        <v>35000</v>
      </c>
      <c r="F134" s="641">
        <v>35000</v>
      </c>
      <c r="G134" s="641">
        <v>35000</v>
      </c>
      <c r="H134" s="641">
        <v>35000</v>
      </c>
      <c r="I134" s="641">
        <v>35000</v>
      </c>
      <c r="J134" s="641">
        <v>35000</v>
      </c>
      <c r="K134" s="642">
        <f t="shared" ref="K134:K192" si="22">SUM(E134:J134)</f>
        <v>210000</v>
      </c>
      <c r="L134" s="874"/>
    </row>
    <row r="135" ht="25" customHeight="1" spans="1:12">
      <c r="A135" s="886">
        <v>2</v>
      </c>
      <c r="B135" s="643" t="s">
        <v>563</v>
      </c>
      <c r="C135" s="83" t="s">
        <v>564</v>
      </c>
      <c r="D135" s="640" t="s">
        <v>154</v>
      </c>
      <c r="E135" s="641">
        <v>35000</v>
      </c>
      <c r="F135" s="641">
        <v>35000</v>
      </c>
      <c r="G135" s="641">
        <v>35000</v>
      </c>
      <c r="H135" s="641">
        <v>35000</v>
      </c>
      <c r="I135" s="641">
        <v>35000</v>
      </c>
      <c r="J135" s="641">
        <v>35000</v>
      </c>
      <c r="K135" s="642">
        <f t="shared" si="22"/>
        <v>210000</v>
      </c>
      <c r="L135" s="874"/>
    </row>
    <row r="136" ht="25" customHeight="1" spans="1:12">
      <c r="A136" s="886">
        <v>3</v>
      </c>
      <c r="B136" s="639" t="s">
        <v>276</v>
      </c>
      <c r="C136" s="86" t="s">
        <v>277</v>
      </c>
      <c r="D136" s="871" t="s">
        <v>154</v>
      </c>
      <c r="E136" s="641">
        <v>35000</v>
      </c>
      <c r="F136" s="641">
        <v>35000</v>
      </c>
      <c r="G136" s="641">
        <v>35000</v>
      </c>
      <c r="H136" s="641">
        <v>35000</v>
      </c>
      <c r="I136" s="641">
        <v>35000</v>
      </c>
      <c r="J136" s="641">
        <v>35000</v>
      </c>
      <c r="K136" s="642">
        <f t="shared" si="22"/>
        <v>210000</v>
      </c>
      <c r="L136" s="874"/>
    </row>
    <row r="137" ht="25" customHeight="1" spans="1:12">
      <c r="A137" s="886">
        <v>4</v>
      </c>
      <c r="B137" s="643" t="s">
        <v>278</v>
      </c>
      <c r="C137" s="83" t="s">
        <v>565</v>
      </c>
      <c r="D137" s="640" t="s">
        <v>41</v>
      </c>
      <c r="E137" s="641">
        <v>35000</v>
      </c>
      <c r="F137" s="641">
        <v>35000</v>
      </c>
      <c r="G137" s="641">
        <v>35000</v>
      </c>
      <c r="H137" s="641">
        <v>35000</v>
      </c>
      <c r="I137" s="641">
        <v>35000</v>
      </c>
      <c r="J137" s="641">
        <v>35000</v>
      </c>
      <c r="K137" s="642">
        <f t="shared" si="22"/>
        <v>210000</v>
      </c>
      <c r="L137" s="874"/>
    </row>
    <row r="138" ht="25" customHeight="1" spans="1:12">
      <c r="A138" s="886">
        <v>5</v>
      </c>
      <c r="B138" s="643" t="s">
        <v>280</v>
      </c>
      <c r="C138" s="86" t="s">
        <v>566</v>
      </c>
      <c r="D138" s="640" t="s">
        <v>41</v>
      </c>
      <c r="E138" s="641">
        <v>35000</v>
      </c>
      <c r="F138" s="641">
        <v>35000</v>
      </c>
      <c r="G138" s="641">
        <v>35000</v>
      </c>
      <c r="H138" s="641">
        <v>35000</v>
      </c>
      <c r="I138" s="641">
        <v>35000</v>
      </c>
      <c r="J138" s="641">
        <v>35000</v>
      </c>
      <c r="K138" s="642">
        <f t="shared" si="22"/>
        <v>210000</v>
      </c>
      <c r="L138" s="874"/>
    </row>
    <row r="139" ht="25" customHeight="1" spans="1:12">
      <c r="A139" s="886">
        <v>6</v>
      </c>
      <c r="B139" s="643" t="s">
        <v>282</v>
      </c>
      <c r="C139" s="86" t="s">
        <v>566</v>
      </c>
      <c r="D139" s="640" t="s">
        <v>41</v>
      </c>
      <c r="E139" s="641">
        <v>35000</v>
      </c>
      <c r="F139" s="641">
        <v>35000</v>
      </c>
      <c r="G139" s="641">
        <v>35000</v>
      </c>
      <c r="H139" s="641">
        <v>35000</v>
      </c>
      <c r="I139" s="641">
        <v>35000</v>
      </c>
      <c r="J139" s="641">
        <v>35000</v>
      </c>
      <c r="K139" s="642">
        <f t="shared" si="22"/>
        <v>210000</v>
      </c>
      <c r="L139" s="874"/>
    </row>
    <row r="140" ht="25" customHeight="1" spans="1:12">
      <c r="A140" s="886">
        <v>7</v>
      </c>
      <c r="B140" s="643" t="s">
        <v>215</v>
      </c>
      <c r="C140" s="83" t="s">
        <v>567</v>
      </c>
      <c r="D140" s="640" t="s">
        <v>65</v>
      </c>
      <c r="E140" s="641">
        <v>35000</v>
      </c>
      <c r="F140" s="641">
        <v>35000</v>
      </c>
      <c r="G140" s="641">
        <v>35000</v>
      </c>
      <c r="H140" s="641">
        <v>35000</v>
      </c>
      <c r="I140" s="641">
        <v>35000</v>
      </c>
      <c r="J140" s="641">
        <v>35000</v>
      </c>
      <c r="K140" s="642">
        <f t="shared" si="22"/>
        <v>210000</v>
      </c>
      <c r="L140" s="874"/>
    </row>
    <row r="141" ht="25" customHeight="1" spans="1:12">
      <c r="A141" s="886">
        <v>8</v>
      </c>
      <c r="B141" s="643" t="s">
        <v>283</v>
      </c>
      <c r="C141" s="83" t="s">
        <v>567</v>
      </c>
      <c r="D141" s="640" t="s">
        <v>65</v>
      </c>
      <c r="E141" s="641">
        <v>35000</v>
      </c>
      <c r="F141" s="641">
        <v>35000</v>
      </c>
      <c r="G141" s="641">
        <v>35000</v>
      </c>
      <c r="H141" s="641">
        <v>35000</v>
      </c>
      <c r="I141" s="641">
        <v>35000</v>
      </c>
      <c r="J141" s="641">
        <v>35000</v>
      </c>
      <c r="K141" s="642">
        <f t="shared" si="22"/>
        <v>210000</v>
      </c>
      <c r="L141" s="874"/>
    </row>
    <row r="142" ht="25" customHeight="1" spans="1:12">
      <c r="A142" s="886">
        <v>9</v>
      </c>
      <c r="B142" s="643" t="s">
        <v>284</v>
      </c>
      <c r="C142" s="86" t="s">
        <v>568</v>
      </c>
      <c r="D142" s="640" t="s">
        <v>65</v>
      </c>
      <c r="E142" s="641">
        <v>35000</v>
      </c>
      <c r="F142" s="641">
        <v>35000</v>
      </c>
      <c r="G142" s="641">
        <v>35000</v>
      </c>
      <c r="H142" s="641">
        <v>35000</v>
      </c>
      <c r="I142" s="641">
        <v>35000</v>
      </c>
      <c r="J142" s="641">
        <v>35000</v>
      </c>
      <c r="K142" s="642">
        <f t="shared" si="22"/>
        <v>210000</v>
      </c>
      <c r="L142" s="874"/>
    </row>
    <row r="143" ht="25" customHeight="1" spans="1:12">
      <c r="A143" s="886">
        <v>10</v>
      </c>
      <c r="B143" s="643" t="s">
        <v>286</v>
      </c>
      <c r="C143" s="83" t="s">
        <v>287</v>
      </c>
      <c r="D143" s="640" t="s">
        <v>162</v>
      </c>
      <c r="E143" s="641">
        <v>35000</v>
      </c>
      <c r="F143" s="641">
        <v>35000</v>
      </c>
      <c r="G143" s="641">
        <v>35000</v>
      </c>
      <c r="H143" s="641">
        <v>35000</v>
      </c>
      <c r="I143" s="641">
        <v>35000</v>
      </c>
      <c r="J143" s="641">
        <v>35000</v>
      </c>
      <c r="K143" s="642">
        <f t="shared" si="22"/>
        <v>210000</v>
      </c>
      <c r="L143" s="874"/>
    </row>
    <row r="144" ht="25" customHeight="1" spans="1:12">
      <c r="A144" s="886">
        <v>11</v>
      </c>
      <c r="B144" s="643" t="s">
        <v>288</v>
      </c>
      <c r="C144" s="83" t="s">
        <v>289</v>
      </c>
      <c r="D144" s="640" t="s">
        <v>68</v>
      </c>
      <c r="E144" s="641">
        <v>35000</v>
      </c>
      <c r="F144" s="641">
        <v>35000</v>
      </c>
      <c r="G144" s="641">
        <v>35000</v>
      </c>
      <c r="H144" s="641">
        <v>35000</v>
      </c>
      <c r="I144" s="641">
        <v>35000</v>
      </c>
      <c r="J144" s="641">
        <v>35000</v>
      </c>
      <c r="K144" s="642">
        <f t="shared" si="22"/>
        <v>210000</v>
      </c>
      <c r="L144" s="874"/>
    </row>
    <row r="145" ht="25" customHeight="1" spans="1:12">
      <c r="A145" s="886">
        <v>12</v>
      </c>
      <c r="B145" s="643" t="s">
        <v>60</v>
      </c>
      <c r="C145" s="83" t="s">
        <v>569</v>
      </c>
      <c r="D145" s="640" t="s">
        <v>65</v>
      </c>
      <c r="E145" s="641">
        <v>35000</v>
      </c>
      <c r="F145" s="641">
        <v>35000</v>
      </c>
      <c r="G145" s="641">
        <v>35000</v>
      </c>
      <c r="H145" s="641">
        <v>35000</v>
      </c>
      <c r="I145" s="641">
        <v>35000</v>
      </c>
      <c r="J145" s="641">
        <v>35000</v>
      </c>
      <c r="K145" s="642">
        <f t="shared" si="22"/>
        <v>210000</v>
      </c>
      <c r="L145" s="874"/>
    </row>
    <row r="146" ht="25" customHeight="1" spans="1:12">
      <c r="A146" s="886">
        <v>13</v>
      </c>
      <c r="B146" s="351" t="s">
        <v>290</v>
      </c>
      <c r="C146" s="86" t="s">
        <v>291</v>
      </c>
      <c r="D146" s="640" t="s">
        <v>137</v>
      </c>
      <c r="E146" s="641">
        <v>35000</v>
      </c>
      <c r="F146" s="641">
        <v>35000</v>
      </c>
      <c r="G146" s="641">
        <v>35000</v>
      </c>
      <c r="H146" s="641">
        <v>35000</v>
      </c>
      <c r="I146" s="641">
        <v>35000</v>
      </c>
      <c r="J146" s="641">
        <v>35000</v>
      </c>
      <c r="K146" s="642">
        <f t="shared" si="22"/>
        <v>210000</v>
      </c>
      <c r="L146" s="874"/>
    </row>
    <row r="147" ht="25" customHeight="1" spans="1:12">
      <c r="A147" s="886">
        <v>14</v>
      </c>
      <c r="B147" s="643" t="s">
        <v>292</v>
      </c>
      <c r="C147" s="86" t="s">
        <v>570</v>
      </c>
      <c r="D147" s="640" t="s">
        <v>119</v>
      </c>
      <c r="E147" s="641">
        <v>35000</v>
      </c>
      <c r="F147" s="641">
        <v>35000</v>
      </c>
      <c r="G147" s="641">
        <v>35000</v>
      </c>
      <c r="H147" s="641">
        <v>35000</v>
      </c>
      <c r="I147" s="641">
        <v>35000</v>
      </c>
      <c r="J147" s="641">
        <v>35000</v>
      </c>
      <c r="K147" s="642">
        <f t="shared" si="22"/>
        <v>210000</v>
      </c>
      <c r="L147" s="874"/>
    </row>
    <row r="148" ht="25" customHeight="1" spans="1:12">
      <c r="A148" s="886">
        <v>15</v>
      </c>
      <c r="B148" s="643" t="s">
        <v>293</v>
      </c>
      <c r="C148" s="86" t="s">
        <v>570</v>
      </c>
      <c r="D148" s="640" t="s">
        <v>302</v>
      </c>
      <c r="E148" s="641">
        <v>35000</v>
      </c>
      <c r="F148" s="641">
        <v>35000</v>
      </c>
      <c r="G148" s="641">
        <v>35000</v>
      </c>
      <c r="H148" s="641">
        <v>35000</v>
      </c>
      <c r="I148" s="641">
        <v>35000</v>
      </c>
      <c r="J148" s="641">
        <v>35000</v>
      </c>
      <c r="K148" s="642">
        <f t="shared" si="22"/>
        <v>210000</v>
      </c>
      <c r="L148" s="874"/>
    </row>
    <row r="149" ht="25" customHeight="1" spans="1:12">
      <c r="A149" s="886">
        <v>16</v>
      </c>
      <c r="B149" s="643" t="s">
        <v>295</v>
      </c>
      <c r="C149" s="86" t="s">
        <v>570</v>
      </c>
      <c r="D149" s="640" t="s">
        <v>302</v>
      </c>
      <c r="E149" s="641">
        <v>35000</v>
      </c>
      <c r="F149" s="641">
        <v>35000</v>
      </c>
      <c r="G149" s="641">
        <v>35000</v>
      </c>
      <c r="H149" s="641">
        <v>35000</v>
      </c>
      <c r="I149" s="641">
        <v>35000</v>
      </c>
      <c r="J149" s="641">
        <v>35000</v>
      </c>
      <c r="K149" s="642">
        <f t="shared" si="22"/>
        <v>210000</v>
      </c>
      <c r="L149" s="874"/>
    </row>
    <row r="150" ht="25" customHeight="1" spans="1:12">
      <c r="A150" s="886">
        <v>17</v>
      </c>
      <c r="B150" s="643" t="s">
        <v>296</v>
      </c>
      <c r="C150" s="83" t="s">
        <v>297</v>
      </c>
      <c r="D150" s="640" t="s">
        <v>76</v>
      </c>
      <c r="E150" s="641">
        <v>35000</v>
      </c>
      <c r="F150" s="641">
        <v>35000</v>
      </c>
      <c r="G150" s="641">
        <v>35000</v>
      </c>
      <c r="H150" s="641">
        <v>35000</v>
      </c>
      <c r="I150" s="641">
        <v>35000</v>
      </c>
      <c r="J150" s="641">
        <v>35000</v>
      </c>
      <c r="K150" s="642">
        <f t="shared" si="22"/>
        <v>210000</v>
      </c>
      <c r="L150" s="874"/>
    </row>
    <row r="151" ht="25" customHeight="1" spans="1:12">
      <c r="A151" s="886">
        <v>18</v>
      </c>
      <c r="B151" s="643" t="s">
        <v>298</v>
      </c>
      <c r="C151" s="83" t="s">
        <v>299</v>
      </c>
      <c r="D151" s="95" t="s">
        <v>87</v>
      </c>
      <c r="E151" s="641">
        <v>35000</v>
      </c>
      <c r="F151" s="641">
        <v>35000</v>
      </c>
      <c r="G151" s="641">
        <v>35000</v>
      </c>
      <c r="H151" s="641">
        <v>35000</v>
      </c>
      <c r="I151" s="641">
        <v>35000</v>
      </c>
      <c r="J151" s="641">
        <v>35000</v>
      </c>
      <c r="K151" s="642">
        <f t="shared" si="22"/>
        <v>210000</v>
      </c>
      <c r="L151" s="874"/>
    </row>
    <row r="152" ht="25" customHeight="1" spans="1:12">
      <c r="A152" s="886">
        <v>19</v>
      </c>
      <c r="B152" s="643" t="s">
        <v>300</v>
      </c>
      <c r="C152" s="83" t="s">
        <v>301</v>
      </c>
      <c r="D152" s="640" t="s">
        <v>119</v>
      </c>
      <c r="E152" s="641">
        <v>35000</v>
      </c>
      <c r="F152" s="641">
        <v>35000</v>
      </c>
      <c r="G152" s="641">
        <v>35000</v>
      </c>
      <c r="H152" s="641">
        <v>35000</v>
      </c>
      <c r="I152" s="641">
        <v>35000</v>
      </c>
      <c r="J152" s="641">
        <v>35000</v>
      </c>
      <c r="K152" s="642">
        <f t="shared" si="22"/>
        <v>210000</v>
      </c>
      <c r="L152" s="874"/>
    </row>
    <row r="153" ht="25" customHeight="1" spans="1:12">
      <c r="A153" s="886">
        <v>20</v>
      </c>
      <c r="B153" s="643" t="s">
        <v>303</v>
      </c>
      <c r="C153" s="83" t="s">
        <v>304</v>
      </c>
      <c r="D153" s="640" t="s">
        <v>84</v>
      </c>
      <c r="E153" s="641">
        <v>35000</v>
      </c>
      <c r="F153" s="641">
        <v>35000</v>
      </c>
      <c r="G153" s="641">
        <v>35000</v>
      </c>
      <c r="H153" s="641">
        <v>35000</v>
      </c>
      <c r="I153" s="641">
        <v>35000</v>
      </c>
      <c r="J153" s="641">
        <v>35000</v>
      </c>
      <c r="K153" s="642">
        <f t="shared" si="22"/>
        <v>210000</v>
      </c>
      <c r="L153" s="874"/>
    </row>
    <row r="154" ht="25" customHeight="1" spans="1:12">
      <c r="A154" s="886">
        <v>21</v>
      </c>
      <c r="B154" s="643" t="s">
        <v>305</v>
      </c>
      <c r="C154" s="83" t="s">
        <v>306</v>
      </c>
      <c r="D154" s="640" t="s">
        <v>119</v>
      </c>
      <c r="E154" s="641">
        <v>35000</v>
      </c>
      <c r="F154" s="641">
        <v>35000</v>
      </c>
      <c r="G154" s="641">
        <v>35000</v>
      </c>
      <c r="H154" s="641">
        <v>35000</v>
      </c>
      <c r="I154" s="641">
        <v>35000</v>
      </c>
      <c r="J154" s="641">
        <v>35000</v>
      </c>
      <c r="K154" s="642">
        <f t="shared" si="22"/>
        <v>210000</v>
      </c>
      <c r="L154" s="874"/>
    </row>
    <row r="155" ht="25" customHeight="1" spans="1:12">
      <c r="A155" s="886">
        <v>22</v>
      </c>
      <c r="B155" s="643" t="s">
        <v>307</v>
      </c>
      <c r="C155" s="83" t="s">
        <v>308</v>
      </c>
      <c r="D155" s="640" t="s">
        <v>84</v>
      </c>
      <c r="E155" s="641">
        <v>35000</v>
      </c>
      <c r="F155" s="641">
        <v>35000</v>
      </c>
      <c r="G155" s="641">
        <v>35000</v>
      </c>
      <c r="H155" s="641">
        <v>35000</v>
      </c>
      <c r="I155" s="641">
        <v>35000</v>
      </c>
      <c r="J155" s="641">
        <v>35000</v>
      </c>
      <c r="K155" s="642">
        <f t="shared" si="22"/>
        <v>210000</v>
      </c>
      <c r="L155" s="874"/>
    </row>
    <row r="156" ht="25" customHeight="1" spans="1:12">
      <c r="A156" s="886">
        <v>23</v>
      </c>
      <c r="B156" s="351" t="s">
        <v>309</v>
      </c>
      <c r="C156" s="83" t="s">
        <v>310</v>
      </c>
      <c r="D156" s="640" t="s">
        <v>96</v>
      </c>
      <c r="E156" s="641">
        <v>35000</v>
      </c>
      <c r="F156" s="641">
        <v>35000</v>
      </c>
      <c r="G156" s="641">
        <v>35000</v>
      </c>
      <c r="H156" s="641">
        <v>35000</v>
      </c>
      <c r="I156" s="641">
        <v>35000</v>
      </c>
      <c r="J156" s="641">
        <v>35000</v>
      </c>
      <c r="K156" s="642">
        <f t="shared" si="22"/>
        <v>210000</v>
      </c>
      <c r="L156" s="874"/>
    </row>
    <row r="157" ht="25" customHeight="1" spans="1:12">
      <c r="A157" s="886">
        <v>24</v>
      </c>
      <c r="B157" s="351" t="s">
        <v>314</v>
      </c>
      <c r="C157" s="83" t="s">
        <v>315</v>
      </c>
      <c r="D157" s="640" t="s">
        <v>105</v>
      </c>
      <c r="E157" s="641">
        <v>35000</v>
      </c>
      <c r="F157" s="641">
        <v>35000</v>
      </c>
      <c r="G157" s="641">
        <v>35000</v>
      </c>
      <c r="H157" s="641">
        <v>35000</v>
      </c>
      <c r="I157" s="641">
        <v>35000</v>
      </c>
      <c r="J157" s="641">
        <v>35000</v>
      </c>
      <c r="K157" s="642">
        <f t="shared" si="22"/>
        <v>210000</v>
      </c>
      <c r="L157" s="874"/>
    </row>
    <row r="158" ht="25" customHeight="1" spans="1:12">
      <c r="A158" s="886">
        <v>25</v>
      </c>
      <c r="B158" s="351" t="s">
        <v>316</v>
      </c>
      <c r="C158" s="83" t="s">
        <v>317</v>
      </c>
      <c r="D158" s="640" t="s">
        <v>105</v>
      </c>
      <c r="E158" s="641">
        <v>35000</v>
      </c>
      <c r="F158" s="641">
        <v>35000</v>
      </c>
      <c r="G158" s="641">
        <v>35000</v>
      </c>
      <c r="H158" s="641">
        <v>35000</v>
      </c>
      <c r="I158" s="641">
        <v>35000</v>
      </c>
      <c r="J158" s="641">
        <v>35000</v>
      </c>
      <c r="K158" s="642">
        <f t="shared" si="22"/>
        <v>210000</v>
      </c>
      <c r="L158" s="874"/>
    </row>
    <row r="159" ht="25" customHeight="1" spans="1:12">
      <c r="A159" s="886">
        <v>26</v>
      </c>
      <c r="B159" s="351" t="s">
        <v>318</v>
      </c>
      <c r="C159" s="83" t="s">
        <v>319</v>
      </c>
      <c r="D159" s="640" t="s">
        <v>105</v>
      </c>
      <c r="E159" s="641">
        <v>35000</v>
      </c>
      <c r="F159" s="641">
        <v>35000</v>
      </c>
      <c r="G159" s="641">
        <v>35000</v>
      </c>
      <c r="H159" s="641">
        <v>35000</v>
      </c>
      <c r="I159" s="641">
        <v>35000</v>
      </c>
      <c r="J159" s="641">
        <v>35000</v>
      </c>
      <c r="K159" s="642">
        <f t="shared" si="22"/>
        <v>210000</v>
      </c>
      <c r="L159" s="874"/>
    </row>
    <row r="160" ht="25" customHeight="1" spans="1:12">
      <c r="A160" s="886">
        <v>27</v>
      </c>
      <c r="B160" s="351" t="s">
        <v>320</v>
      </c>
      <c r="C160" s="83" t="s">
        <v>321</v>
      </c>
      <c r="D160" s="640" t="s">
        <v>102</v>
      </c>
      <c r="E160" s="641">
        <v>35000</v>
      </c>
      <c r="F160" s="641">
        <v>35000</v>
      </c>
      <c r="G160" s="641">
        <v>35000</v>
      </c>
      <c r="H160" s="641">
        <v>35000</v>
      </c>
      <c r="I160" s="641">
        <v>35000</v>
      </c>
      <c r="J160" s="641">
        <v>35000</v>
      </c>
      <c r="K160" s="642">
        <f t="shared" si="22"/>
        <v>210000</v>
      </c>
      <c r="L160" s="874"/>
    </row>
    <row r="161" ht="25" customHeight="1" spans="1:12">
      <c r="A161" s="886">
        <v>28</v>
      </c>
      <c r="B161" s="351" t="s">
        <v>322</v>
      </c>
      <c r="C161" s="83" t="s">
        <v>317</v>
      </c>
      <c r="D161" s="640" t="s">
        <v>105</v>
      </c>
      <c r="E161" s="641">
        <v>35000</v>
      </c>
      <c r="F161" s="641">
        <v>35000</v>
      </c>
      <c r="G161" s="641">
        <v>35000</v>
      </c>
      <c r="H161" s="641">
        <v>35000</v>
      </c>
      <c r="I161" s="641">
        <v>35000</v>
      </c>
      <c r="J161" s="641">
        <v>35000</v>
      </c>
      <c r="K161" s="642">
        <f t="shared" si="22"/>
        <v>210000</v>
      </c>
      <c r="L161" s="874"/>
    </row>
    <row r="162" ht="25" customHeight="1" spans="1:12">
      <c r="A162" s="886">
        <v>29</v>
      </c>
      <c r="B162" s="643" t="s">
        <v>331</v>
      </c>
      <c r="C162" s="83" t="s">
        <v>332</v>
      </c>
      <c r="D162" s="640" t="s">
        <v>339</v>
      </c>
      <c r="E162" s="641">
        <v>35000</v>
      </c>
      <c r="F162" s="641">
        <v>35000</v>
      </c>
      <c r="G162" s="641">
        <v>35000</v>
      </c>
      <c r="H162" s="641">
        <v>35000</v>
      </c>
      <c r="I162" s="641">
        <v>35000</v>
      </c>
      <c r="J162" s="641">
        <v>35000</v>
      </c>
      <c r="K162" s="642">
        <f t="shared" si="22"/>
        <v>210000</v>
      </c>
      <c r="L162" s="874"/>
    </row>
    <row r="163" ht="25" customHeight="1" spans="1:12">
      <c r="A163" s="886">
        <v>30</v>
      </c>
      <c r="B163" s="643" t="s">
        <v>334</v>
      </c>
      <c r="C163" s="83" t="s">
        <v>332</v>
      </c>
      <c r="D163" s="640" t="s">
        <v>339</v>
      </c>
      <c r="E163" s="641">
        <v>35000</v>
      </c>
      <c r="F163" s="641">
        <v>35000</v>
      </c>
      <c r="G163" s="641">
        <v>35000</v>
      </c>
      <c r="H163" s="641">
        <v>35000</v>
      </c>
      <c r="I163" s="641">
        <v>35000</v>
      </c>
      <c r="J163" s="641">
        <v>35000</v>
      </c>
      <c r="K163" s="642">
        <f t="shared" si="22"/>
        <v>210000</v>
      </c>
      <c r="L163" s="874"/>
    </row>
    <row r="164" ht="25" customHeight="1" spans="1:12">
      <c r="A164" s="886">
        <v>31</v>
      </c>
      <c r="B164" s="643" t="s">
        <v>335</v>
      </c>
      <c r="C164" s="83" t="s">
        <v>332</v>
      </c>
      <c r="D164" s="640" t="s">
        <v>339</v>
      </c>
      <c r="E164" s="641">
        <v>35000</v>
      </c>
      <c r="F164" s="641">
        <v>35000</v>
      </c>
      <c r="G164" s="641">
        <v>35000</v>
      </c>
      <c r="H164" s="641">
        <v>35000</v>
      </c>
      <c r="I164" s="641">
        <v>35000</v>
      </c>
      <c r="J164" s="641">
        <v>35000</v>
      </c>
      <c r="K164" s="642">
        <f t="shared" si="22"/>
        <v>210000</v>
      </c>
      <c r="L164" s="874"/>
    </row>
    <row r="165" ht="25" customHeight="1" spans="1:12">
      <c r="A165" s="886">
        <v>32</v>
      </c>
      <c r="B165" s="643" t="s">
        <v>336</v>
      </c>
      <c r="C165" s="83" t="s">
        <v>332</v>
      </c>
      <c r="D165" s="640" t="s">
        <v>339</v>
      </c>
      <c r="E165" s="641">
        <v>35000</v>
      </c>
      <c r="F165" s="641">
        <v>35000</v>
      </c>
      <c r="G165" s="641">
        <v>35000</v>
      </c>
      <c r="H165" s="641">
        <v>35000</v>
      </c>
      <c r="I165" s="641">
        <v>35000</v>
      </c>
      <c r="J165" s="641">
        <v>35000</v>
      </c>
      <c r="K165" s="642">
        <f t="shared" si="22"/>
        <v>210000</v>
      </c>
      <c r="L165" s="874"/>
    </row>
    <row r="166" ht="25" customHeight="1" spans="1:12">
      <c r="A166" s="886">
        <v>33</v>
      </c>
      <c r="B166" s="643" t="s">
        <v>337</v>
      </c>
      <c r="C166" s="83" t="s">
        <v>332</v>
      </c>
      <c r="D166" s="640" t="s">
        <v>339</v>
      </c>
      <c r="E166" s="641">
        <v>35000</v>
      </c>
      <c r="F166" s="641">
        <v>35000</v>
      </c>
      <c r="G166" s="641">
        <v>35000</v>
      </c>
      <c r="H166" s="641">
        <v>35000</v>
      </c>
      <c r="I166" s="641">
        <v>35000</v>
      </c>
      <c r="J166" s="641">
        <v>35000</v>
      </c>
      <c r="K166" s="642">
        <f t="shared" si="22"/>
        <v>210000</v>
      </c>
      <c r="L166" s="874"/>
    </row>
    <row r="167" ht="25" customHeight="1" spans="1:12">
      <c r="A167" s="886">
        <v>34</v>
      </c>
      <c r="B167" s="643" t="s">
        <v>338</v>
      </c>
      <c r="C167" s="83" t="s">
        <v>332</v>
      </c>
      <c r="D167" s="640" t="s">
        <v>350</v>
      </c>
      <c r="E167" s="641">
        <v>35000</v>
      </c>
      <c r="F167" s="641">
        <v>35000</v>
      </c>
      <c r="G167" s="641">
        <v>35000</v>
      </c>
      <c r="H167" s="641">
        <v>35000</v>
      </c>
      <c r="I167" s="641">
        <v>35000</v>
      </c>
      <c r="J167" s="641">
        <v>35000</v>
      </c>
      <c r="K167" s="642">
        <f t="shared" si="22"/>
        <v>210000</v>
      </c>
      <c r="L167" s="874"/>
    </row>
    <row r="168" ht="25" customHeight="1" spans="1:12">
      <c r="A168" s="886">
        <v>35</v>
      </c>
      <c r="B168" s="643" t="s">
        <v>340</v>
      </c>
      <c r="C168" s="83" t="s">
        <v>332</v>
      </c>
      <c r="D168" s="640" t="s">
        <v>350</v>
      </c>
      <c r="E168" s="641">
        <v>35000</v>
      </c>
      <c r="F168" s="641">
        <v>35000</v>
      </c>
      <c r="G168" s="641">
        <v>35000</v>
      </c>
      <c r="H168" s="641">
        <v>35000</v>
      </c>
      <c r="I168" s="641">
        <v>35000</v>
      </c>
      <c r="J168" s="641">
        <v>35000</v>
      </c>
      <c r="K168" s="642">
        <f t="shared" si="22"/>
        <v>210000</v>
      </c>
      <c r="L168" s="874"/>
    </row>
    <row r="169" ht="25" customHeight="1" spans="1:12">
      <c r="A169" s="886">
        <v>36</v>
      </c>
      <c r="B169" s="639" t="s">
        <v>341</v>
      </c>
      <c r="C169" s="83" t="s">
        <v>332</v>
      </c>
      <c r="D169" s="640" t="s">
        <v>350</v>
      </c>
      <c r="E169" s="641">
        <v>35000</v>
      </c>
      <c r="F169" s="641">
        <v>35000</v>
      </c>
      <c r="G169" s="641">
        <v>35000</v>
      </c>
      <c r="H169" s="641">
        <v>35000</v>
      </c>
      <c r="I169" s="641">
        <v>35000</v>
      </c>
      <c r="J169" s="641">
        <v>35000</v>
      </c>
      <c r="K169" s="642">
        <f t="shared" si="22"/>
        <v>210000</v>
      </c>
      <c r="L169" s="874"/>
    </row>
    <row r="170" ht="25" customHeight="1" spans="1:12">
      <c r="A170" s="886">
        <v>37</v>
      </c>
      <c r="B170" s="643" t="s">
        <v>342</v>
      </c>
      <c r="C170" s="83" t="s">
        <v>332</v>
      </c>
      <c r="D170" s="640" t="s">
        <v>350</v>
      </c>
      <c r="E170" s="641">
        <v>35000</v>
      </c>
      <c r="F170" s="641">
        <v>35000</v>
      </c>
      <c r="G170" s="641">
        <v>35000</v>
      </c>
      <c r="H170" s="641">
        <v>35000</v>
      </c>
      <c r="I170" s="641">
        <v>35000</v>
      </c>
      <c r="J170" s="641">
        <v>35000</v>
      </c>
      <c r="K170" s="642">
        <f t="shared" si="22"/>
        <v>210000</v>
      </c>
      <c r="L170" s="874"/>
    </row>
    <row r="171" ht="25" customHeight="1" spans="1:12">
      <c r="A171" s="886">
        <v>38</v>
      </c>
      <c r="B171" s="351" t="s">
        <v>343</v>
      </c>
      <c r="C171" s="83" t="s">
        <v>332</v>
      </c>
      <c r="D171" s="640" t="s">
        <v>350</v>
      </c>
      <c r="E171" s="641">
        <v>35000</v>
      </c>
      <c r="F171" s="641">
        <v>35000</v>
      </c>
      <c r="G171" s="641">
        <v>35000</v>
      </c>
      <c r="H171" s="641">
        <v>35000</v>
      </c>
      <c r="I171" s="641">
        <v>35000</v>
      </c>
      <c r="J171" s="641">
        <v>35000</v>
      </c>
      <c r="K171" s="642">
        <f t="shared" si="22"/>
        <v>210000</v>
      </c>
      <c r="L171" s="874"/>
    </row>
    <row r="172" ht="25" customHeight="1" spans="1:12">
      <c r="A172" s="886">
        <v>39</v>
      </c>
      <c r="B172" s="351" t="s">
        <v>344</v>
      </c>
      <c r="C172" s="83" t="s">
        <v>332</v>
      </c>
      <c r="D172" s="640" t="s">
        <v>350</v>
      </c>
      <c r="E172" s="641">
        <v>35000</v>
      </c>
      <c r="F172" s="641">
        <v>35000</v>
      </c>
      <c r="G172" s="641">
        <v>35000</v>
      </c>
      <c r="H172" s="641">
        <v>35000</v>
      </c>
      <c r="I172" s="641">
        <v>35000</v>
      </c>
      <c r="J172" s="641">
        <v>35000</v>
      </c>
      <c r="K172" s="642">
        <f t="shared" si="22"/>
        <v>210000</v>
      </c>
      <c r="L172" s="874"/>
    </row>
    <row r="173" ht="25" customHeight="1" spans="1:12">
      <c r="A173" s="886">
        <v>40</v>
      </c>
      <c r="B173" s="643" t="s">
        <v>345</v>
      </c>
      <c r="C173" s="83" t="s">
        <v>346</v>
      </c>
      <c r="D173" s="640" t="s">
        <v>353</v>
      </c>
      <c r="E173" s="641">
        <v>35000</v>
      </c>
      <c r="F173" s="641">
        <v>35000</v>
      </c>
      <c r="G173" s="641">
        <v>35000</v>
      </c>
      <c r="H173" s="641">
        <v>35000</v>
      </c>
      <c r="I173" s="641">
        <v>35000</v>
      </c>
      <c r="J173" s="641">
        <v>35000</v>
      </c>
      <c r="K173" s="642">
        <f t="shared" si="22"/>
        <v>210000</v>
      </c>
      <c r="L173" s="874"/>
    </row>
    <row r="174" ht="25" customHeight="1" spans="1:12">
      <c r="A174" s="886">
        <v>41</v>
      </c>
      <c r="B174" s="643" t="s">
        <v>348</v>
      </c>
      <c r="C174" s="83" t="s">
        <v>346</v>
      </c>
      <c r="D174" s="640" t="s">
        <v>353</v>
      </c>
      <c r="E174" s="641">
        <v>35000</v>
      </c>
      <c r="F174" s="641">
        <v>35000</v>
      </c>
      <c r="G174" s="641">
        <v>35000</v>
      </c>
      <c r="H174" s="641">
        <v>35000</v>
      </c>
      <c r="I174" s="641">
        <v>35000</v>
      </c>
      <c r="J174" s="641">
        <v>35000</v>
      </c>
      <c r="K174" s="642">
        <f t="shared" si="22"/>
        <v>210000</v>
      </c>
      <c r="L174" s="874"/>
    </row>
    <row r="175" ht="25" customHeight="1" spans="1:12">
      <c r="A175" s="886">
        <v>42</v>
      </c>
      <c r="B175" s="351" t="s">
        <v>349</v>
      </c>
      <c r="C175" s="83" t="s">
        <v>346</v>
      </c>
      <c r="D175" s="640" t="s">
        <v>347</v>
      </c>
      <c r="E175" s="641">
        <v>35000</v>
      </c>
      <c r="F175" s="641">
        <v>35000</v>
      </c>
      <c r="G175" s="641">
        <v>35000</v>
      </c>
      <c r="H175" s="641">
        <v>35000</v>
      </c>
      <c r="I175" s="641">
        <v>35000</v>
      </c>
      <c r="J175" s="641">
        <v>35000</v>
      </c>
      <c r="K175" s="642">
        <f t="shared" si="22"/>
        <v>210000</v>
      </c>
      <c r="L175" s="874"/>
    </row>
    <row r="176" ht="25" customHeight="1" spans="1:12">
      <c r="A176" s="886">
        <v>43</v>
      </c>
      <c r="B176" s="643" t="s">
        <v>351</v>
      </c>
      <c r="C176" s="83" t="s">
        <v>352</v>
      </c>
      <c r="D176" s="640" t="s">
        <v>356</v>
      </c>
      <c r="E176" s="641">
        <v>35000</v>
      </c>
      <c r="F176" s="641">
        <v>35000</v>
      </c>
      <c r="G176" s="641">
        <v>35000</v>
      </c>
      <c r="H176" s="641">
        <v>35000</v>
      </c>
      <c r="I176" s="641">
        <v>35000</v>
      </c>
      <c r="J176" s="641">
        <v>35000</v>
      </c>
      <c r="K176" s="642">
        <f t="shared" si="22"/>
        <v>210000</v>
      </c>
      <c r="L176" s="874"/>
    </row>
    <row r="177" ht="25" customHeight="1" spans="1:12">
      <c r="A177" s="886">
        <v>44</v>
      </c>
      <c r="B177" s="643" t="s">
        <v>354</v>
      </c>
      <c r="C177" s="83" t="s">
        <v>355</v>
      </c>
      <c r="D177" s="640" t="s">
        <v>366</v>
      </c>
      <c r="E177" s="641">
        <v>35000</v>
      </c>
      <c r="F177" s="641">
        <v>35000</v>
      </c>
      <c r="G177" s="641">
        <v>35000</v>
      </c>
      <c r="H177" s="641">
        <v>35000</v>
      </c>
      <c r="I177" s="641">
        <v>35000</v>
      </c>
      <c r="J177" s="641">
        <v>35000</v>
      </c>
      <c r="K177" s="642">
        <f t="shared" si="22"/>
        <v>210000</v>
      </c>
      <c r="L177" s="874"/>
    </row>
    <row r="178" ht="25" customHeight="1" spans="1:12">
      <c r="A178" s="886">
        <v>45</v>
      </c>
      <c r="B178" s="643" t="s">
        <v>357</v>
      </c>
      <c r="C178" s="83" t="s">
        <v>355</v>
      </c>
      <c r="D178" s="640" t="s">
        <v>366</v>
      </c>
      <c r="E178" s="641">
        <v>35000</v>
      </c>
      <c r="F178" s="641">
        <v>35000</v>
      </c>
      <c r="G178" s="641">
        <v>35000</v>
      </c>
      <c r="H178" s="641">
        <v>35000</v>
      </c>
      <c r="I178" s="641">
        <v>35000</v>
      </c>
      <c r="J178" s="641">
        <v>35000</v>
      </c>
      <c r="K178" s="642">
        <f t="shared" si="22"/>
        <v>210000</v>
      </c>
      <c r="L178" s="874"/>
    </row>
    <row r="179" ht="25" customHeight="1" spans="1:12">
      <c r="A179" s="886">
        <v>46</v>
      </c>
      <c r="B179" s="643" t="s">
        <v>358</v>
      </c>
      <c r="C179" s="83" t="s">
        <v>355</v>
      </c>
      <c r="D179" s="640" t="s">
        <v>366</v>
      </c>
      <c r="E179" s="641">
        <v>35000</v>
      </c>
      <c r="F179" s="641">
        <v>35000</v>
      </c>
      <c r="G179" s="641">
        <v>35000</v>
      </c>
      <c r="H179" s="641">
        <v>35000</v>
      </c>
      <c r="I179" s="641">
        <v>35000</v>
      </c>
      <c r="J179" s="641">
        <v>35000</v>
      </c>
      <c r="K179" s="642">
        <f t="shared" si="22"/>
        <v>210000</v>
      </c>
      <c r="L179" s="874"/>
    </row>
    <row r="180" ht="25" customHeight="1" spans="1:12">
      <c r="A180" s="886">
        <v>47</v>
      </c>
      <c r="B180" s="643" t="s">
        <v>359</v>
      </c>
      <c r="C180" s="83" t="s">
        <v>355</v>
      </c>
      <c r="D180" s="640" t="s">
        <v>366</v>
      </c>
      <c r="E180" s="641">
        <v>35000</v>
      </c>
      <c r="F180" s="641">
        <v>35000</v>
      </c>
      <c r="G180" s="641">
        <v>35000</v>
      </c>
      <c r="H180" s="641">
        <v>35000</v>
      </c>
      <c r="I180" s="641">
        <v>35000</v>
      </c>
      <c r="J180" s="641">
        <v>35000</v>
      </c>
      <c r="K180" s="642">
        <f t="shared" si="22"/>
        <v>210000</v>
      </c>
      <c r="L180" s="874"/>
    </row>
    <row r="181" ht="25" customHeight="1" spans="1:12">
      <c r="A181" s="886">
        <v>48</v>
      </c>
      <c r="B181" s="643" t="s">
        <v>360</v>
      </c>
      <c r="C181" s="83" t="s">
        <v>355</v>
      </c>
      <c r="D181" s="640" t="s">
        <v>366</v>
      </c>
      <c r="E181" s="641">
        <v>35000</v>
      </c>
      <c r="F181" s="641">
        <v>35000</v>
      </c>
      <c r="G181" s="641">
        <v>35000</v>
      </c>
      <c r="H181" s="641">
        <v>35000</v>
      </c>
      <c r="I181" s="641">
        <v>35000</v>
      </c>
      <c r="J181" s="641">
        <v>35000</v>
      </c>
      <c r="K181" s="642">
        <f t="shared" si="22"/>
        <v>210000</v>
      </c>
      <c r="L181" s="874"/>
    </row>
    <row r="182" ht="25" customHeight="1" spans="1:12">
      <c r="A182" s="886">
        <v>49</v>
      </c>
      <c r="B182" s="351" t="s">
        <v>361</v>
      </c>
      <c r="C182" s="83" t="s">
        <v>355</v>
      </c>
      <c r="D182" s="640" t="s">
        <v>366</v>
      </c>
      <c r="E182" s="641">
        <v>35000</v>
      </c>
      <c r="F182" s="641">
        <v>35000</v>
      </c>
      <c r="G182" s="641">
        <v>35000</v>
      </c>
      <c r="H182" s="641">
        <v>35000</v>
      </c>
      <c r="I182" s="641">
        <v>35000</v>
      </c>
      <c r="J182" s="641">
        <v>35000</v>
      </c>
      <c r="K182" s="642">
        <f t="shared" si="22"/>
        <v>210000</v>
      </c>
      <c r="L182" s="874"/>
    </row>
    <row r="183" ht="25" customHeight="1" spans="1:12">
      <c r="A183" s="886">
        <v>50</v>
      </c>
      <c r="B183" s="351" t="s">
        <v>362</v>
      </c>
      <c r="C183" s="83" t="s">
        <v>355</v>
      </c>
      <c r="D183" s="640" t="s">
        <v>366</v>
      </c>
      <c r="E183" s="641">
        <v>35000</v>
      </c>
      <c r="F183" s="641">
        <v>35000</v>
      </c>
      <c r="G183" s="641">
        <v>35000</v>
      </c>
      <c r="H183" s="641">
        <v>35000</v>
      </c>
      <c r="I183" s="641">
        <v>35000</v>
      </c>
      <c r="J183" s="641">
        <v>35000</v>
      </c>
      <c r="K183" s="642">
        <f t="shared" si="22"/>
        <v>210000</v>
      </c>
      <c r="L183" s="874"/>
    </row>
    <row r="184" ht="25" customHeight="1" spans="1:12">
      <c r="A184" s="886">
        <v>51</v>
      </c>
      <c r="B184" s="643" t="s">
        <v>499</v>
      </c>
      <c r="C184" s="83" t="s">
        <v>352</v>
      </c>
      <c r="D184" s="640" t="s">
        <v>366</v>
      </c>
      <c r="E184" s="641">
        <v>35000</v>
      </c>
      <c r="F184" s="641">
        <v>35000</v>
      </c>
      <c r="G184" s="641">
        <v>35000</v>
      </c>
      <c r="H184" s="641">
        <v>35000</v>
      </c>
      <c r="I184" s="641">
        <v>35000</v>
      </c>
      <c r="J184" s="641">
        <v>35000</v>
      </c>
      <c r="K184" s="642">
        <f t="shared" si="22"/>
        <v>210000</v>
      </c>
      <c r="L184" s="874"/>
    </row>
    <row r="185" ht="25" customHeight="1" spans="1:12">
      <c r="A185" s="886">
        <v>52</v>
      </c>
      <c r="B185" s="643" t="s">
        <v>363</v>
      </c>
      <c r="C185" s="83" t="s">
        <v>352</v>
      </c>
      <c r="D185" s="640" t="s">
        <v>366</v>
      </c>
      <c r="E185" s="641">
        <v>35000</v>
      </c>
      <c r="F185" s="641">
        <v>35000</v>
      </c>
      <c r="G185" s="641">
        <v>35000</v>
      </c>
      <c r="H185" s="641">
        <v>35000</v>
      </c>
      <c r="I185" s="641">
        <v>35000</v>
      </c>
      <c r="J185" s="641">
        <v>35000</v>
      </c>
      <c r="K185" s="642">
        <f t="shared" si="22"/>
        <v>210000</v>
      </c>
      <c r="L185" s="874"/>
    </row>
    <row r="186" ht="25" customHeight="1" spans="1:12">
      <c r="A186" s="886">
        <v>53</v>
      </c>
      <c r="B186" s="351" t="s">
        <v>364</v>
      </c>
      <c r="C186" s="83" t="s">
        <v>365</v>
      </c>
      <c r="D186" s="640" t="s">
        <v>378</v>
      </c>
      <c r="E186" s="641">
        <v>35000</v>
      </c>
      <c r="F186" s="641">
        <v>35000</v>
      </c>
      <c r="G186" s="641">
        <v>35000</v>
      </c>
      <c r="H186" s="641">
        <v>35000</v>
      </c>
      <c r="I186" s="641">
        <v>35000</v>
      </c>
      <c r="J186" s="641">
        <v>35000</v>
      </c>
      <c r="K186" s="642">
        <f t="shared" si="22"/>
        <v>210000</v>
      </c>
      <c r="L186" s="874"/>
    </row>
    <row r="187" ht="25" customHeight="1" spans="1:12">
      <c r="A187" s="886">
        <v>54</v>
      </c>
      <c r="B187" s="351" t="s">
        <v>369</v>
      </c>
      <c r="C187" s="83" t="s">
        <v>355</v>
      </c>
      <c r="D187" s="640" t="s">
        <v>571</v>
      </c>
      <c r="E187" s="641">
        <v>35000</v>
      </c>
      <c r="F187" s="641">
        <v>35000</v>
      </c>
      <c r="G187" s="641">
        <v>35000</v>
      </c>
      <c r="H187" s="641">
        <v>35000</v>
      </c>
      <c r="I187" s="641">
        <v>35000</v>
      </c>
      <c r="J187" s="641">
        <v>35000</v>
      </c>
      <c r="K187" s="642">
        <f t="shared" si="22"/>
        <v>210000</v>
      </c>
      <c r="L187" s="874"/>
    </row>
    <row r="188" ht="25" customHeight="1" spans="1:12">
      <c r="A188" s="886">
        <v>55</v>
      </c>
      <c r="B188" s="351" t="s">
        <v>371</v>
      </c>
      <c r="C188" s="83" t="s">
        <v>372</v>
      </c>
      <c r="D188" s="640" t="s">
        <v>572</v>
      </c>
      <c r="E188" s="641">
        <v>35000</v>
      </c>
      <c r="F188" s="641">
        <v>35000</v>
      </c>
      <c r="G188" s="641">
        <v>35000</v>
      </c>
      <c r="H188" s="641">
        <v>35000</v>
      </c>
      <c r="I188" s="641">
        <v>35000</v>
      </c>
      <c r="J188" s="641">
        <v>35000</v>
      </c>
      <c r="K188" s="642">
        <f t="shared" si="22"/>
        <v>210000</v>
      </c>
      <c r="L188" s="874"/>
    </row>
    <row r="189" ht="25" customHeight="1" spans="1:12">
      <c r="A189" s="886">
        <v>56</v>
      </c>
      <c r="B189" s="351" t="s">
        <v>374</v>
      </c>
      <c r="C189" s="83" t="s">
        <v>372</v>
      </c>
      <c r="D189" s="640" t="s">
        <v>572</v>
      </c>
      <c r="E189" s="641">
        <v>35000</v>
      </c>
      <c r="F189" s="641">
        <v>35000</v>
      </c>
      <c r="G189" s="641">
        <v>35000</v>
      </c>
      <c r="H189" s="641">
        <v>35000</v>
      </c>
      <c r="I189" s="641">
        <v>35000</v>
      </c>
      <c r="J189" s="641">
        <v>35000</v>
      </c>
      <c r="K189" s="642">
        <f t="shared" si="22"/>
        <v>210000</v>
      </c>
      <c r="L189" s="874"/>
    </row>
    <row r="190" ht="25" customHeight="1" spans="1:12">
      <c r="A190" s="886">
        <v>57</v>
      </c>
      <c r="B190" s="351" t="s">
        <v>375</v>
      </c>
      <c r="C190" s="83" t="s">
        <v>372</v>
      </c>
      <c r="D190" s="640" t="s">
        <v>572</v>
      </c>
      <c r="E190" s="641">
        <v>35000</v>
      </c>
      <c r="F190" s="641">
        <v>35000</v>
      </c>
      <c r="G190" s="641">
        <v>35000</v>
      </c>
      <c r="H190" s="641">
        <v>35000</v>
      </c>
      <c r="I190" s="641">
        <v>35000</v>
      </c>
      <c r="J190" s="641">
        <v>35000</v>
      </c>
      <c r="K190" s="642">
        <f t="shared" si="22"/>
        <v>210000</v>
      </c>
      <c r="L190" s="874"/>
    </row>
    <row r="191" ht="25" customHeight="1" spans="1:12">
      <c r="A191" s="886">
        <v>58</v>
      </c>
      <c r="B191" s="351" t="s">
        <v>376</v>
      </c>
      <c r="C191" s="83" t="s">
        <v>377</v>
      </c>
      <c r="D191" s="640" t="s">
        <v>368</v>
      </c>
      <c r="E191" s="641">
        <v>35000</v>
      </c>
      <c r="F191" s="641">
        <v>35000</v>
      </c>
      <c r="G191" s="641">
        <v>35000</v>
      </c>
      <c r="H191" s="641">
        <v>35000</v>
      </c>
      <c r="I191" s="641">
        <v>35000</v>
      </c>
      <c r="J191" s="641">
        <v>35000</v>
      </c>
      <c r="K191" s="642">
        <f t="shared" si="22"/>
        <v>210000</v>
      </c>
      <c r="L191" s="874"/>
    </row>
    <row r="192" ht="25" customHeight="1" spans="1:12">
      <c r="A192" s="886">
        <v>59</v>
      </c>
      <c r="B192" s="351" t="s">
        <v>379</v>
      </c>
      <c r="C192" s="83" t="s">
        <v>377</v>
      </c>
      <c r="D192" s="640" t="s">
        <v>368</v>
      </c>
      <c r="E192" s="641">
        <v>35000</v>
      </c>
      <c r="F192" s="641">
        <v>35000</v>
      </c>
      <c r="G192" s="641">
        <v>35000</v>
      </c>
      <c r="H192" s="641">
        <v>35000</v>
      </c>
      <c r="I192" s="641">
        <v>35000</v>
      </c>
      <c r="J192" s="641">
        <v>35000</v>
      </c>
      <c r="K192" s="642">
        <f t="shared" si="22"/>
        <v>210000</v>
      </c>
      <c r="L192" s="874"/>
    </row>
    <row r="193" ht="25" customHeight="1" spans="1:12">
      <c r="A193" s="886"/>
      <c r="B193" s="81" t="s">
        <v>111</v>
      </c>
      <c r="C193" s="100" t="s">
        <v>573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95">
        <f t="shared" si="23"/>
        <v>12390000</v>
      </c>
      <c r="L193" s="874"/>
    </row>
    <row r="194" ht="38" customHeight="1" spans="1:12">
      <c r="A194" s="86"/>
      <c r="B194" s="889" t="s">
        <v>381</v>
      </c>
      <c r="C194" s="101">
        <f>C34+C40+C54+C59+C72+C82+C95+C102+C112+C131+C193</f>
        <v>151</v>
      </c>
      <c r="D194" s="890"/>
      <c r="E194" s="891">
        <f t="shared" ref="E194:J194" si="24">E193+E131+E118+E112+E102+E95+E82+E72+E59+E54+D40+E34</f>
        <v>5250000</v>
      </c>
      <c r="F194" s="891">
        <f t="shared" si="24"/>
        <v>5355000</v>
      </c>
      <c r="G194" s="891">
        <f t="shared" si="24"/>
        <v>5355000</v>
      </c>
      <c r="H194" s="891">
        <f t="shared" si="24"/>
        <v>5355000</v>
      </c>
      <c r="I194" s="891">
        <f t="shared" si="24"/>
        <v>5355000</v>
      </c>
      <c r="J194" s="891">
        <f t="shared" si="24"/>
        <v>5355000</v>
      </c>
      <c r="K194" s="891">
        <f>K193+K131+K118+K112+K102+K95+K82+K72+K59+K54+K40+K34</f>
        <v>32130000</v>
      </c>
      <c r="L194" s="874"/>
    </row>
    <row r="195" ht="25" customHeight="1" spans="1:11">
      <c r="A195" s="892"/>
      <c r="B195" s="893"/>
      <c r="C195" s="892"/>
      <c r="D195" s="894"/>
      <c r="E195" s="894"/>
      <c r="F195" s="894"/>
      <c r="G195" s="894"/>
      <c r="H195" s="894"/>
      <c r="I195" s="894"/>
      <c r="J195" s="894"/>
      <c r="K195" s="896"/>
    </row>
    <row r="196" ht="18" spans="1:11">
      <c r="A196" s="892"/>
      <c r="B196" s="893"/>
      <c r="C196" s="894"/>
      <c r="D196" s="894"/>
      <c r="E196" s="894"/>
      <c r="F196" s="894"/>
      <c r="G196" s="894"/>
      <c r="H196" s="894"/>
      <c r="I196" s="894"/>
      <c r="J196" s="894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574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575</v>
      </c>
    </row>
    <row r="5" ht="30" customHeight="1" spans="1:4">
      <c r="A5" s="4">
        <v>1</v>
      </c>
      <c r="B5" s="17" t="s">
        <v>576</v>
      </c>
      <c r="C5" s="838" t="s">
        <v>577</v>
      </c>
      <c r="D5" s="838">
        <v>1</v>
      </c>
    </row>
    <row r="6" ht="30" customHeight="1" spans="1:4">
      <c r="A6" s="4">
        <v>2</v>
      </c>
      <c r="B6" s="43" t="s">
        <v>578</v>
      </c>
      <c r="C6" s="986" t="s">
        <v>579</v>
      </c>
      <c r="D6" s="49">
        <v>8</v>
      </c>
    </row>
    <row r="7" ht="30" customHeight="1" spans="1:4">
      <c r="A7" s="4">
        <v>3</v>
      </c>
      <c r="B7" s="43" t="s">
        <v>580</v>
      </c>
      <c r="C7" s="986" t="s">
        <v>581</v>
      </c>
      <c r="D7" s="49">
        <v>11</v>
      </c>
    </row>
    <row r="8" ht="30" customHeight="1" spans="1:4">
      <c r="A8" s="4">
        <v>4</v>
      </c>
      <c r="B8" s="43" t="s">
        <v>582</v>
      </c>
      <c r="C8" s="986" t="s">
        <v>583</v>
      </c>
      <c r="D8" s="49">
        <v>13</v>
      </c>
    </row>
    <row r="9" ht="30" customHeight="1" spans="1:4">
      <c r="A9" s="4">
        <v>5</v>
      </c>
      <c r="B9" s="43" t="s">
        <v>584</v>
      </c>
      <c r="C9" s="986" t="s">
        <v>585</v>
      </c>
      <c r="D9" s="49">
        <v>11</v>
      </c>
    </row>
    <row r="10" ht="30" customHeight="1" spans="1:4">
      <c r="A10" s="4">
        <v>6</v>
      </c>
      <c r="B10" s="43" t="s">
        <v>586</v>
      </c>
      <c r="C10" s="986" t="s">
        <v>587</v>
      </c>
      <c r="D10" s="49">
        <v>15</v>
      </c>
    </row>
    <row r="11" ht="30" customHeight="1" spans="1:4">
      <c r="A11" s="4">
        <v>7</v>
      </c>
      <c r="B11" s="43" t="s">
        <v>588</v>
      </c>
      <c r="C11" s="986" t="s">
        <v>589</v>
      </c>
      <c r="D11" s="49">
        <v>22</v>
      </c>
    </row>
    <row r="12" ht="30" customHeight="1" spans="1:4">
      <c r="A12" s="4">
        <v>8</v>
      </c>
      <c r="B12" s="43" t="s">
        <v>590</v>
      </c>
      <c r="C12" s="986" t="s">
        <v>591</v>
      </c>
      <c r="D12" s="49">
        <v>14</v>
      </c>
    </row>
    <row r="13" ht="30" customHeight="1" spans="1:4">
      <c r="A13" s="4">
        <v>9</v>
      </c>
      <c r="B13" s="43" t="s">
        <v>592</v>
      </c>
      <c r="C13" s="986" t="s">
        <v>593</v>
      </c>
      <c r="D13" s="49">
        <v>27</v>
      </c>
    </row>
    <row r="14" ht="30" customHeight="1" spans="1:4">
      <c r="A14" s="4">
        <v>10</v>
      </c>
      <c r="B14" s="43" t="s">
        <v>594</v>
      </c>
      <c r="C14" s="986" t="s">
        <v>595</v>
      </c>
      <c r="D14" s="49">
        <v>26</v>
      </c>
    </row>
    <row r="15" ht="30" customHeight="1" spans="1:4">
      <c r="A15" s="4">
        <v>11</v>
      </c>
      <c r="B15" s="43" t="s">
        <v>596</v>
      </c>
      <c r="C15" s="986" t="s">
        <v>597</v>
      </c>
      <c r="D15" s="49">
        <v>15</v>
      </c>
    </row>
    <row r="16" ht="30" customHeight="1" spans="1:4">
      <c r="A16" s="4">
        <v>12</v>
      </c>
      <c r="B16" s="43" t="s">
        <v>598</v>
      </c>
      <c r="C16" s="986" t="s">
        <v>599</v>
      </c>
      <c r="D16" s="49">
        <v>14</v>
      </c>
    </row>
    <row r="17" ht="30" customHeight="1" spans="1:4">
      <c r="A17" s="4">
        <v>13</v>
      </c>
      <c r="B17" s="43" t="s">
        <v>600</v>
      </c>
      <c r="C17" s="986" t="s">
        <v>601</v>
      </c>
      <c r="D17" s="49">
        <v>3</v>
      </c>
    </row>
    <row r="18" ht="30" customHeight="1" spans="1:4">
      <c r="A18" s="43"/>
      <c r="B18" s="42" t="s">
        <v>602</v>
      </c>
      <c r="C18" s="42"/>
      <c r="D18" s="6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603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575</v>
      </c>
    </row>
    <row r="5" ht="25" customHeight="1" spans="1:4">
      <c r="A5" s="4">
        <v>1</v>
      </c>
      <c r="B5" s="17" t="s">
        <v>576</v>
      </c>
      <c r="C5" s="838" t="s">
        <v>577</v>
      </c>
      <c r="D5" s="838">
        <v>1</v>
      </c>
    </row>
    <row r="6" ht="25" customHeight="1" spans="1:4">
      <c r="A6" s="4">
        <v>2</v>
      </c>
      <c r="B6" s="43" t="s">
        <v>578</v>
      </c>
      <c r="C6" s="986" t="s">
        <v>579</v>
      </c>
      <c r="D6" s="49">
        <v>10</v>
      </c>
    </row>
    <row r="7" ht="25" customHeight="1" spans="1:4">
      <c r="A7" s="4">
        <v>3</v>
      </c>
      <c r="B7" s="43" t="s">
        <v>580</v>
      </c>
      <c r="C7" s="986" t="s">
        <v>581</v>
      </c>
      <c r="D7" s="49">
        <v>15</v>
      </c>
    </row>
    <row r="8" ht="25" customHeight="1" spans="1:4">
      <c r="A8" s="4">
        <v>4</v>
      </c>
      <c r="B8" s="43" t="s">
        <v>582</v>
      </c>
      <c r="C8" s="986" t="s">
        <v>583</v>
      </c>
      <c r="D8" s="49">
        <v>19</v>
      </c>
    </row>
    <row r="9" ht="25" customHeight="1" spans="1:4">
      <c r="A9" s="4">
        <v>5</v>
      </c>
      <c r="B9" s="43" t="s">
        <v>584</v>
      </c>
      <c r="C9" s="986" t="s">
        <v>585</v>
      </c>
      <c r="D9" s="49">
        <v>13</v>
      </c>
    </row>
    <row r="10" ht="25" customHeight="1" spans="1:4">
      <c r="A10" s="4">
        <v>6</v>
      </c>
      <c r="B10" s="43" t="s">
        <v>586</v>
      </c>
      <c r="C10" s="986" t="s">
        <v>587</v>
      </c>
      <c r="D10" s="49">
        <v>17</v>
      </c>
    </row>
    <row r="11" ht="25" customHeight="1" spans="1:4">
      <c r="A11" s="4">
        <v>7</v>
      </c>
      <c r="B11" s="43" t="s">
        <v>588</v>
      </c>
      <c r="C11" s="986" t="s">
        <v>589</v>
      </c>
      <c r="D11" s="49">
        <v>26</v>
      </c>
    </row>
    <row r="12" ht="25" customHeight="1" spans="1:4">
      <c r="A12" s="4">
        <v>8</v>
      </c>
      <c r="B12" s="43" t="s">
        <v>590</v>
      </c>
      <c r="C12" s="986" t="s">
        <v>591</v>
      </c>
      <c r="D12" s="49">
        <v>17</v>
      </c>
    </row>
    <row r="13" ht="25" customHeight="1" spans="1:4">
      <c r="A13" s="4">
        <v>9</v>
      </c>
      <c r="B13" s="43" t="s">
        <v>592</v>
      </c>
      <c r="C13" s="986" t="s">
        <v>593</v>
      </c>
      <c r="D13" s="49">
        <v>30</v>
      </c>
    </row>
    <row r="14" ht="25" customHeight="1" spans="1:4">
      <c r="A14" s="4">
        <v>10</v>
      </c>
      <c r="B14" s="43" t="s">
        <v>594</v>
      </c>
      <c r="C14" s="986" t="s">
        <v>595</v>
      </c>
      <c r="D14" s="49">
        <f>26+14</f>
        <v>40</v>
      </c>
    </row>
    <row r="15" ht="25" customHeight="1" spans="1:4">
      <c r="A15" s="4">
        <v>11</v>
      </c>
      <c r="B15" s="43" t="s">
        <v>596</v>
      </c>
      <c r="C15" s="986" t="s">
        <v>597</v>
      </c>
      <c r="D15" s="49">
        <v>15</v>
      </c>
    </row>
    <row r="16" ht="25" customHeight="1" spans="1:4">
      <c r="A16" s="4">
        <v>12</v>
      </c>
      <c r="B16" s="43" t="s">
        <v>598</v>
      </c>
      <c r="C16" s="986" t="s">
        <v>599</v>
      </c>
      <c r="D16" s="49">
        <v>14</v>
      </c>
    </row>
    <row r="17" ht="25" customHeight="1" spans="1:4">
      <c r="A17" s="4">
        <v>13</v>
      </c>
      <c r="B17" s="43" t="s">
        <v>600</v>
      </c>
      <c r="C17" s="986" t="s">
        <v>601</v>
      </c>
      <c r="D17" s="49">
        <v>3</v>
      </c>
    </row>
    <row r="18" ht="20" customHeight="1" spans="1:4">
      <c r="A18" s="839"/>
      <c r="B18" s="840" t="s">
        <v>604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605</v>
      </c>
      <c r="C20" s="384"/>
      <c r="D20" s="384"/>
    </row>
    <row r="21" ht="25" customHeight="1" spans="1:4">
      <c r="A21" s="4">
        <v>1</v>
      </c>
      <c r="B21" s="43" t="s">
        <v>606</v>
      </c>
      <c r="C21" s="844" t="s">
        <v>577</v>
      </c>
      <c r="D21" s="49">
        <v>18</v>
      </c>
    </row>
    <row r="22" ht="25" customHeight="1" spans="1:4">
      <c r="A22" s="4">
        <v>2</v>
      </c>
      <c r="B22" s="43" t="s">
        <v>607</v>
      </c>
      <c r="C22" s="844" t="s">
        <v>577</v>
      </c>
      <c r="D22" s="49">
        <v>11</v>
      </c>
    </row>
    <row r="23" ht="25" customHeight="1" spans="1:4">
      <c r="A23" s="4">
        <v>3</v>
      </c>
      <c r="B23" s="43" t="s">
        <v>608</v>
      </c>
      <c r="C23" s="844" t="s">
        <v>577</v>
      </c>
      <c r="D23" s="49">
        <v>15</v>
      </c>
    </row>
    <row r="24" ht="25" customHeight="1" spans="1:4">
      <c r="A24" s="4">
        <v>4</v>
      </c>
      <c r="B24" s="43" t="s">
        <v>609</v>
      </c>
      <c r="C24" s="844" t="s">
        <v>577</v>
      </c>
      <c r="D24" s="49">
        <v>41</v>
      </c>
    </row>
    <row r="25" ht="25" customHeight="1" spans="1:4">
      <c r="A25" s="4">
        <v>5</v>
      </c>
      <c r="B25" s="43" t="s">
        <v>610</v>
      </c>
      <c r="C25" s="844" t="s">
        <v>577</v>
      </c>
      <c r="D25" s="49">
        <v>4</v>
      </c>
    </row>
    <row r="26" ht="25" customHeight="1" spans="1:4">
      <c r="A26" s="4">
        <v>6</v>
      </c>
      <c r="B26" s="43" t="s">
        <v>611</v>
      </c>
      <c r="C26" s="844" t="s">
        <v>577</v>
      </c>
      <c r="D26" s="49">
        <v>5</v>
      </c>
    </row>
    <row r="27" ht="25" customHeight="1" spans="1:4">
      <c r="A27" s="845"/>
      <c r="B27" s="846" t="s">
        <v>612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613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614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615</v>
      </c>
      <c r="F4" s="218" t="s">
        <v>616</v>
      </c>
      <c r="G4" s="218" t="s">
        <v>617</v>
      </c>
      <c r="H4" s="218" t="s">
        <v>618</v>
      </c>
      <c r="I4" s="218" t="s">
        <v>619</v>
      </c>
      <c r="J4" s="218" t="s">
        <v>620</v>
      </c>
      <c r="K4" s="827" t="s">
        <v>621</v>
      </c>
    </row>
    <row r="5" ht="17.25" customHeight="1" spans="3:11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/>
      <c r="K5" s="827" t="s">
        <v>622</v>
      </c>
    </row>
    <row r="6" customHeight="1" spans="1:11">
      <c r="A6" s="9" t="s">
        <v>21</v>
      </c>
      <c r="B6" s="8" t="s">
        <v>22</v>
      </c>
      <c r="C6" s="8"/>
      <c r="D6" s="8"/>
      <c r="E6" s="82"/>
      <c r="F6" s="82"/>
      <c r="G6" s="820"/>
      <c r="H6" s="82"/>
      <c r="I6" s="21"/>
      <c r="J6" s="21"/>
      <c r="K6" s="827" t="s">
        <v>623</v>
      </c>
    </row>
    <row r="7" customHeight="1" spans="1:11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7" t="s">
        <v>624</v>
      </c>
    </row>
    <row r="8" customHeight="1" spans="1:11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7" t="s">
        <v>625</v>
      </c>
    </row>
    <row r="9" customHeight="1" spans="1:11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8" t="s">
        <v>311</v>
      </c>
    </row>
    <row r="10" customHeight="1" spans="1:11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7" t="s">
        <v>626</v>
      </c>
    </row>
    <row r="11" customHeight="1" spans="1:11">
      <c r="A11" s="10">
        <v>6</v>
      </c>
      <c r="B11" s="11" t="s">
        <v>33</v>
      </c>
      <c r="C11" s="12" t="s">
        <v>538</v>
      </c>
      <c r="D11" s="15" t="s">
        <v>131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7" t="s">
        <v>627</v>
      </c>
    </row>
    <row r="12" customHeight="1" spans="1:11">
      <c r="A12" s="10">
        <v>7</v>
      </c>
      <c r="B12" s="11" t="s">
        <v>36</v>
      </c>
      <c r="C12" s="4" t="s">
        <v>37</v>
      </c>
      <c r="D12" s="10" t="s">
        <v>49</v>
      </c>
      <c r="E12" s="85">
        <v>582118.083333333</v>
      </c>
      <c r="F12" s="10" t="s">
        <v>38</v>
      </c>
      <c r="G12" s="821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9" t="s">
        <v>628</v>
      </c>
    </row>
    <row r="13" customHeight="1" spans="1:11">
      <c r="A13" s="10">
        <v>8</v>
      </c>
      <c r="B13" s="11" t="s">
        <v>39</v>
      </c>
      <c r="C13" s="4" t="s">
        <v>40</v>
      </c>
      <c r="D13" s="15" t="s">
        <v>41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7" t="s">
        <v>629</v>
      </c>
    </row>
    <row r="14" customHeight="1" spans="1:11">
      <c r="A14" s="10">
        <v>9</v>
      </c>
      <c r="B14" s="14" t="s">
        <v>42</v>
      </c>
      <c r="C14" s="17" t="s">
        <v>43</v>
      </c>
      <c r="D14" s="15" t="s">
        <v>49</v>
      </c>
      <c r="E14" s="85">
        <v>582118.083333333</v>
      </c>
      <c r="F14" s="10" t="s">
        <v>38</v>
      </c>
      <c r="G14" s="821">
        <v>601396.833333333</v>
      </c>
      <c r="H14" s="85">
        <f t="shared" si="0"/>
        <v>19278.75</v>
      </c>
      <c r="I14" s="85">
        <f t="shared" si="1"/>
        <v>77115</v>
      </c>
      <c r="J14" s="85"/>
      <c r="K14" s="827" t="s">
        <v>630</v>
      </c>
    </row>
    <row r="15" customHeight="1" spans="1:11">
      <c r="A15" s="10">
        <v>10</v>
      </c>
      <c r="B15" s="11" t="s">
        <v>44</v>
      </c>
      <c r="C15" s="4" t="s">
        <v>45</v>
      </c>
      <c r="D15" s="10" t="s">
        <v>199</v>
      </c>
      <c r="E15" s="85">
        <v>442746.5</v>
      </c>
      <c r="F15" s="10" t="s">
        <v>46</v>
      </c>
      <c r="G15" s="822">
        <v>456622.25</v>
      </c>
      <c r="H15" s="85">
        <f t="shared" si="0"/>
        <v>13875.75</v>
      </c>
      <c r="I15" s="85">
        <f t="shared" si="1"/>
        <v>55503</v>
      </c>
      <c r="J15" s="85"/>
      <c r="K15" s="827" t="s">
        <v>280</v>
      </c>
    </row>
    <row r="16" customHeight="1" spans="1:11">
      <c r="A16" s="10">
        <v>11</v>
      </c>
      <c r="B16" s="11" t="s">
        <v>47</v>
      </c>
      <c r="C16" s="4" t="s">
        <v>48</v>
      </c>
      <c r="D16" s="10" t="s">
        <v>49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7" t="s">
        <v>631</v>
      </c>
    </row>
    <row r="17" customHeight="1" spans="1:11">
      <c r="A17" s="10">
        <v>12</v>
      </c>
      <c r="B17" s="11" t="s">
        <v>50</v>
      </c>
      <c r="C17" s="12" t="s">
        <v>51</v>
      </c>
      <c r="D17" s="15" t="s">
        <v>460</v>
      </c>
      <c r="E17" s="85">
        <v>428915.916666667</v>
      </c>
      <c r="F17" s="15" t="s">
        <v>52</v>
      </c>
      <c r="G17" s="821">
        <v>441804.916666667</v>
      </c>
      <c r="H17" s="85">
        <f t="shared" si="0"/>
        <v>12889</v>
      </c>
      <c r="I17" s="85">
        <f t="shared" si="1"/>
        <v>51556</v>
      </c>
      <c r="J17" s="85"/>
      <c r="K17" s="828" t="s">
        <v>632</v>
      </c>
    </row>
    <row r="18" customHeight="1" spans="1:11">
      <c r="A18" s="10">
        <v>13</v>
      </c>
      <c r="B18" s="18" t="s">
        <v>53</v>
      </c>
      <c r="C18" s="4" t="s">
        <v>54</v>
      </c>
      <c r="D18" s="15" t="s">
        <v>540</v>
      </c>
      <c r="E18" s="85">
        <v>416026.916666667</v>
      </c>
      <c r="F18" s="15" t="s">
        <v>55</v>
      </c>
      <c r="G18" s="822">
        <v>428915.916666667</v>
      </c>
      <c r="H18" s="85">
        <f t="shared" si="0"/>
        <v>12889</v>
      </c>
      <c r="I18" s="85">
        <f t="shared" si="1"/>
        <v>51556</v>
      </c>
      <c r="J18" s="85"/>
      <c r="K18" s="828" t="s">
        <v>633</v>
      </c>
    </row>
    <row r="19" customHeight="1" spans="1:11">
      <c r="A19" s="10">
        <v>14</v>
      </c>
      <c r="B19" s="18" t="s">
        <v>56</v>
      </c>
      <c r="C19" s="4" t="s">
        <v>57</v>
      </c>
      <c r="D19" s="15" t="s">
        <v>634</v>
      </c>
      <c r="E19" s="676">
        <f>'[3]Annual &amp; Monthly'!$H$40</f>
        <v>390248.916666667</v>
      </c>
      <c r="F19" s="15" t="s">
        <v>58</v>
      </c>
      <c r="G19" s="823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27" t="s">
        <v>635</v>
      </c>
    </row>
    <row r="20" customHeight="1" spans="1:11">
      <c r="A20" s="10">
        <v>15</v>
      </c>
      <c r="B20" s="18" t="s">
        <v>59</v>
      </c>
      <c r="C20" s="4" t="s">
        <v>51</v>
      </c>
      <c r="D20" s="15" t="s">
        <v>634</v>
      </c>
      <c r="E20" s="676">
        <v>390248.916666667</v>
      </c>
      <c r="F20" s="15" t="s">
        <v>58</v>
      </c>
      <c r="G20" s="823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7" t="s">
        <v>636</v>
      </c>
    </row>
    <row r="21" customHeight="1" spans="1:11">
      <c r="A21" s="27">
        <v>11</v>
      </c>
      <c r="B21" s="11" t="s">
        <v>60</v>
      </c>
      <c r="C21" s="12" t="s">
        <v>61</v>
      </c>
      <c r="D21" s="15" t="s">
        <v>65</v>
      </c>
      <c r="E21" s="85">
        <v>390086.5</v>
      </c>
      <c r="F21" s="15" t="s">
        <v>62</v>
      </c>
      <c r="G21" s="822">
        <v>402278</v>
      </c>
      <c r="H21" s="85">
        <f t="shared" si="0"/>
        <v>12191.5</v>
      </c>
      <c r="I21" s="85">
        <f t="shared" si="1"/>
        <v>48766</v>
      </c>
      <c r="J21" s="85"/>
      <c r="K21" s="827" t="s">
        <v>179</v>
      </c>
    </row>
    <row r="22" ht="18.75" customHeight="1" spans="1:10">
      <c r="A22" s="10">
        <v>16</v>
      </c>
      <c r="B22" s="11" t="s">
        <v>63</v>
      </c>
      <c r="C22" s="12" t="s">
        <v>64</v>
      </c>
      <c r="D22" s="15" t="s">
        <v>162</v>
      </c>
      <c r="E22" s="85">
        <v>377895.166666667</v>
      </c>
      <c r="F22" s="15" t="s">
        <v>65</v>
      </c>
      <c r="G22" s="822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66</v>
      </c>
      <c r="C23" s="17" t="s">
        <v>67</v>
      </c>
      <c r="D23" s="10" t="s">
        <v>137</v>
      </c>
      <c r="E23" s="85">
        <v>353512.5</v>
      </c>
      <c r="F23" s="10" t="s">
        <v>68</v>
      </c>
      <c r="G23" s="822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69</v>
      </c>
      <c r="C24" s="17" t="s">
        <v>70</v>
      </c>
      <c r="D24" s="15" t="s">
        <v>137</v>
      </c>
      <c r="E24" s="85">
        <v>353512.5</v>
      </c>
      <c r="F24" s="15" t="s">
        <v>68</v>
      </c>
      <c r="G24" s="822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71</v>
      </c>
      <c r="C25" s="17" t="s">
        <v>72</v>
      </c>
      <c r="D25" s="10" t="s">
        <v>73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74</v>
      </c>
      <c r="C26" s="17" t="s">
        <v>75</v>
      </c>
      <c r="D26" s="10" t="s">
        <v>73</v>
      </c>
      <c r="E26" s="85">
        <v>293029.666666667</v>
      </c>
      <c r="F26" s="10" t="s">
        <v>76</v>
      </c>
      <c r="G26" s="822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77</v>
      </c>
      <c r="C27" s="4" t="s">
        <v>78</v>
      </c>
      <c r="D27" s="10" t="s">
        <v>84</v>
      </c>
      <c r="E27" s="85">
        <v>270481.666666667</v>
      </c>
      <c r="F27" s="10" t="s">
        <v>79</v>
      </c>
      <c r="G27" s="821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80</v>
      </c>
      <c r="C28" s="12" t="s">
        <v>78</v>
      </c>
      <c r="D28" s="15" t="s">
        <v>84</v>
      </c>
      <c r="E28" s="85">
        <v>270481.666666667</v>
      </c>
      <c r="F28" s="15" t="s">
        <v>79</v>
      </c>
      <c r="G28" s="821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81</v>
      </c>
      <c r="C29" s="17" t="s">
        <v>67</v>
      </c>
      <c r="D29" s="10" t="s">
        <v>84</v>
      </c>
      <c r="E29" s="85">
        <v>270481.666666667</v>
      </c>
      <c r="F29" s="10" t="s">
        <v>79</v>
      </c>
      <c r="G29" s="821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82</v>
      </c>
      <c r="C30" s="12" t="s">
        <v>83</v>
      </c>
      <c r="D30" s="15" t="s">
        <v>87</v>
      </c>
      <c r="E30" s="85">
        <v>263165.333333333</v>
      </c>
      <c r="F30" s="15" t="s">
        <v>84</v>
      </c>
      <c r="G30" s="822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85</v>
      </c>
      <c r="C31" s="4" t="s">
        <v>86</v>
      </c>
      <c r="D31" s="10" t="s">
        <v>96</v>
      </c>
      <c r="E31" s="85">
        <v>255849</v>
      </c>
      <c r="F31" s="10" t="s">
        <v>87</v>
      </c>
      <c r="G31" s="822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88</v>
      </c>
      <c r="C32" s="4" t="s">
        <v>86</v>
      </c>
      <c r="D32" s="10" t="s">
        <v>96</v>
      </c>
      <c r="E32" s="85">
        <v>255849</v>
      </c>
      <c r="F32" s="10" t="s">
        <v>87</v>
      </c>
      <c r="G32" s="822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89</v>
      </c>
      <c r="C33" s="17" t="s">
        <v>90</v>
      </c>
      <c r="D33" s="15" t="s">
        <v>84</v>
      </c>
      <c r="E33" s="85">
        <v>270481.666666667</v>
      </c>
      <c r="F33" s="15" t="s">
        <v>79</v>
      </c>
      <c r="G33" s="821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91</v>
      </c>
      <c r="C34" s="4" t="s">
        <v>78</v>
      </c>
      <c r="D34" s="10" t="s">
        <v>96</v>
      </c>
      <c r="E34" s="85">
        <v>255849</v>
      </c>
      <c r="F34" s="10" t="s">
        <v>87</v>
      </c>
      <c r="G34" s="822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92</v>
      </c>
      <c r="C35" s="4" t="s">
        <v>93</v>
      </c>
      <c r="D35" s="10" t="s">
        <v>96</v>
      </c>
      <c r="E35" s="85">
        <v>255849</v>
      </c>
      <c r="F35" s="10" t="s">
        <v>87</v>
      </c>
      <c r="G35" s="822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100</v>
      </c>
      <c r="C36" s="12" t="s">
        <v>101</v>
      </c>
      <c r="D36" s="15" t="s">
        <v>105</v>
      </c>
      <c r="E36" s="85">
        <v>224459.75</v>
      </c>
      <c r="F36" s="15" t="s">
        <v>102</v>
      </c>
      <c r="G36" s="821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103</v>
      </c>
      <c r="C37" s="12" t="s">
        <v>104</v>
      </c>
      <c r="D37" s="15" t="s">
        <v>108</v>
      </c>
      <c r="E37" s="676">
        <v>218287.583333333</v>
      </c>
      <c r="F37" s="15" t="s">
        <v>105</v>
      </c>
      <c r="G37" s="822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111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4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112</v>
      </c>
      <c r="C40" s="4"/>
      <c r="D40" s="15"/>
      <c r="E40" s="85"/>
      <c r="F40" s="85"/>
      <c r="G40" s="822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113</v>
      </c>
      <c r="C41" s="4" t="s">
        <v>114</v>
      </c>
      <c r="D41" s="10" t="s">
        <v>115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116</v>
      </c>
      <c r="C42" s="4" t="s">
        <v>117</v>
      </c>
      <c r="D42" s="10" t="s">
        <v>73</v>
      </c>
      <c r="E42" s="85">
        <v>293029.666666667</v>
      </c>
      <c r="F42" s="10" t="s">
        <v>76</v>
      </c>
      <c r="G42" s="822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118</v>
      </c>
      <c r="C43" s="4" t="s">
        <v>117</v>
      </c>
      <c r="D43" s="15" t="s">
        <v>76</v>
      </c>
      <c r="E43" s="85">
        <v>300965.583333333</v>
      </c>
      <c r="F43" s="15" t="s">
        <v>119</v>
      </c>
      <c r="G43" s="822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121</v>
      </c>
      <c r="C44" s="4" t="s">
        <v>122</v>
      </c>
      <c r="D44" s="15" t="s">
        <v>96</v>
      </c>
      <c r="E44" s="676">
        <f>'[3]Annual &amp; Monthly'!$H$37</f>
        <v>255849</v>
      </c>
      <c r="F44" s="15" t="s">
        <v>87</v>
      </c>
      <c r="G44" s="823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4"/>
      <c r="H46" s="85">
        <f t="shared" si="2"/>
        <v>0</v>
      </c>
      <c r="I46" s="221"/>
      <c r="J46" s="221"/>
    </row>
    <row r="47" customHeight="1" spans="1:10">
      <c r="A47" s="10"/>
      <c r="B47" s="23" t="s">
        <v>125</v>
      </c>
      <c r="C47" s="5"/>
      <c r="D47" s="24"/>
      <c r="E47" s="221"/>
      <c r="F47" s="221"/>
      <c r="G47" s="824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126</v>
      </c>
      <c r="C48" s="4" t="s">
        <v>127</v>
      </c>
      <c r="D48" s="10" t="s">
        <v>35</v>
      </c>
      <c r="E48" s="85">
        <v>739203.583333333</v>
      </c>
      <c r="F48" s="10" t="s">
        <v>154</v>
      </c>
      <c r="G48" s="822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129</v>
      </c>
      <c r="C49" s="4" t="s">
        <v>130</v>
      </c>
      <c r="D49" s="10" t="s">
        <v>131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132</v>
      </c>
      <c r="C50" s="4" t="s">
        <v>130</v>
      </c>
      <c r="D50" s="10" t="s">
        <v>131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133</v>
      </c>
      <c r="C51" s="4" t="s">
        <v>130</v>
      </c>
      <c r="D51" s="10" t="s">
        <v>49</v>
      </c>
      <c r="E51" s="85">
        <v>582118.083333333</v>
      </c>
      <c r="F51" s="10" t="s">
        <v>38</v>
      </c>
      <c r="G51" s="822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134</v>
      </c>
      <c r="C52" s="4" t="s">
        <v>130</v>
      </c>
      <c r="D52" s="10" t="s">
        <v>49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637</v>
      </c>
    </row>
    <row r="53" customHeight="1" spans="1:10">
      <c r="A53" s="10">
        <v>7</v>
      </c>
      <c r="B53" s="11" t="s">
        <v>138</v>
      </c>
      <c r="C53" s="4" t="s">
        <v>139</v>
      </c>
      <c r="D53" s="10" t="s">
        <v>76</v>
      </c>
      <c r="E53" s="85">
        <v>300965.583333333</v>
      </c>
      <c r="F53" s="10" t="s">
        <v>119</v>
      </c>
      <c r="G53" s="822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142</v>
      </c>
      <c r="C54" s="4" t="s">
        <v>139</v>
      </c>
      <c r="D54" s="10" t="s">
        <v>87</v>
      </c>
      <c r="E54" s="85">
        <v>263165.333333333</v>
      </c>
      <c r="F54" s="10" t="s">
        <v>84</v>
      </c>
      <c r="G54" s="822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143</v>
      </c>
      <c r="C55" s="4" t="s">
        <v>139</v>
      </c>
      <c r="D55" s="10" t="s">
        <v>87</v>
      </c>
      <c r="E55" s="85">
        <v>263165.333333333</v>
      </c>
      <c r="F55" s="10" t="s">
        <v>84</v>
      </c>
      <c r="G55" s="822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111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25"/>
      <c r="H57" s="85"/>
      <c r="I57" s="146"/>
      <c r="J57" s="146"/>
    </row>
    <row r="58" customHeight="1" spans="1:10">
      <c r="A58" s="10"/>
      <c r="B58" s="20" t="s">
        <v>145</v>
      </c>
      <c r="C58" s="21"/>
      <c r="D58" s="21"/>
      <c r="E58" s="146"/>
      <c r="F58" s="21"/>
      <c r="G58" s="825"/>
      <c r="H58" s="85"/>
      <c r="I58" s="146"/>
      <c r="J58" s="146"/>
    </row>
    <row r="59" customHeight="1" spans="1:10">
      <c r="A59" s="10">
        <v>1</v>
      </c>
      <c r="B59" s="11" t="s">
        <v>146</v>
      </c>
      <c r="C59" s="12" t="s">
        <v>147</v>
      </c>
      <c r="D59" s="15" t="s">
        <v>115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148</v>
      </c>
      <c r="C60" s="12" t="s">
        <v>149</v>
      </c>
      <c r="D60" s="15" t="s">
        <v>150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111</v>
      </c>
      <c r="C61" s="21">
        <v>2</v>
      </c>
      <c r="D61" s="21"/>
      <c r="E61" s="93">
        <f>SUM(E59:E60)</f>
        <v>2056395.58333333</v>
      </c>
      <c r="F61" s="21"/>
      <c r="G61" s="826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25"/>
      <c r="H62" s="85"/>
      <c r="I62" s="146"/>
      <c r="J62" s="146"/>
    </row>
    <row r="63" customHeight="1" spans="1:10">
      <c r="A63" s="10"/>
      <c r="B63" s="20" t="s">
        <v>151</v>
      </c>
      <c r="C63" s="21"/>
      <c r="D63" s="21"/>
      <c r="E63" s="146"/>
      <c r="F63" s="21"/>
      <c r="G63" s="825"/>
      <c r="H63" s="85"/>
      <c r="I63" s="146"/>
      <c r="J63" s="146"/>
    </row>
    <row r="64" customHeight="1" spans="1:10">
      <c r="A64" s="10">
        <v>1</v>
      </c>
      <c r="B64" s="14" t="s">
        <v>152</v>
      </c>
      <c r="C64" s="4" t="s">
        <v>153</v>
      </c>
      <c r="D64" s="10" t="s">
        <v>154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155</v>
      </c>
      <c r="C65" s="4" t="s">
        <v>156</v>
      </c>
      <c r="D65" s="10" t="s">
        <v>199</v>
      </c>
      <c r="E65" s="85">
        <v>442746.5</v>
      </c>
      <c r="F65" s="10" t="s">
        <v>46</v>
      </c>
      <c r="G65" s="822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161</v>
      </c>
      <c r="C66" s="4" t="s">
        <v>139</v>
      </c>
      <c r="D66" s="10" t="s">
        <v>68</v>
      </c>
      <c r="E66" s="85">
        <v>365703.833333333</v>
      </c>
      <c r="F66" s="10" t="s">
        <v>162</v>
      </c>
      <c r="G66" s="822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163</v>
      </c>
      <c r="C67" s="17" t="s">
        <v>70</v>
      </c>
      <c r="D67" s="10" t="s">
        <v>68</v>
      </c>
      <c r="E67" s="85">
        <v>365703.833333333</v>
      </c>
      <c r="F67" s="10" t="s">
        <v>162</v>
      </c>
      <c r="G67" s="822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164</v>
      </c>
      <c r="C68" s="17" t="s">
        <v>70</v>
      </c>
      <c r="D68" s="10" t="s">
        <v>68</v>
      </c>
      <c r="E68" s="85">
        <v>365703.833333333</v>
      </c>
      <c r="F68" s="10" t="s">
        <v>162</v>
      </c>
      <c r="G68" s="822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165</v>
      </c>
      <c r="C69" s="4" t="s">
        <v>166</v>
      </c>
      <c r="D69" s="10" t="s">
        <v>162</v>
      </c>
      <c r="E69" s="457">
        <v>377895.166666667</v>
      </c>
      <c r="F69" s="10" t="s">
        <v>65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168</v>
      </c>
      <c r="C70" s="4" t="s">
        <v>139</v>
      </c>
      <c r="D70" s="10" t="s">
        <v>76</v>
      </c>
      <c r="E70" s="220">
        <v>300965.583333333</v>
      </c>
      <c r="F70" s="10" t="s">
        <v>119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111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25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169</v>
      </c>
      <c r="C73" s="21"/>
      <c r="D73" s="21"/>
      <c r="E73" s="146"/>
      <c r="F73" s="21"/>
      <c r="G73" s="825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170</v>
      </c>
      <c r="C74" s="4" t="s">
        <v>171</v>
      </c>
      <c r="D74" s="10" t="s">
        <v>115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174</v>
      </c>
      <c r="C75" s="4" t="s">
        <v>175</v>
      </c>
      <c r="D75" s="10" t="s">
        <v>49</v>
      </c>
      <c r="E75" s="85">
        <v>582118.083333333</v>
      </c>
      <c r="F75" s="10"/>
      <c r="G75" s="822"/>
      <c r="H75" s="85"/>
      <c r="I75" s="85"/>
      <c r="J75" s="85"/>
    </row>
    <row r="76" customHeight="1" spans="1:10">
      <c r="A76" s="10">
        <v>3</v>
      </c>
      <c r="B76" s="11" t="s">
        <v>176</v>
      </c>
      <c r="C76" s="4" t="s">
        <v>177</v>
      </c>
      <c r="D76" s="15" t="s">
        <v>46</v>
      </c>
      <c r="E76" s="85">
        <v>456622.25</v>
      </c>
      <c r="F76" s="15" t="s">
        <v>178</v>
      </c>
      <c r="G76" s="822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183</v>
      </c>
      <c r="C77" s="4" t="s">
        <v>184</v>
      </c>
      <c r="D77" s="10" t="s">
        <v>137</v>
      </c>
      <c r="E77" s="85">
        <v>353512.5</v>
      </c>
      <c r="F77" s="189" t="s">
        <v>68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637</v>
      </c>
    </row>
    <row r="78" customHeight="1" spans="1:10">
      <c r="A78" s="10">
        <v>5</v>
      </c>
      <c r="B78" s="11" t="s">
        <v>185</v>
      </c>
      <c r="C78" s="4" t="s">
        <v>186</v>
      </c>
      <c r="D78" s="10" t="s">
        <v>87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637</v>
      </c>
    </row>
    <row r="79" customHeight="1" spans="1:10">
      <c r="A79" s="10">
        <v>6</v>
      </c>
      <c r="B79" s="11" t="s">
        <v>187</v>
      </c>
      <c r="C79" s="4" t="s">
        <v>188</v>
      </c>
      <c r="D79" s="10" t="s">
        <v>105</v>
      </c>
      <c r="E79" s="85">
        <v>224459.75</v>
      </c>
      <c r="F79" s="10" t="s">
        <v>102</v>
      </c>
      <c r="G79" s="822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111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25"/>
      <c r="H81" s="85">
        <f t="shared" si="5"/>
        <v>0</v>
      </c>
      <c r="I81" s="146"/>
      <c r="J81" s="146"/>
    </row>
    <row r="82" customHeight="1" spans="1:10">
      <c r="A82" s="10"/>
      <c r="B82" s="20" t="s">
        <v>189</v>
      </c>
      <c r="C82" s="25"/>
      <c r="D82" s="21"/>
      <c r="E82" s="146"/>
      <c r="F82" s="21"/>
      <c r="G82" s="825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190</v>
      </c>
      <c r="C83" s="4" t="s">
        <v>130</v>
      </c>
      <c r="D83" s="10" t="s">
        <v>194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192</v>
      </c>
      <c r="C84" s="4" t="s">
        <v>130</v>
      </c>
      <c r="D84" s="10" t="s">
        <v>131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195</v>
      </c>
      <c r="C85" s="4" t="s">
        <v>130</v>
      </c>
      <c r="D85" s="10" t="s">
        <v>49</v>
      </c>
      <c r="E85" s="85">
        <v>582118.083333333</v>
      </c>
      <c r="F85" s="10" t="s">
        <v>38</v>
      </c>
      <c r="G85" s="822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196</v>
      </c>
      <c r="C86" s="4" t="s">
        <v>156</v>
      </c>
      <c r="D86" s="15" t="s">
        <v>199</v>
      </c>
      <c r="E86" s="85">
        <v>442746.5</v>
      </c>
      <c r="F86" s="832" t="s">
        <v>46</v>
      </c>
      <c r="G86" s="822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637</v>
      </c>
    </row>
    <row r="87" ht="21.6" customHeight="1" spans="1:10">
      <c r="A87" s="10">
        <v>5</v>
      </c>
      <c r="B87" s="11" t="s">
        <v>197</v>
      </c>
      <c r="C87" s="4" t="s">
        <v>156</v>
      </c>
      <c r="D87" s="15" t="s">
        <v>199</v>
      </c>
      <c r="E87" s="85">
        <v>442746.5</v>
      </c>
      <c r="F87" s="15" t="s">
        <v>46</v>
      </c>
      <c r="G87" s="822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198</v>
      </c>
      <c r="C88" s="12" t="s">
        <v>156</v>
      </c>
      <c r="D88" s="15" t="s">
        <v>230</v>
      </c>
      <c r="E88" s="85">
        <v>428870.75</v>
      </c>
      <c r="F88" s="15" t="s">
        <v>199</v>
      </c>
      <c r="G88" s="822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200</v>
      </c>
      <c r="C89" s="17" t="s">
        <v>70</v>
      </c>
      <c r="D89" s="15" t="s">
        <v>68</v>
      </c>
      <c r="E89" s="85">
        <v>365703.833333333</v>
      </c>
      <c r="F89" s="15" t="s">
        <v>162</v>
      </c>
      <c r="G89" s="822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201</v>
      </c>
      <c r="C90" s="17" t="s">
        <v>158</v>
      </c>
      <c r="D90" s="15" t="s">
        <v>159</v>
      </c>
      <c r="E90" s="85">
        <v>390248.916666667</v>
      </c>
      <c r="F90" s="15" t="s">
        <v>202</v>
      </c>
      <c r="G90" s="822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204</v>
      </c>
      <c r="C91" s="4" t="s">
        <v>205</v>
      </c>
      <c r="D91" s="10" t="s">
        <v>76</v>
      </c>
      <c r="E91" s="220">
        <v>300965.583333333</v>
      </c>
      <c r="F91" s="10" t="s">
        <v>119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206</v>
      </c>
      <c r="C92" s="17" t="s">
        <v>207</v>
      </c>
      <c r="D92" s="15" t="s">
        <v>102</v>
      </c>
      <c r="E92" s="220">
        <v>230631.916666667</v>
      </c>
      <c r="F92" s="15" t="s">
        <v>208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111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25"/>
      <c r="H94" s="85"/>
      <c r="I94" s="146"/>
      <c r="J94" s="146"/>
    </row>
    <row r="95" customHeight="1" spans="1:10">
      <c r="A95" s="10"/>
      <c r="B95" s="20" t="s">
        <v>209</v>
      </c>
      <c r="C95" s="21"/>
      <c r="D95" s="21"/>
      <c r="E95" s="146"/>
      <c r="F95" s="21"/>
      <c r="G95" s="825"/>
      <c r="H95" s="85"/>
      <c r="I95" s="146"/>
      <c r="J95" s="146"/>
    </row>
    <row r="96" customHeight="1" spans="1:10">
      <c r="A96" s="10">
        <v>1</v>
      </c>
      <c r="B96" s="14" t="s">
        <v>210</v>
      </c>
      <c r="C96" s="4" t="s">
        <v>211</v>
      </c>
      <c r="D96" s="16" t="s">
        <v>128</v>
      </c>
      <c r="E96" s="85">
        <f>'[3]Annual &amp; Monthly'!$H$44</f>
        <v>1352042.66666667</v>
      </c>
      <c r="F96" s="16" t="s">
        <v>212</v>
      </c>
      <c r="G96" s="822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213</v>
      </c>
      <c r="C97" s="4" t="s">
        <v>214</v>
      </c>
      <c r="D97" s="15" t="s">
        <v>46</v>
      </c>
      <c r="E97" s="85">
        <v>456622.25</v>
      </c>
      <c r="F97" s="15" t="s">
        <v>178</v>
      </c>
      <c r="G97" s="822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215</v>
      </c>
      <c r="C98" s="12" t="s">
        <v>216</v>
      </c>
      <c r="D98" s="15" t="s">
        <v>159</v>
      </c>
      <c r="E98" s="85">
        <v>390248.916666667</v>
      </c>
      <c r="F98" s="15" t="s">
        <v>202</v>
      </c>
      <c r="G98" s="822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219</v>
      </c>
      <c r="C99" s="4" t="s">
        <v>220</v>
      </c>
      <c r="D99" s="15" t="s">
        <v>162</v>
      </c>
      <c r="E99" s="85">
        <v>377895.166666667</v>
      </c>
      <c r="F99" s="15" t="s">
        <v>65</v>
      </c>
      <c r="G99" s="822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221</v>
      </c>
      <c r="C100" s="4" t="s">
        <v>222</v>
      </c>
      <c r="D100" s="15" t="s">
        <v>76</v>
      </c>
      <c r="E100" s="220">
        <v>300965.583333333</v>
      </c>
      <c r="F100" s="15" t="s">
        <v>119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111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25"/>
      <c r="H102" s="85">
        <f t="shared" si="5"/>
        <v>0</v>
      </c>
      <c r="I102" s="146"/>
      <c r="J102" s="146"/>
    </row>
    <row r="103" customHeight="1" spans="1:10">
      <c r="A103" s="4"/>
      <c r="B103" s="20" t="s">
        <v>223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224</v>
      </c>
      <c r="C104" s="12" t="s">
        <v>225</v>
      </c>
      <c r="D104" s="15" t="s">
        <v>115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226</v>
      </c>
      <c r="C105" s="4" t="s">
        <v>227</v>
      </c>
      <c r="D105" s="16" t="s">
        <v>154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228</v>
      </c>
      <c r="C106" s="4" t="s">
        <v>442</v>
      </c>
      <c r="D106" s="10" t="s">
        <v>52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231</v>
      </c>
      <c r="C107" s="4" t="s">
        <v>442</v>
      </c>
      <c r="D107" s="10" t="s">
        <v>52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232</v>
      </c>
      <c r="C108" s="4" t="s">
        <v>233</v>
      </c>
      <c r="D108" s="15" t="s">
        <v>557</v>
      </c>
      <c r="E108" s="220">
        <v>249148.416666667</v>
      </c>
      <c r="F108" s="15" t="s">
        <v>234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235</v>
      </c>
      <c r="C109" s="4" t="s">
        <v>233</v>
      </c>
      <c r="D109" s="10" t="s">
        <v>558</v>
      </c>
      <c r="E109" s="220">
        <v>242976.25</v>
      </c>
      <c r="F109" s="834" t="s">
        <v>557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236</v>
      </c>
      <c r="C110" s="4" t="s">
        <v>233</v>
      </c>
      <c r="D110" s="15" t="s">
        <v>102</v>
      </c>
      <c r="E110" s="220">
        <v>230631.916666667</v>
      </c>
      <c r="F110" s="15" t="s">
        <v>208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111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237</v>
      </c>
      <c r="C113" s="21"/>
      <c r="D113" s="21"/>
      <c r="E113" s="146"/>
      <c r="F113" s="21"/>
      <c r="G113" s="825"/>
      <c r="H113" s="85"/>
      <c r="I113" s="146"/>
      <c r="J113" s="146"/>
    </row>
    <row r="114" ht="18.75" customHeight="1" spans="1:10">
      <c r="A114" s="10">
        <v>1</v>
      </c>
      <c r="B114" s="11" t="s">
        <v>238</v>
      </c>
      <c r="C114" s="4" t="s">
        <v>239</v>
      </c>
      <c r="D114" s="15" t="s">
        <v>162</v>
      </c>
      <c r="E114" s="85">
        <v>377895.166666667</v>
      </c>
      <c r="F114" s="15" t="s">
        <v>65</v>
      </c>
      <c r="G114" s="822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179</v>
      </c>
      <c r="C115" s="12" t="s">
        <v>180</v>
      </c>
      <c r="D115" s="15" t="s">
        <v>159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111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6"/>
      <c r="H117" s="85"/>
      <c r="I117" s="93"/>
      <c r="J117" s="93"/>
    </row>
    <row r="118" ht="24.75" customHeight="1" spans="1:10">
      <c r="A118" s="10"/>
      <c r="B118" s="20" t="s">
        <v>245</v>
      </c>
      <c r="C118" s="21"/>
      <c r="D118" s="21"/>
      <c r="E118" s="146"/>
      <c r="F118" s="21"/>
      <c r="G118" s="825"/>
      <c r="H118" s="85"/>
      <c r="I118" s="146"/>
      <c r="J118" s="146"/>
    </row>
    <row r="119" ht="24.75" customHeight="1" spans="1:10">
      <c r="A119" s="10">
        <v>1</v>
      </c>
      <c r="B119" s="14" t="s">
        <v>638</v>
      </c>
      <c r="C119" s="4" t="s">
        <v>639</v>
      </c>
      <c r="D119" s="10" t="s">
        <v>108</v>
      </c>
      <c r="E119" s="85">
        <v>218287.583333333</v>
      </c>
      <c r="F119" s="834"/>
      <c r="G119" s="822"/>
      <c r="H119" s="85"/>
      <c r="I119" s="85"/>
      <c r="J119" s="85"/>
    </row>
    <row r="120" ht="24.75" customHeight="1" spans="1:10">
      <c r="A120" s="10">
        <v>2</v>
      </c>
      <c r="B120" s="11" t="s">
        <v>248</v>
      </c>
      <c r="C120" s="4" t="s">
        <v>249</v>
      </c>
      <c r="D120" s="10" t="s">
        <v>108</v>
      </c>
      <c r="E120" s="85">
        <v>218287.583333333</v>
      </c>
      <c r="F120" s="834"/>
      <c r="G120" s="822"/>
      <c r="H120" s="85"/>
      <c r="I120" s="85"/>
      <c r="J120" s="85"/>
    </row>
    <row r="121" ht="24.75" customHeight="1" spans="1:10">
      <c r="A121" s="10">
        <v>3</v>
      </c>
      <c r="B121" s="11" t="s">
        <v>250</v>
      </c>
      <c r="C121" s="4" t="s">
        <v>251</v>
      </c>
      <c r="D121" s="10" t="s">
        <v>108</v>
      </c>
      <c r="E121" s="85">
        <v>218287.583333333</v>
      </c>
      <c r="F121" s="834"/>
      <c r="G121" s="822"/>
      <c r="H121" s="85"/>
      <c r="I121" s="85"/>
      <c r="J121" s="85"/>
    </row>
    <row r="122" customHeight="1" spans="1:10">
      <c r="A122" s="4"/>
      <c r="B122" s="20" t="s">
        <v>111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6"/>
      <c r="H123" s="85">
        <f>G123-E123</f>
        <v>0</v>
      </c>
      <c r="I123" s="93"/>
      <c r="J123" s="93"/>
    </row>
    <row r="124" customHeight="1" spans="1:10">
      <c r="A124" s="4"/>
      <c r="B124" s="20" t="s">
        <v>252</v>
      </c>
      <c r="C124" s="21"/>
      <c r="D124" s="21"/>
      <c r="E124" s="146"/>
      <c r="F124" s="21"/>
      <c r="G124" s="825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253</v>
      </c>
      <c r="C125" s="12" t="s">
        <v>254</v>
      </c>
      <c r="D125" s="15" t="s">
        <v>115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255</v>
      </c>
      <c r="C126" s="12" t="s">
        <v>256</v>
      </c>
      <c r="D126" s="15" t="s">
        <v>35</v>
      </c>
      <c r="E126" s="85">
        <v>739203.583333333</v>
      </c>
      <c r="F126" s="15" t="s">
        <v>154</v>
      </c>
      <c r="G126" s="822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257</v>
      </c>
      <c r="C127" s="12" t="s">
        <v>258</v>
      </c>
      <c r="D127" s="15" t="s">
        <v>131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259</v>
      </c>
      <c r="C128" s="12" t="s">
        <v>260</v>
      </c>
      <c r="D128" s="15" t="s">
        <v>178</v>
      </c>
      <c r="E128" s="85">
        <v>470498</v>
      </c>
      <c r="F128" s="15" t="s">
        <v>41</v>
      </c>
      <c r="G128" s="822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261</v>
      </c>
      <c r="C129" s="12" t="s">
        <v>495</v>
      </c>
      <c r="D129" s="15" t="s">
        <v>199</v>
      </c>
      <c r="E129" s="85">
        <v>442746.5</v>
      </c>
      <c r="F129" s="15" t="s">
        <v>46</v>
      </c>
      <c r="G129" s="822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262</v>
      </c>
      <c r="C130" s="12" t="s">
        <v>260</v>
      </c>
      <c r="D130" s="15" t="s">
        <v>46</v>
      </c>
      <c r="E130" s="85">
        <v>456622.25</v>
      </c>
      <c r="F130" s="15" t="s">
        <v>178</v>
      </c>
      <c r="G130" s="822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265</v>
      </c>
      <c r="C131" s="12" t="s">
        <v>266</v>
      </c>
      <c r="D131" s="10" t="s">
        <v>84</v>
      </c>
      <c r="E131" s="85">
        <v>270481.666666667</v>
      </c>
      <c r="F131" s="10" t="s">
        <v>79</v>
      </c>
      <c r="G131" s="822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267</v>
      </c>
      <c r="C132" s="12" t="s">
        <v>268</v>
      </c>
      <c r="D132" s="15" t="s">
        <v>105</v>
      </c>
      <c r="E132" s="85">
        <v>224459.75</v>
      </c>
      <c r="F132" s="15" t="s">
        <v>102</v>
      </c>
      <c r="G132" s="822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269</v>
      </c>
      <c r="C133" s="12" t="s">
        <v>264</v>
      </c>
      <c r="D133" s="15" t="s">
        <v>105</v>
      </c>
      <c r="E133" s="85">
        <v>224459.75</v>
      </c>
      <c r="F133" s="15" t="s">
        <v>102</v>
      </c>
      <c r="G133" s="822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270</v>
      </c>
      <c r="C134" s="12" t="s">
        <v>268</v>
      </c>
      <c r="D134" s="15" t="s">
        <v>108</v>
      </c>
      <c r="E134" s="85">
        <v>218287.583333333</v>
      </c>
      <c r="F134" s="15" t="s">
        <v>105</v>
      </c>
      <c r="G134" s="822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111</v>
      </c>
      <c r="C135" s="26" t="s">
        <v>496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25"/>
      <c r="H136" s="146"/>
      <c r="I136" s="146"/>
      <c r="J136" s="146"/>
    </row>
    <row r="137" customHeight="1" spans="1:10">
      <c r="A137" s="4"/>
      <c r="B137" s="20" t="s">
        <v>272</v>
      </c>
      <c r="C137" s="12"/>
      <c r="D137" s="15"/>
      <c r="E137" s="85"/>
      <c r="F137" s="15"/>
      <c r="G137" s="822"/>
      <c r="H137" s="85"/>
      <c r="I137" s="85"/>
      <c r="J137" s="85"/>
    </row>
    <row r="138" customHeight="1" spans="1:10">
      <c r="A138" s="27">
        <v>2</v>
      </c>
      <c r="B138" s="14" t="s">
        <v>273</v>
      </c>
      <c r="C138" s="4" t="s">
        <v>274</v>
      </c>
      <c r="D138" s="10" t="s">
        <v>275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276</v>
      </c>
      <c r="C139" s="4" t="s">
        <v>277</v>
      </c>
      <c r="D139" s="16" t="s">
        <v>154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278</v>
      </c>
      <c r="C140" s="12" t="s">
        <v>279</v>
      </c>
      <c r="D140" s="15" t="s">
        <v>49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280</v>
      </c>
      <c r="C141" s="4" t="s">
        <v>281</v>
      </c>
      <c r="D141" s="15" t="s">
        <v>49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282</v>
      </c>
      <c r="C142" s="4" t="s">
        <v>281</v>
      </c>
      <c r="D142" s="15" t="s">
        <v>49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283</v>
      </c>
      <c r="C143" s="12" t="s">
        <v>216</v>
      </c>
      <c r="D143" s="15" t="s">
        <v>159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284</v>
      </c>
      <c r="C144" s="4" t="s">
        <v>497</v>
      </c>
      <c r="D144" s="15" t="s">
        <v>159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286</v>
      </c>
      <c r="C145" s="12" t="s">
        <v>287</v>
      </c>
      <c r="D145" s="15" t="s">
        <v>162</v>
      </c>
      <c r="E145" s="85">
        <v>377895.166666667</v>
      </c>
      <c r="F145" s="15" t="s">
        <v>65</v>
      </c>
      <c r="G145" s="822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288</v>
      </c>
      <c r="C146" s="12" t="s">
        <v>289</v>
      </c>
      <c r="D146" s="15" t="s">
        <v>68</v>
      </c>
      <c r="E146" s="85">
        <v>365703.833333333</v>
      </c>
      <c r="F146" s="15" t="s">
        <v>162</v>
      </c>
      <c r="G146" s="822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290</v>
      </c>
      <c r="C147" s="4" t="s">
        <v>291</v>
      </c>
      <c r="D147" s="15" t="s">
        <v>137</v>
      </c>
      <c r="E147" s="220">
        <v>353512.5</v>
      </c>
      <c r="F147" s="15" t="s">
        <v>68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292</v>
      </c>
      <c r="C148" s="4" t="s">
        <v>291</v>
      </c>
      <c r="D148" s="15" t="s">
        <v>137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293</v>
      </c>
      <c r="C149" s="4" t="s">
        <v>291</v>
      </c>
      <c r="D149" s="15" t="s">
        <v>137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295</v>
      </c>
      <c r="C150" s="4" t="s">
        <v>291</v>
      </c>
      <c r="D150" s="15" t="s">
        <v>137</v>
      </c>
      <c r="E150" s="220">
        <v>353512.5</v>
      </c>
      <c r="F150" s="15" t="s">
        <v>68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296</v>
      </c>
      <c r="C151" s="12" t="s">
        <v>297</v>
      </c>
      <c r="D151" s="15" t="s">
        <v>76</v>
      </c>
      <c r="E151" s="220">
        <v>300965.583333333</v>
      </c>
      <c r="F151" s="15" t="s">
        <v>119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298</v>
      </c>
      <c r="C152" s="12" t="s">
        <v>299</v>
      </c>
      <c r="D152" s="10" t="s">
        <v>87</v>
      </c>
      <c r="E152" s="85">
        <v>263165.333333333</v>
      </c>
      <c r="F152" s="10" t="s">
        <v>84</v>
      </c>
      <c r="G152" s="822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300</v>
      </c>
      <c r="C153" s="12" t="s">
        <v>301</v>
      </c>
      <c r="D153" s="15" t="s">
        <v>119</v>
      </c>
      <c r="E153" s="220">
        <v>308901.5</v>
      </c>
      <c r="F153" s="15" t="s">
        <v>302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303</v>
      </c>
      <c r="C154" s="12" t="s">
        <v>304</v>
      </c>
      <c r="D154" s="15" t="s">
        <v>84</v>
      </c>
      <c r="E154" s="220">
        <v>270481.666666667</v>
      </c>
      <c r="F154" s="15" t="s">
        <v>79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305</v>
      </c>
      <c r="C155" s="12" t="s">
        <v>306</v>
      </c>
      <c r="D155" s="15" t="s">
        <v>119</v>
      </c>
      <c r="E155" s="220">
        <v>308901.5</v>
      </c>
      <c r="F155" s="15" t="s">
        <v>302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307</v>
      </c>
      <c r="C156" s="12" t="s">
        <v>308</v>
      </c>
      <c r="D156" s="15" t="s">
        <v>84</v>
      </c>
      <c r="E156" s="220">
        <v>270481.666666667</v>
      </c>
      <c r="F156" s="15" t="s">
        <v>79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309</v>
      </c>
      <c r="C157" s="12" t="s">
        <v>310</v>
      </c>
      <c r="D157" s="15" t="s">
        <v>96</v>
      </c>
      <c r="E157" s="220">
        <v>255849</v>
      </c>
      <c r="F157" s="15" t="s">
        <v>87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311</v>
      </c>
      <c r="C158" s="12" t="s">
        <v>310</v>
      </c>
      <c r="D158" s="15" t="s">
        <v>96</v>
      </c>
      <c r="E158" s="220">
        <v>255849</v>
      </c>
      <c r="F158" s="15" t="s">
        <v>87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314</v>
      </c>
      <c r="C159" s="12" t="s">
        <v>315</v>
      </c>
      <c r="D159" s="15" t="s">
        <v>105</v>
      </c>
      <c r="E159" s="85">
        <v>224459.75</v>
      </c>
      <c r="F159" s="15" t="s">
        <v>102</v>
      </c>
      <c r="G159" s="822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316</v>
      </c>
      <c r="C160" s="12" t="s">
        <v>317</v>
      </c>
      <c r="D160" s="15" t="s">
        <v>105</v>
      </c>
      <c r="E160" s="85">
        <v>224459.75</v>
      </c>
      <c r="F160" s="15" t="s">
        <v>102</v>
      </c>
      <c r="G160" s="822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318</v>
      </c>
      <c r="C161" s="12" t="s">
        <v>319</v>
      </c>
      <c r="D161" s="15" t="s">
        <v>105</v>
      </c>
      <c r="E161" s="85">
        <v>224459.75</v>
      </c>
      <c r="F161" s="15" t="s">
        <v>102</v>
      </c>
      <c r="G161" s="822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320</v>
      </c>
      <c r="C162" s="12" t="s">
        <v>321</v>
      </c>
      <c r="D162" s="15" t="s">
        <v>102</v>
      </c>
      <c r="E162" s="85">
        <v>230631.916666667</v>
      </c>
      <c r="F162" s="15" t="s">
        <v>208</v>
      </c>
      <c r="G162" s="822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322</v>
      </c>
      <c r="C163" s="12" t="s">
        <v>317</v>
      </c>
      <c r="D163" s="15" t="s">
        <v>105</v>
      </c>
      <c r="E163" s="85">
        <v>224459.75</v>
      </c>
      <c r="F163" s="15" t="s">
        <v>102</v>
      </c>
      <c r="G163" s="822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323</v>
      </c>
      <c r="C164" s="12" t="s">
        <v>324</v>
      </c>
      <c r="D164" s="15" t="s">
        <v>108</v>
      </c>
      <c r="E164" s="676">
        <f>218287.583333333</f>
        <v>218287.583333333</v>
      </c>
      <c r="F164" s="15" t="s">
        <v>105</v>
      </c>
      <c r="G164" s="823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325</v>
      </c>
      <c r="C165" s="12" t="s">
        <v>324</v>
      </c>
      <c r="D165" s="15" t="s">
        <v>108</v>
      </c>
      <c r="E165" s="676">
        <f>218287.583333333</f>
        <v>218287.583333333</v>
      </c>
      <c r="F165" s="15" t="s">
        <v>105</v>
      </c>
      <c r="G165" s="823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331</v>
      </c>
      <c r="C166" s="12" t="s">
        <v>332</v>
      </c>
      <c r="D166" s="15" t="s">
        <v>339</v>
      </c>
      <c r="E166" s="226">
        <v>168598.166666667</v>
      </c>
      <c r="F166" s="15" t="s">
        <v>333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334</v>
      </c>
      <c r="C167" s="12" t="s">
        <v>332</v>
      </c>
      <c r="D167" s="15" t="s">
        <v>339</v>
      </c>
      <c r="E167" s="226">
        <v>168598.166666667</v>
      </c>
      <c r="F167" s="15" t="s">
        <v>333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335</v>
      </c>
      <c r="C168" s="12" t="s">
        <v>332</v>
      </c>
      <c r="D168" s="15" t="s">
        <v>339</v>
      </c>
      <c r="E168" s="226">
        <v>168598.166666667</v>
      </c>
      <c r="F168" s="15" t="s">
        <v>333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336</v>
      </c>
      <c r="C169" s="12" t="s">
        <v>332</v>
      </c>
      <c r="D169" s="15" t="s">
        <v>339</v>
      </c>
      <c r="E169" s="226">
        <v>168598.166666667</v>
      </c>
      <c r="F169" s="15" t="s">
        <v>333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337</v>
      </c>
      <c r="C170" s="12" t="s">
        <v>332</v>
      </c>
      <c r="D170" s="15" t="s">
        <v>339</v>
      </c>
      <c r="E170" s="226">
        <v>168598.166666667</v>
      </c>
      <c r="F170" s="15" t="s">
        <v>333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338</v>
      </c>
      <c r="C171" s="12" t="s">
        <v>332</v>
      </c>
      <c r="D171" s="15" t="s">
        <v>350</v>
      </c>
      <c r="E171" s="226">
        <v>163336.833333333</v>
      </c>
      <c r="F171" s="15" t="s">
        <v>339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340</v>
      </c>
      <c r="C172" s="12" t="s">
        <v>332</v>
      </c>
      <c r="D172" s="15" t="s">
        <v>350</v>
      </c>
      <c r="E172" s="226">
        <v>163336.833333333</v>
      </c>
      <c r="F172" s="15" t="s">
        <v>339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341</v>
      </c>
      <c r="C173" s="12" t="s">
        <v>332</v>
      </c>
      <c r="D173" s="15" t="s">
        <v>350</v>
      </c>
      <c r="E173" s="226">
        <v>163336.833333333</v>
      </c>
      <c r="F173" s="15" t="s">
        <v>339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342</v>
      </c>
      <c r="C174" s="12" t="s">
        <v>332</v>
      </c>
      <c r="D174" s="15" t="s">
        <v>350</v>
      </c>
      <c r="E174" s="226">
        <v>163336.833333333</v>
      </c>
      <c r="F174" s="15" t="s">
        <v>339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343</v>
      </c>
      <c r="C175" s="12" t="s">
        <v>332</v>
      </c>
      <c r="D175" s="15" t="s">
        <v>350</v>
      </c>
      <c r="E175" s="226">
        <v>163336.833333333</v>
      </c>
      <c r="F175" s="15" t="s">
        <v>339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344</v>
      </c>
      <c r="C176" s="12" t="s">
        <v>332</v>
      </c>
      <c r="D176" s="15" t="s">
        <v>350</v>
      </c>
      <c r="E176" s="226">
        <v>163336.833333333</v>
      </c>
      <c r="F176" s="15" t="s">
        <v>339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345</v>
      </c>
      <c r="C177" s="12" t="s">
        <v>346</v>
      </c>
      <c r="D177" s="15" t="s">
        <v>353</v>
      </c>
      <c r="E177" s="85">
        <v>152814.166666667</v>
      </c>
      <c r="F177" s="15" t="s">
        <v>347</v>
      </c>
      <c r="G177" s="822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348</v>
      </c>
      <c r="C178" s="12" t="s">
        <v>346</v>
      </c>
      <c r="D178" s="15" t="s">
        <v>353</v>
      </c>
      <c r="E178" s="85">
        <v>152814.166666667</v>
      </c>
      <c r="F178" s="15" t="s">
        <v>347</v>
      </c>
      <c r="G178" s="822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349</v>
      </c>
      <c r="C179" s="12" t="s">
        <v>346</v>
      </c>
      <c r="D179" s="15" t="s">
        <v>347</v>
      </c>
      <c r="E179" s="85">
        <v>158075.5</v>
      </c>
      <c r="F179" s="15" t="s">
        <v>350</v>
      </c>
      <c r="G179" s="822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351</v>
      </c>
      <c r="C180" s="12" t="s">
        <v>352</v>
      </c>
      <c r="D180" s="15" t="s">
        <v>353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354</v>
      </c>
      <c r="C181" s="12" t="s">
        <v>355</v>
      </c>
      <c r="D181" s="15" t="s">
        <v>366</v>
      </c>
      <c r="E181" s="85">
        <v>91598</v>
      </c>
      <c r="F181" s="15" t="s">
        <v>498</v>
      </c>
      <c r="G181" s="822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357</v>
      </c>
      <c r="C182" s="12" t="s">
        <v>355</v>
      </c>
      <c r="D182" s="15" t="s">
        <v>366</v>
      </c>
      <c r="E182" s="85">
        <v>91598</v>
      </c>
      <c r="F182" s="15" t="s">
        <v>498</v>
      </c>
      <c r="G182" s="822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358</v>
      </c>
      <c r="C183" s="12" t="s">
        <v>355</v>
      </c>
      <c r="D183" s="15" t="s">
        <v>366</v>
      </c>
      <c r="E183" s="85">
        <v>91598</v>
      </c>
      <c r="F183" s="15" t="s">
        <v>498</v>
      </c>
      <c r="G183" s="822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359</v>
      </c>
      <c r="C184" s="12" t="s">
        <v>355</v>
      </c>
      <c r="D184" s="15" t="s">
        <v>366</v>
      </c>
      <c r="E184" s="85">
        <v>91598</v>
      </c>
      <c r="F184" s="15" t="s">
        <v>498</v>
      </c>
      <c r="G184" s="822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360</v>
      </c>
      <c r="C185" s="12" t="s">
        <v>355</v>
      </c>
      <c r="D185" s="15" t="s">
        <v>366</v>
      </c>
      <c r="E185" s="85">
        <v>91598</v>
      </c>
      <c r="F185" s="15" t="s">
        <v>498</v>
      </c>
      <c r="G185" s="822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361</v>
      </c>
      <c r="C186" s="12" t="s">
        <v>355</v>
      </c>
      <c r="D186" s="15" t="s">
        <v>366</v>
      </c>
      <c r="E186" s="85">
        <v>91598</v>
      </c>
      <c r="F186" s="15" t="s">
        <v>498</v>
      </c>
      <c r="G186" s="822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362</v>
      </c>
      <c r="C187" s="12" t="s">
        <v>355</v>
      </c>
      <c r="D187" s="15" t="s">
        <v>366</v>
      </c>
      <c r="E187" s="85">
        <v>91598</v>
      </c>
      <c r="F187" s="15" t="s">
        <v>498</v>
      </c>
      <c r="G187" s="822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499</v>
      </c>
      <c r="C188" s="12" t="s">
        <v>352</v>
      </c>
      <c r="D188" s="15" t="s">
        <v>366</v>
      </c>
      <c r="E188" s="85">
        <v>91598</v>
      </c>
      <c r="F188" s="15"/>
      <c r="G188" s="822"/>
      <c r="H188" s="85"/>
      <c r="I188" s="85"/>
      <c r="J188" s="220"/>
    </row>
    <row r="189" customHeight="1" spans="1:10">
      <c r="A189" s="27">
        <v>54</v>
      </c>
      <c r="B189" s="11" t="s">
        <v>363</v>
      </c>
      <c r="C189" s="12" t="s">
        <v>352</v>
      </c>
      <c r="D189" s="15" t="s">
        <v>366</v>
      </c>
      <c r="E189" s="85">
        <v>91598</v>
      </c>
      <c r="F189" s="15" t="s">
        <v>498</v>
      </c>
      <c r="G189" s="822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364</v>
      </c>
      <c r="C190" s="12" t="s">
        <v>365</v>
      </c>
      <c r="D190" s="15" t="s">
        <v>378</v>
      </c>
      <c r="E190" s="85">
        <v>89050.25</v>
      </c>
      <c r="F190" s="15" t="s">
        <v>366</v>
      </c>
      <c r="G190" s="822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367</v>
      </c>
      <c r="C191" s="12" t="s">
        <v>365</v>
      </c>
      <c r="D191" s="15" t="s">
        <v>370</v>
      </c>
      <c r="E191" s="85">
        <v>83955</v>
      </c>
      <c r="F191" s="15" t="s">
        <v>368</v>
      </c>
      <c r="G191" s="822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369</v>
      </c>
      <c r="C192" s="12" t="s">
        <v>346</v>
      </c>
      <c r="D192" s="15" t="s">
        <v>353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371</v>
      </c>
      <c r="C193" s="12" t="s">
        <v>372</v>
      </c>
      <c r="D193" s="15" t="s">
        <v>572</v>
      </c>
      <c r="E193" s="85">
        <v>76540.75</v>
      </c>
      <c r="F193" s="15" t="s">
        <v>373</v>
      </c>
      <c r="G193" s="822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374</v>
      </c>
      <c r="C194" s="12" t="s">
        <v>372</v>
      </c>
      <c r="D194" s="15" t="s">
        <v>572</v>
      </c>
      <c r="E194" s="85">
        <v>76540.75</v>
      </c>
      <c r="F194" s="15" t="s">
        <v>373</v>
      </c>
      <c r="G194" s="822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375</v>
      </c>
      <c r="C195" s="12" t="s">
        <v>372</v>
      </c>
      <c r="D195" s="15" t="s">
        <v>572</v>
      </c>
      <c r="E195" s="85">
        <v>76540.75</v>
      </c>
      <c r="F195" s="15" t="s">
        <v>373</v>
      </c>
      <c r="G195" s="822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376</v>
      </c>
      <c r="C196" s="12" t="s">
        <v>377</v>
      </c>
      <c r="D196" s="15" t="s">
        <v>368</v>
      </c>
      <c r="E196" s="85">
        <v>86502.5</v>
      </c>
      <c r="F196" s="15" t="s">
        <v>378</v>
      </c>
      <c r="G196" s="822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379</v>
      </c>
      <c r="C197" s="12" t="s">
        <v>377</v>
      </c>
      <c r="D197" s="15" t="s">
        <v>368</v>
      </c>
      <c r="E197" s="85">
        <v>86502.5</v>
      </c>
      <c r="F197" s="15" t="s">
        <v>378</v>
      </c>
      <c r="G197" s="822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111</v>
      </c>
      <c r="C198" s="28" t="s">
        <v>640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381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641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642</v>
      </c>
    </row>
    <row r="5" ht="17.25" customHeight="1" spans="3:5">
      <c r="C5" s="8"/>
      <c r="D5" s="8"/>
      <c r="E5" s="810" t="s">
        <v>20</v>
      </c>
    </row>
    <row r="6" customHeight="1" spans="1:5">
      <c r="A6" s="9" t="s">
        <v>21</v>
      </c>
      <c r="B6" s="8" t="s">
        <v>22</v>
      </c>
      <c r="C6" s="8"/>
      <c r="D6" s="8"/>
      <c r="E6" s="810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11">
        <v>648000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11">
        <v>216000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11">
        <v>216000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11">
        <v>216000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194</v>
      </c>
      <c r="E11" s="811">
        <v>216000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11">
        <v>151200</v>
      </c>
    </row>
    <row r="13" customHeight="1" spans="1:5">
      <c r="A13" s="10">
        <v>7</v>
      </c>
      <c r="B13" s="11" t="s">
        <v>39</v>
      </c>
      <c r="C13" s="4" t="s">
        <v>40</v>
      </c>
      <c r="D13" s="15" t="s">
        <v>41</v>
      </c>
      <c r="E13" s="811">
        <v>108000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11">
        <v>151200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11">
        <v>108000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49</v>
      </c>
      <c r="E16" s="811">
        <v>151200</v>
      </c>
    </row>
    <row r="17" customHeight="1" spans="1:5">
      <c r="A17" s="10">
        <v>11</v>
      </c>
      <c r="B17" s="11" t="s">
        <v>50</v>
      </c>
      <c r="C17" s="12" t="s">
        <v>51</v>
      </c>
      <c r="D17" s="15" t="s">
        <v>52</v>
      </c>
      <c r="E17" s="811">
        <v>108000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55</v>
      </c>
      <c r="E18" s="811">
        <v>108000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58</v>
      </c>
      <c r="E19" s="811">
        <v>108000</v>
      </c>
    </row>
    <row r="20" customHeight="1" spans="1:5">
      <c r="A20" s="10">
        <v>14</v>
      </c>
      <c r="B20" s="18" t="s">
        <v>59</v>
      </c>
      <c r="C20" s="4" t="s">
        <v>51</v>
      </c>
      <c r="D20" s="15" t="s">
        <v>58</v>
      </c>
      <c r="E20" s="811">
        <v>108000</v>
      </c>
    </row>
    <row r="21" customHeight="1" spans="1:5">
      <c r="A21" s="10">
        <v>15</v>
      </c>
      <c r="B21" s="11" t="s">
        <v>60</v>
      </c>
      <c r="C21" s="12" t="s">
        <v>61</v>
      </c>
      <c r="D21" s="15" t="s">
        <v>62</v>
      </c>
      <c r="E21" s="811">
        <v>81600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65</v>
      </c>
      <c r="E22" s="811">
        <v>81600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68</v>
      </c>
      <c r="E23" s="811">
        <v>81600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68</v>
      </c>
      <c r="E24" s="811">
        <v>81600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811">
        <v>81600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76</v>
      </c>
      <c r="E26" s="811">
        <v>81600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79</v>
      </c>
      <c r="E27" s="811">
        <v>64800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79</v>
      </c>
      <c r="E28" s="811">
        <v>64800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79</v>
      </c>
      <c r="E29" s="811">
        <v>64800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11">
        <v>64800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11">
        <v>64800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11">
        <v>64800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79</v>
      </c>
      <c r="E33" s="811">
        <v>64800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87</v>
      </c>
      <c r="E34" s="811">
        <v>64800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87</v>
      </c>
      <c r="E35" s="811">
        <v>64800</v>
      </c>
    </row>
    <row r="36" ht="18.75" customHeight="1" spans="1:5">
      <c r="A36" s="10">
        <v>30</v>
      </c>
      <c r="B36" s="18" t="s">
        <v>100</v>
      </c>
      <c r="C36" s="12" t="s">
        <v>101</v>
      </c>
      <c r="D36" s="15" t="s">
        <v>102</v>
      </c>
      <c r="E36" s="811">
        <v>64800</v>
      </c>
    </row>
    <row r="37" ht="18.75" customHeight="1" spans="1:5">
      <c r="A37" s="10">
        <v>31</v>
      </c>
      <c r="B37" s="18" t="s">
        <v>103</v>
      </c>
      <c r="C37" s="12" t="s">
        <v>104</v>
      </c>
      <c r="D37" s="15" t="s">
        <v>105</v>
      </c>
      <c r="E37" s="811">
        <v>64800</v>
      </c>
    </row>
    <row r="38" ht="26.25" customHeight="1" spans="1:5">
      <c r="A38" s="10"/>
      <c r="B38" s="20" t="s">
        <v>111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112</v>
      </c>
      <c r="C40" s="4"/>
      <c r="D40" s="15"/>
      <c r="E40" s="811"/>
    </row>
    <row r="41" ht="18.75" customHeight="1" spans="1:5">
      <c r="A41" s="10">
        <v>1</v>
      </c>
      <c r="B41" s="18" t="s">
        <v>113</v>
      </c>
      <c r="C41" s="4" t="s">
        <v>114</v>
      </c>
      <c r="D41" s="10" t="s">
        <v>115</v>
      </c>
      <c r="E41" s="811">
        <f>270000*1.2</f>
        <v>324000</v>
      </c>
    </row>
    <row r="42" ht="18.75" customHeight="1" spans="1:5">
      <c r="A42" s="10">
        <v>2</v>
      </c>
      <c r="B42" s="18" t="s">
        <v>116</v>
      </c>
      <c r="C42" s="4" t="s">
        <v>117</v>
      </c>
      <c r="D42" s="10" t="s">
        <v>76</v>
      </c>
      <c r="E42" s="811">
        <f>68000*1.2</f>
        <v>81600</v>
      </c>
    </row>
    <row r="43" ht="18.75" customHeight="1" spans="1:5">
      <c r="A43" s="10">
        <v>3</v>
      </c>
      <c r="B43" s="11" t="s">
        <v>118</v>
      </c>
      <c r="C43" s="4" t="s">
        <v>117</v>
      </c>
      <c r="D43" s="15" t="s">
        <v>119</v>
      </c>
      <c r="E43" s="811">
        <f>68000*1.2</f>
        <v>81600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87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125</v>
      </c>
      <c r="C47" s="5"/>
      <c r="D47" s="24"/>
      <c r="E47" s="812"/>
    </row>
    <row r="48" customHeight="1" spans="1:5">
      <c r="A48" s="10">
        <v>1</v>
      </c>
      <c r="B48" s="11" t="s">
        <v>126</v>
      </c>
      <c r="C48" s="4" t="s">
        <v>127</v>
      </c>
      <c r="D48" s="10" t="s">
        <v>154</v>
      </c>
      <c r="E48" s="811">
        <v>216000</v>
      </c>
    </row>
    <row r="49" customHeight="1" spans="1:5">
      <c r="A49" s="10">
        <v>2</v>
      </c>
      <c r="B49" s="11" t="s">
        <v>129</v>
      </c>
      <c r="C49" s="4" t="s">
        <v>130</v>
      </c>
      <c r="D49" s="10" t="s">
        <v>131</v>
      </c>
      <c r="E49" s="811">
        <v>151200</v>
      </c>
    </row>
    <row r="50" customHeight="1" spans="1:5">
      <c r="A50" s="10">
        <v>3</v>
      </c>
      <c r="B50" s="11" t="s">
        <v>132</v>
      </c>
      <c r="C50" s="4" t="s">
        <v>130</v>
      </c>
      <c r="D50" s="10" t="s">
        <v>131</v>
      </c>
      <c r="E50" s="811">
        <v>151200</v>
      </c>
    </row>
    <row r="51" customHeight="1" spans="1:5">
      <c r="A51" s="10">
        <v>4</v>
      </c>
      <c r="B51" s="11" t="s">
        <v>133</v>
      </c>
      <c r="C51" s="4" t="s">
        <v>130</v>
      </c>
      <c r="D51" s="10" t="s">
        <v>38</v>
      </c>
      <c r="E51" s="811">
        <v>151200</v>
      </c>
    </row>
    <row r="52" customHeight="1" spans="1:5">
      <c r="A52" s="10">
        <v>5</v>
      </c>
      <c r="B52" s="14" t="s">
        <v>134</v>
      </c>
      <c r="C52" s="4" t="s">
        <v>130</v>
      </c>
      <c r="D52" s="10" t="s">
        <v>49</v>
      </c>
      <c r="E52" s="811">
        <v>151200</v>
      </c>
    </row>
    <row r="53" customHeight="1" spans="1:5">
      <c r="A53" s="10">
        <v>6</v>
      </c>
      <c r="B53" s="11" t="s">
        <v>138</v>
      </c>
      <c r="C53" s="4" t="s">
        <v>139</v>
      </c>
      <c r="D53" s="10" t="s">
        <v>119</v>
      </c>
      <c r="E53" s="811">
        <v>81600</v>
      </c>
    </row>
    <row r="54" customHeight="1" spans="1:5">
      <c r="A54" s="10">
        <v>7</v>
      </c>
      <c r="B54" s="11" t="s">
        <v>142</v>
      </c>
      <c r="C54" s="4" t="s">
        <v>139</v>
      </c>
      <c r="D54" s="10" t="s">
        <v>84</v>
      </c>
      <c r="E54" s="811">
        <v>64800</v>
      </c>
    </row>
    <row r="55" customHeight="1" spans="1:5">
      <c r="A55" s="10">
        <v>8</v>
      </c>
      <c r="B55" s="11" t="s">
        <v>143</v>
      </c>
      <c r="C55" s="4" t="s">
        <v>139</v>
      </c>
      <c r="D55" s="10" t="s">
        <v>84</v>
      </c>
      <c r="E55" s="811">
        <v>64800</v>
      </c>
    </row>
    <row r="56" ht="25.5" customHeight="1" spans="1:5">
      <c r="A56" s="10"/>
      <c r="B56" s="20" t="s">
        <v>111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145</v>
      </c>
      <c r="C58" s="21"/>
      <c r="D58" s="21"/>
      <c r="E58" s="815"/>
    </row>
    <row r="59" customHeight="1" spans="1:5">
      <c r="A59" s="10">
        <v>1</v>
      </c>
      <c r="B59" s="11" t="s">
        <v>146</v>
      </c>
      <c r="C59" s="12" t="s">
        <v>147</v>
      </c>
      <c r="D59" s="15" t="s">
        <v>115</v>
      </c>
      <c r="E59" s="811">
        <v>324000</v>
      </c>
    </row>
    <row r="60" customHeight="1" spans="1:5">
      <c r="A60" s="10">
        <v>2</v>
      </c>
      <c r="B60" s="11" t="s">
        <v>148</v>
      </c>
      <c r="C60" s="12" t="s">
        <v>149</v>
      </c>
      <c r="D60" s="15" t="s">
        <v>150</v>
      </c>
      <c r="E60" s="811">
        <v>151200</v>
      </c>
    </row>
    <row r="61" customHeight="1" spans="1:5">
      <c r="A61" s="10"/>
      <c r="B61" s="20" t="s">
        <v>111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151</v>
      </c>
      <c r="C63" s="21"/>
      <c r="D63" s="21"/>
      <c r="E63" s="815"/>
    </row>
    <row r="64" customHeight="1" spans="1:5">
      <c r="A64" s="10">
        <v>1</v>
      </c>
      <c r="B64" s="14" t="s">
        <v>152</v>
      </c>
      <c r="C64" s="4" t="s">
        <v>153</v>
      </c>
      <c r="D64" s="10" t="s">
        <v>154</v>
      </c>
      <c r="E64" s="811">
        <v>216000</v>
      </c>
    </row>
    <row r="65" customHeight="1" spans="1:5">
      <c r="A65" s="10">
        <v>2</v>
      </c>
      <c r="B65" s="11" t="s">
        <v>155</v>
      </c>
      <c r="C65" s="4" t="s">
        <v>156</v>
      </c>
      <c r="D65" s="10" t="s">
        <v>46</v>
      </c>
      <c r="E65" s="811">
        <v>108000</v>
      </c>
    </row>
    <row r="66" customHeight="1" spans="1:5">
      <c r="A66" s="10">
        <v>3</v>
      </c>
      <c r="B66" s="11" t="s">
        <v>161</v>
      </c>
      <c r="C66" s="4" t="s">
        <v>139</v>
      </c>
      <c r="D66" s="10" t="s">
        <v>162</v>
      </c>
      <c r="E66" s="811">
        <v>81600</v>
      </c>
    </row>
    <row r="67" customHeight="1" spans="1:5">
      <c r="A67" s="10">
        <v>4</v>
      </c>
      <c r="B67" s="11" t="s">
        <v>163</v>
      </c>
      <c r="C67" s="17" t="s">
        <v>70</v>
      </c>
      <c r="D67" s="10" t="s">
        <v>162</v>
      </c>
      <c r="E67" s="811">
        <v>81600</v>
      </c>
    </row>
    <row r="68" customHeight="1" spans="1:5">
      <c r="A68" s="10">
        <v>5</v>
      </c>
      <c r="B68" s="11" t="s">
        <v>164</v>
      </c>
      <c r="C68" s="17" t="s">
        <v>70</v>
      </c>
      <c r="D68" s="10" t="s">
        <v>162</v>
      </c>
      <c r="E68" s="811">
        <v>81600</v>
      </c>
    </row>
    <row r="69" customHeight="1" spans="1:5">
      <c r="A69" s="10">
        <v>6</v>
      </c>
      <c r="B69" s="11" t="s">
        <v>165</v>
      </c>
      <c r="C69" s="4" t="s">
        <v>166</v>
      </c>
      <c r="D69" s="10" t="s">
        <v>65</v>
      </c>
      <c r="E69" s="811">
        <v>81600</v>
      </c>
    </row>
    <row r="70" ht="21.6" customHeight="1" spans="1:5">
      <c r="A70" s="10">
        <v>7</v>
      </c>
      <c r="B70" s="11" t="s">
        <v>168</v>
      </c>
      <c r="C70" s="4" t="s">
        <v>139</v>
      </c>
      <c r="D70" s="10" t="s">
        <v>119</v>
      </c>
      <c r="E70" s="811">
        <v>81600</v>
      </c>
    </row>
    <row r="71" ht="27" customHeight="1" spans="1:5">
      <c r="A71" s="10"/>
      <c r="B71" s="20" t="s">
        <v>111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169</v>
      </c>
      <c r="C73" s="21"/>
      <c r="D73" s="21"/>
      <c r="E73" s="815"/>
    </row>
    <row r="74" customHeight="1" spans="1:5">
      <c r="A74" s="10">
        <v>1</v>
      </c>
      <c r="B74" s="11" t="s">
        <v>170</v>
      </c>
      <c r="C74" s="4" t="s">
        <v>171</v>
      </c>
      <c r="D74" s="10" t="s">
        <v>115</v>
      </c>
      <c r="E74" s="811">
        <v>324000</v>
      </c>
    </row>
    <row r="75" customHeight="1" spans="1:5">
      <c r="A75" s="10">
        <v>2</v>
      </c>
      <c r="B75" s="11" t="s">
        <v>174</v>
      </c>
      <c r="C75" s="4" t="s">
        <v>175</v>
      </c>
      <c r="D75" s="10" t="s">
        <v>49</v>
      </c>
      <c r="E75" s="811">
        <v>151200</v>
      </c>
    </row>
    <row r="76" customHeight="1" spans="1:5">
      <c r="A76" s="10">
        <v>3</v>
      </c>
      <c r="B76" s="11" t="s">
        <v>176</v>
      </c>
      <c r="C76" s="4" t="s">
        <v>177</v>
      </c>
      <c r="D76" s="15" t="s">
        <v>178</v>
      </c>
      <c r="E76" s="811">
        <v>108000</v>
      </c>
    </row>
    <row r="77" customHeight="1" spans="1:5">
      <c r="A77" s="10">
        <v>4</v>
      </c>
      <c r="B77" s="11" t="s">
        <v>183</v>
      </c>
      <c r="C77" s="4" t="s">
        <v>184</v>
      </c>
      <c r="D77" s="10" t="s">
        <v>68</v>
      </c>
      <c r="E77" s="811">
        <v>81600</v>
      </c>
    </row>
    <row r="78" customHeight="1" spans="1:5">
      <c r="A78" s="10">
        <v>5</v>
      </c>
      <c r="B78" s="11" t="s">
        <v>185</v>
      </c>
      <c r="C78" s="4" t="s">
        <v>186</v>
      </c>
      <c r="D78" s="10" t="s">
        <v>87</v>
      </c>
      <c r="E78" s="811">
        <v>64800</v>
      </c>
    </row>
    <row r="79" customHeight="1" spans="1:5">
      <c r="A79" s="10">
        <v>6</v>
      </c>
      <c r="B79" s="11" t="s">
        <v>187</v>
      </c>
      <c r="C79" s="4" t="s">
        <v>188</v>
      </c>
      <c r="D79" s="10" t="s">
        <v>102</v>
      </c>
      <c r="E79" s="811">
        <v>64800</v>
      </c>
    </row>
    <row r="80" customHeight="1" spans="1:5">
      <c r="A80" s="10"/>
      <c r="B80" s="20" t="s">
        <v>111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189</v>
      </c>
      <c r="C82" s="25"/>
      <c r="D82" s="21"/>
      <c r="E82" s="815"/>
    </row>
    <row r="83" customHeight="1" spans="1:5">
      <c r="A83" s="10">
        <v>1</v>
      </c>
      <c r="B83" s="11" t="s">
        <v>190</v>
      </c>
      <c r="C83" s="4" t="s">
        <v>130</v>
      </c>
      <c r="D83" s="10" t="s">
        <v>128</v>
      </c>
      <c r="E83" s="811">
        <v>324000</v>
      </c>
    </row>
    <row r="84" customHeight="1" spans="1:5">
      <c r="A84" s="10">
        <v>2</v>
      </c>
      <c r="B84" s="11" t="s">
        <v>192</v>
      </c>
      <c r="C84" s="4" t="s">
        <v>193</v>
      </c>
      <c r="D84" s="10" t="s">
        <v>194</v>
      </c>
      <c r="E84" s="811">
        <v>216000</v>
      </c>
    </row>
    <row r="85" customHeight="1" spans="1:5">
      <c r="A85" s="10">
        <v>3</v>
      </c>
      <c r="B85" s="11" t="s">
        <v>195</v>
      </c>
      <c r="C85" s="4" t="s">
        <v>130</v>
      </c>
      <c r="D85" s="10" t="s">
        <v>38</v>
      </c>
      <c r="E85" s="811">
        <v>151200</v>
      </c>
    </row>
    <row r="86" ht="21.6" customHeight="1" spans="1:5">
      <c r="A86" s="10">
        <v>4</v>
      </c>
      <c r="B86" s="11" t="s">
        <v>196</v>
      </c>
      <c r="C86" s="4" t="s">
        <v>156</v>
      </c>
      <c r="D86" s="15" t="s">
        <v>46</v>
      </c>
      <c r="E86" s="811">
        <v>108000</v>
      </c>
    </row>
    <row r="87" ht="21.6" customHeight="1" spans="1:5">
      <c r="A87" s="10">
        <v>5</v>
      </c>
      <c r="B87" s="11" t="s">
        <v>197</v>
      </c>
      <c r="C87" s="4" t="s">
        <v>156</v>
      </c>
      <c r="D87" s="15" t="s">
        <v>46</v>
      </c>
      <c r="E87" s="811">
        <v>108000</v>
      </c>
    </row>
    <row r="88" ht="21.6" customHeight="1" spans="1:5">
      <c r="A88" s="10">
        <v>6</v>
      </c>
      <c r="B88" s="11" t="s">
        <v>198</v>
      </c>
      <c r="C88" s="12" t="s">
        <v>156</v>
      </c>
      <c r="D88" s="15" t="s">
        <v>199</v>
      </c>
      <c r="E88" s="811">
        <v>108000</v>
      </c>
    </row>
    <row r="89" ht="21.6" customHeight="1" spans="1:5">
      <c r="A89" s="10">
        <v>7</v>
      </c>
      <c r="B89" s="11" t="s">
        <v>200</v>
      </c>
      <c r="C89" s="17" t="s">
        <v>70</v>
      </c>
      <c r="D89" s="15" t="s">
        <v>162</v>
      </c>
      <c r="E89" s="811">
        <v>81600</v>
      </c>
    </row>
    <row r="90" ht="21.6" customHeight="1" spans="1:5">
      <c r="A90" s="10">
        <v>8</v>
      </c>
      <c r="B90" s="11" t="s">
        <v>201</v>
      </c>
      <c r="C90" s="17" t="s">
        <v>158</v>
      </c>
      <c r="D90" s="15" t="s">
        <v>202</v>
      </c>
      <c r="E90" s="811">
        <v>108000</v>
      </c>
    </row>
    <row r="91" ht="21.6" customHeight="1" spans="1:5">
      <c r="A91" s="10">
        <v>9</v>
      </c>
      <c r="B91" s="11" t="s">
        <v>204</v>
      </c>
      <c r="C91" s="4" t="s">
        <v>205</v>
      </c>
      <c r="D91" s="10" t="s">
        <v>119</v>
      </c>
      <c r="E91" s="816">
        <v>81600</v>
      </c>
    </row>
    <row r="92" ht="21.6" customHeight="1" spans="1:5">
      <c r="A92" s="10">
        <v>10</v>
      </c>
      <c r="B92" s="11" t="s">
        <v>206</v>
      </c>
      <c r="C92" s="17" t="s">
        <v>207</v>
      </c>
      <c r="D92" s="15" t="s">
        <v>208</v>
      </c>
      <c r="E92" s="816">
        <v>64800</v>
      </c>
    </row>
    <row r="93" customHeight="1" spans="1:5">
      <c r="A93" s="10"/>
      <c r="B93" s="20" t="s">
        <v>111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209</v>
      </c>
      <c r="C95" s="21"/>
      <c r="D95" s="21"/>
      <c r="E95" s="815"/>
    </row>
    <row r="96" customHeight="1" spans="1:5">
      <c r="A96" s="10">
        <v>1</v>
      </c>
      <c r="B96" s="14" t="s">
        <v>210</v>
      </c>
      <c r="C96" s="4" t="s">
        <v>211</v>
      </c>
      <c r="D96" s="16" t="s">
        <v>212</v>
      </c>
      <c r="E96" s="811">
        <v>324000</v>
      </c>
    </row>
    <row r="97" customHeight="1" spans="1:5">
      <c r="A97" s="10">
        <v>2</v>
      </c>
      <c r="B97" s="11" t="s">
        <v>213</v>
      </c>
      <c r="C97" s="4" t="s">
        <v>214</v>
      </c>
      <c r="D97" s="15" t="s">
        <v>178</v>
      </c>
      <c r="E97" s="811">
        <v>108000</v>
      </c>
    </row>
    <row r="98" customHeight="1" spans="1:5">
      <c r="A98" s="10">
        <v>3</v>
      </c>
      <c r="B98" s="11" t="s">
        <v>215</v>
      </c>
      <c r="C98" s="12" t="s">
        <v>216</v>
      </c>
      <c r="D98" s="15" t="s">
        <v>202</v>
      </c>
      <c r="E98" s="811">
        <v>108000</v>
      </c>
    </row>
    <row r="99" customHeight="1" spans="1:5">
      <c r="A99" s="10">
        <v>4</v>
      </c>
      <c r="B99" s="11" t="s">
        <v>219</v>
      </c>
      <c r="C99" s="4" t="s">
        <v>220</v>
      </c>
      <c r="D99" s="15" t="s">
        <v>65</v>
      </c>
      <c r="E99" s="811">
        <v>81600</v>
      </c>
    </row>
    <row r="100" customHeight="1" spans="1:5">
      <c r="A100" s="10">
        <v>5</v>
      </c>
      <c r="B100" s="11" t="s">
        <v>221</v>
      </c>
      <c r="C100" s="4" t="s">
        <v>222</v>
      </c>
      <c r="D100" s="15" t="s">
        <v>119</v>
      </c>
      <c r="E100" s="816">
        <v>81600</v>
      </c>
    </row>
    <row r="101" customHeight="1" spans="1:5">
      <c r="A101" s="4"/>
      <c r="B101" s="20" t="s">
        <v>111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223</v>
      </c>
      <c r="C103" s="4"/>
      <c r="D103" s="4"/>
      <c r="E103" s="817"/>
    </row>
    <row r="104" customHeight="1" spans="1:5">
      <c r="A104" s="4">
        <v>1</v>
      </c>
      <c r="B104" s="11" t="s">
        <v>224</v>
      </c>
      <c r="C104" s="12" t="s">
        <v>225</v>
      </c>
      <c r="D104" s="15" t="s">
        <v>115</v>
      </c>
      <c r="E104" s="811">
        <v>324000</v>
      </c>
    </row>
    <row r="105" customHeight="1" spans="1:5">
      <c r="A105" s="4">
        <v>2</v>
      </c>
      <c r="B105" s="11" t="s">
        <v>226</v>
      </c>
      <c r="C105" s="4" t="s">
        <v>227</v>
      </c>
      <c r="D105" s="16" t="s">
        <v>154</v>
      </c>
      <c r="E105" s="811">
        <v>216000</v>
      </c>
    </row>
    <row r="106" customHeight="1" spans="1:5">
      <c r="A106" s="4">
        <v>3</v>
      </c>
      <c r="B106" s="11" t="s">
        <v>228</v>
      </c>
      <c r="C106" s="4" t="s">
        <v>442</v>
      </c>
      <c r="D106" s="10" t="s">
        <v>52</v>
      </c>
      <c r="E106" s="811">
        <v>108000</v>
      </c>
    </row>
    <row r="107" customHeight="1" spans="1:5">
      <c r="A107" s="4">
        <v>4</v>
      </c>
      <c r="B107" s="11" t="s">
        <v>231</v>
      </c>
      <c r="C107" s="4" t="s">
        <v>442</v>
      </c>
      <c r="D107" s="10" t="s">
        <v>52</v>
      </c>
      <c r="E107" s="811">
        <v>108000</v>
      </c>
    </row>
    <row r="108" customHeight="1" spans="1:5">
      <c r="A108" s="4">
        <v>5</v>
      </c>
      <c r="B108" s="11" t="s">
        <v>232</v>
      </c>
      <c r="C108" s="4" t="s">
        <v>233</v>
      </c>
      <c r="D108" s="15" t="s">
        <v>234</v>
      </c>
      <c r="E108" s="816">
        <v>64800</v>
      </c>
    </row>
    <row r="109" customHeight="1" spans="1:5">
      <c r="A109" s="4">
        <v>6</v>
      </c>
      <c r="B109" s="18" t="s">
        <v>235</v>
      </c>
      <c r="C109" s="4" t="s">
        <v>233</v>
      </c>
      <c r="D109" s="10" t="s">
        <v>96</v>
      </c>
      <c r="E109" s="816">
        <v>64800</v>
      </c>
    </row>
    <row r="110" customHeight="1" spans="1:5">
      <c r="A110" s="4">
        <v>7</v>
      </c>
      <c r="B110" s="18" t="s">
        <v>236</v>
      </c>
      <c r="C110" s="4" t="s">
        <v>233</v>
      </c>
      <c r="D110" s="15" t="s">
        <v>208</v>
      </c>
      <c r="E110" s="816">
        <v>64800</v>
      </c>
    </row>
    <row r="111" ht="25.5" customHeight="1" spans="1:5">
      <c r="A111" s="4"/>
      <c r="B111" s="20" t="s">
        <v>111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237</v>
      </c>
      <c r="C113" s="21"/>
      <c r="D113" s="21"/>
      <c r="E113" s="815"/>
    </row>
    <row r="114" ht="18.75" customHeight="1" spans="1:5">
      <c r="A114" s="10">
        <v>1</v>
      </c>
      <c r="B114" s="11" t="s">
        <v>238</v>
      </c>
      <c r="C114" s="4" t="s">
        <v>239</v>
      </c>
      <c r="D114" s="15" t="s">
        <v>65</v>
      </c>
      <c r="E114" s="811">
        <v>81600</v>
      </c>
    </row>
    <row r="115" ht="18.75" customHeight="1" spans="1:5">
      <c r="A115" s="10">
        <v>2</v>
      </c>
      <c r="B115" s="11" t="s">
        <v>240</v>
      </c>
      <c r="C115" s="4" t="s">
        <v>70</v>
      </c>
      <c r="D115" s="15" t="s">
        <v>162</v>
      </c>
      <c r="E115" s="811">
        <v>81600</v>
      </c>
    </row>
    <row r="116" customHeight="1" spans="1:5">
      <c r="A116" s="10">
        <v>3</v>
      </c>
      <c r="B116" s="11" t="s">
        <v>179</v>
      </c>
      <c r="C116" s="12" t="s">
        <v>180</v>
      </c>
      <c r="D116" s="15" t="s">
        <v>159</v>
      </c>
      <c r="E116" s="811">
        <v>108000</v>
      </c>
    </row>
    <row r="117" ht="24.75" customHeight="1" spans="1:5">
      <c r="A117" s="4"/>
      <c r="B117" s="20" t="s">
        <v>111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245</v>
      </c>
      <c r="C119" s="21"/>
      <c r="D119" s="21"/>
      <c r="E119" s="815"/>
    </row>
    <row r="120" ht="24.75" customHeight="1" spans="1:5">
      <c r="A120" s="10">
        <v>1</v>
      </c>
      <c r="B120" s="11" t="s">
        <v>248</v>
      </c>
      <c r="C120" s="4" t="s">
        <v>249</v>
      </c>
      <c r="D120" s="10" t="s">
        <v>108</v>
      </c>
      <c r="E120" s="811">
        <v>64800</v>
      </c>
    </row>
    <row r="121" ht="24.75" customHeight="1" spans="1:5">
      <c r="A121" s="10">
        <v>2</v>
      </c>
      <c r="B121" s="11" t="s">
        <v>250</v>
      </c>
      <c r="C121" s="4" t="s">
        <v>251</v>
      </c>
      <c r="D121" s="10" t="s">
        <v>108</v>
      </c>
      <c r="E121" s="811">
        <v>64800</v>
      </c>
    </row>
    <row r="122" customHeight="1" spans="1:5">
      <c r="A122" s="4"/>
      <c r="B122" s="20" t="s">
        <v>111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252</v>
      </c>
      <c r="C124" s="21"/>
      <c r="D124" s="21"/>
      <c r="E124" s="815"/>
    </row>
    <row r="125" customHeight="1" spans="1:5">
      <c r="A125" s="4">
        <v>1</v>
      </c>
      <c r="B125" s="11" t="s">
        <v>253</v>
      </c>
      <c r="C125" s="12" t="s">
        <v>254</v>
      </c>
      <c r="D125" s="15" t="s">
        <v>115</v>
      </c>
      <c r="E125" s="811">
        <v>324000</v>
      </c>
    </row>
    <row r="126" customHeight="1" spans="1:5">
      <c r="A126" s="4">
        <v>2</v>
      </c>
      <c r="B126" s="11" t="s">
        <v>255</v>
      </c>
      <c r="C126" s="12" t="s">
        <v>256</v>
      </c>
      <c r="D126" s="15" t="s">
        <v>154</v>
      </c>
      <c r="E126" s="811">
        <v>216000</v>
      </c>
    </row>
    <row r="127" customHeight="1" spans="1:5">
      <c r="A127" s="4">
        <v>3</v>
      </c>
      <c r="B127" s="14" t="s">
        <v>257</v>
      </c>
      <c r="C127" s="12" t="s">
        <v>258</v>
      </c>
      <c r="D127" s="15" t="s">
        <v>194</v>
      </c>
      <c r="E127" s="811">
        <v>216000</v>
      </c>
    </row>
    <row r="128" customHeight="1" spans="1:5">
      <c r="A128" s="4">
        <v>4</v>
      </c>
      <c r="B128" s="11" t="s">
        <v>259</v>
      </c>
      <c r="C128" s="12" t="s">
        <v>260</v>
      </c>
      <c r="D128" s="15" t="s">
        <v>41</v>
      </c>
      <c r="E128" s="811">
        <v>108000</v>
      </c>
    </row>
    <row r="129" customHeight="1" spans="1:5">
      <c r="A129" s="4">
        <v>5</v>
      </c>
      <c r="B129" s="11" t="s">
        <v>261</v>
      </c>
      <c r="C129" s="12" t="s">
        <v>495</v>
      </c>
      <c r="D129" s="15" t="s">
        <v>46</v>
      </c>
      <c r="E129" s="811">
        <v>108000</v>
      </c>
    </row>
    <row r="130" customHeight="1" spans="1:5">
      <c r="A130" s="4">
        <v>6</v>
      </c>
      <c r="B130" s="11" t="s">
        <v>262</v>
      </c>
      <c r="C130" s="12" t="s">
        <v>260</v>
      </c>
      <c r="D130" s="15" t="s">
        <v>178</v>
      </c>
      <c r="E130" s="811">
        <v>108000</v>
      </c>
    </row>
    <row r="131" customHeight="1" spans="1:5">
      <c r="A131" s="4">
        <v>7</v>
      </c>
      <c r="B131" s="11" t="s">
        <v>265</v>
      </c>
      <c r="C131" s="12" t="s">
        <v>266</v>
      </c>
      <c r="D131" s="10" t="s">
        <v>79</v>
      </c>
      <c r="E131" s="811">
        <v>64800</v>
      </c>
    </row>
    <row r="132" customHeight="1" spans="1:5">
      <c r="A132" s="4">
        <v>8</v>
      </c>
      <c r="B132" s="18" t="s">
        <v>267</v>
      </c>
      <c r="C132" s="12" t="s">
        <v>268</v>
      </c>
      <c r="D132" s="15" t="s">
        <v>102</v>
      </c>
      <c r="E132" s="811">
        <v>64800</v>
      </c>
    </row>
    <row r="133" customHeight="1" spans="1:5">
      <c r="A133" s="4">
        <v>9</v>
      </c>
      <c r="B133" s="18" t="s">
        <v>269</v>
      </c>
      <c r="C133" s="12" t="s">
        <v>264</v>
      </c>
      <c r="D133" s="15" t="s">
        <v>102</v>
      </c>
      <c r="E133" s="811">
        <v>64800</v>
      </c>
    </row>
    <row r="134" customHeight="1" spans="1:5">
      <c r="A134" s="4">
        <v>10</v>
      </c>
      <c r="B134" s="18" t="s">
        <v>270</v>
      </c>
      <c r="C134" s="12" t="s">
        <v>268</v>
      </c>
      <c r="D134" s="15" t="s">
        <v>105</v>
      </c>
      <c r="E134" s="811">
        <v>64800</v>
      </c>
    </row>
    <row r="135" ht="28.5" customHeight="1" spans="1:5">
      <c r="A135" s="4"/>
      <c r="B135" s="20" t="s">
        <v>111</v>
      </c>
      <c r="C135" s="26" t="s">
        <v>496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272</v>
      </c>
      <c r="C137" s="12"/>
      <c r="D137" s="15"/>
      <c r="E137" s="811"/>
    </row>
    <row r="138" customHeight="1" spans="1:5">
      <c r="A138" s="27">
        <v>1</v>
      </c>
      <c r="B138" s="14" t="s">
        <v>273</v>
      </c>
      <c r="C138" s="4" t="s">
        <v>274</v>
      </c>
      <c r="D138" s="10" t="s">
        <v>275</v>
      </c>
      <c r="E138" s="811">
        <v>324000</v>
      </c>
    </row>
    <row r="139" customHeight="1" spans="1:5">
      <c r="A139" s="27">
        <v>2</v>
      </c>
      <c r="B139" s="14" t="s">
        <v>276</v>
      </c>
      <c r="C139" s="4" t="s">
        <v>277</v>
      </c>
      <c r="D139" s="16" t="s">
        <v>154</v>
      </c>
      <c r="E139" s="811">
        <v>216000</v>
      </c>
    </row>
    <row r="140" customHeight="1" spans="1:5">
      <c r="A140" s="27">
        <v>3</v>
      </c>
      <c r="B140" s="11" t="s">
        <v>278</v>
      </c>
      <c r="C140" s="12" t="s">
        <v>279</v>
      </c>
      <c r="D140" s="15" t="s">
        <v>49</v>
      </c>
      <c r="E140" s="811">
        <v>151200</v>
      </c>
    </row>
    <row r="141" customHeight="1" spans="1:5">
      <c r="A141" s="27">
        <v>4</v>
      </c>
      <c r="B141" s="11" t="s">
        <v>280</v>
      </c>
      <c r="C141" s="4" t="s">
        <v>281</v>
      </c>
      <c r="D141" s="15" t="s">
        <v>49</v>
      </c>
      <c r="E141" s="811">
        <v>151200</v>
      </c>
    </row>
    <row r="142" customHeight="1" spans="1:5">
      <c r="A142" s="27">
        <v>5</v>
      </c>
      <c r="B142" s="11" t="s">
        <v>282</v>
      </c>
      <c r="C142" s="4" t="s">
        <v>281</v>
      </c>
      <c r="D142" s="15" t="s">
        <v>49</v>
      </c>
      <c r="E142" s="811">
        <v>151200</v>
      </c>
    </row>
    <row r="143" customHeight="1" spans="1:5">
      <c r="A143" s="27">
        <v>6</v>
      </c>
      <c r="B143" s="11" t="s">
        <v>283</v>
      </c>
      <c r="C143" s="12" t="s">
        <v>216</v>
      </c>
      <c r="D143" s="15" t="s">
        <v>159</v>
      </c>
      <c r="E143" s="811">
        <v>108000</v>
      </c>
    </row>
    <row r="144" customHeight="1" spans="1:5">
      <c r="A144" s="27">
        <v>7</v>
      </c>
      <c r="B144" s="11" t="s">
        <v>284</v>
      </c>
      <c r="C144" s="4" t="s">
        <v>497</v>
      </c>
      <c r="D144" s="15" t="s">
        <v>159</v>
      </c>
      <c r="E144" s="811">
        <v>108000</v>
      </c>
    </row>
    <row r="145" customHeight="1" spans="1:5">
      <c r="A145" s="27">
        <v>8</v>
      </c>
      <c r="B145" s="11" t="s">
        <v>286</v>
      </c>
      <c r="C145" s="12" t="s">
        <v>287</v>
      </c>
      <c r="D145" s="15" t="s">
        <v>65</v>
      </c>
      <c r="E145" s="811">
        <v>81600</v>
      </c>
    </row>
    <row r="146" customHeight="1" spans="1:5">
      <c r="A146" s="27">
        <v>9</v>
      </c>
      <c r="B146" s="11" t="s">
        <v>288</v>
      </c>
      <c r="C146" s="12" t="s">
        <v>289</v>
      </c>
      <c r="D146" s="15" t="s">
        <v>162</v>
      </c>
      <c r="E146" s="811">
        <v>81600</v>
      </c>
    </row>
    <row r="147" customHeight="1" spans="1:5">
      <c r="A147" s="27">
        <v>10</v>
      </c>
      <c r="B147" s="18" t="s">
        <v>290</v>
      </c>
      <c r="C147" s="4" t="s">
        <v>291</v>
      </c>
      <c r="D147" s="15" t="s">
        <v>68</v>
      </c>
      <c r="E147" s="811">
        <v>81600</v>
      </c>
    </row>
    <row r="148" customHeight="1" spans="1:5">
      <c r="A148" s="27">
        <v>11</v>
      </c>
      <c r="B148" s="11" t="s">
        <v>292</v>
      </c>
      <c r="C148" s="4" t="s">
        <v>291</v>
      </c>
      <c r="D148" s="15" t="s">
        <v>137</v>
      </c>
      <c r="E148" s="811">
        <v>81600</v>
      </c>
    </row>
    <row r="149" customHeight="1" spans="1:5">
      <c r="A149" s="27">
        <v>12</v>
      </c>
      <c r="B149" s="11" t="s">
        <v>293</v>
      </c>
      <c r="C149" s="4" t="s">
        <v>291</v>
      </c>
      <c r="D149" s="15" t="s">
        <v>137</v>
      </c>
      <c r="E149" s="811">
        <v>81600</v>
      </c>
    </row>
    <row r="150" customHeight="1" spans="1:5">
      <c r="A150" s="27">
        <v>13</v>
      </c>
      <c r="B150" s="11" t="s">
        <v>295</v>
      </c>
      <c r="C150" s="4" t="s">
        <v>291</v>
      </c>
      <c r="D150" s="15" t="s">
        <v>68</v>
      </c>
      <c r="E150" s="811">
        <v>81600</v>
      </c>
    </row>
    <row r="151" customHeight="1" spans="1:5">
      <c r="A151" s="27">
        <v>14</v>
      </c>
      <c r="B151" s="11" t="s">
        <v>296</v>
      </c>
      <c r="C151" s="12" t="s">
        <v>297</v>
      </c>
      <c r="D151" s="15" t="s">
        <v>119</v>
      </c>
      <c r="E151" s="811">
        <v>81600</v>
      </c>
    </row>
    <row r="152" customHeight="1" spans="1:5">
      <c r="A152" s="27">
        <v>15</v>
      </c>
      <c r="B152" s="11" t="s">
        <v>298</v>
      </c>
      <c r="C152" s="12" t="s">
        <v>299</v>
      </c>
      <c r="D152" s="10" t="s">
        <v>84</v>
      </c>
      <c r="E152" s="811">
        <v>64800</v>
      </c>
    </row>
    <row r="153" customHeight="1" spans="1:5">
      <c r="A153" s="27">
        <v>16</v>
      </c>
      <c r="B153" s="11" t="s">
        <v>300</v>
      </c>
      <c r="C153" s="12" t="s">
        <v>301</v>
      </c>
      <c r="D153" s="15" t="s">
        <v>302</v>
      </c>
      <c r="E153" s="816">
        <v>81600</v>
      </c>
    </row>
    <row r="154" customHeight="1" spans="1:5">
      <c r="A154" s="27">
        <v>17</v>
      </c>
      <c r="B154" s="11" t="s">
        <v>303</v>
      </c>
      <c r="C154" s="12" t="s">
        <v>304</v>
      </c>
      <c r="D154" s="15" t="s">
        <v>79</v>
      </c>
      <c r="E154" s="816">
        <v>64800</v>
      </c>
    </row>
    <row r="155" customHeight="1" spans="1:5">
      <c r="A155" s="27">
        <v>18</v>
      </c>
      <c r="B155" s="11" t="s">
        <v>305</v>
      </c>
      <c r="C155" s="12" t="s">
        <v>306</v>
      </c>
      <c r="D155" s="15" t="s">
        <v>302</v>
      </c>
      <c r="E155" s="816">
        <v>81600</v>
      </c>
    </row>
    <row r="156" customHeight="1" spans="1:5">
      <c r="A156" s="27">
        <v>19</v>
      </c>
      <c r="B156" s="11" t="s">
        <v>307</v>
      </c>
      <c r="C156" s="12" t="s">
        <v>308</v>
      </c>
      <c r="D156" s="15" t="s">
        <v>79</v>
      </c>
      <c r="E156" s="816">
        <v>64800</v>
      </c>
    </row>
    <row r="157" customHeight="1" spans="1:5">
      <c r="A157" s="27">
        <v>20</v>
      </c>
      <c r="B157" s="18" t="s">
        <v>309</v>
      </c>
      <c r="C157" s="12" t="s">
        <v>310</v>
      </c>
      <c r="D157" s="15" t="s">
        <v>87</v>
      </c>
      <c r="E157" s="816">
        <v>64800</v>
      </c>
    </row>
    <row r="158" customHeight="1" spans="1:5">
      <c r="A158" s="27">
        <v>21</v>
      </c>
      <c r="B158" s="18" t="s">
        <v>311</v>
      </c>
      <c r="C158" s="12" t="s">
        <v>310</v>
      </c>
      <c r="D158" s="15" t="s">
        <v>87</v>
      </c>
      <c r="E158" s="816">
        <v>64800</v>
      </c>
    </row>
    <row r="159" customHeight="1" spans="1:5">
      <c r="A159" s="27">
        <v>22</v>
      </c>
      <c r="B159" s="18" t="s">
        <v>314</v>
      </c>
      <c r="C159" s="12" t="s">
        <v>315</v>
      </c>
      <c r="D159" s="15" t="s">
        <v>102</v>
      </c>
      <c r="E159" s="811">
        <v>64800</v>
      </c>
    </row>
    <row r="160" customHeight="1" spans="1:5">
      <c r="A160" s="27">
        <v>23</v>
      </c>
      <c r="B160" s="18" t="s">
        <v>316</v>
      </c>
      <c r="C160" s="12" t="s">
        <v>317</v>
      </c>
      <c r="D160" s="15" t="s">
        <v>102</v>
      </c>
      <c r="E160" s="811">
        <v>64800</v>
      </c>
    </row>
    <row r="161" customHeight="1" spans="1:5">
      <c r="A161" s="27">
        <v>24</v>
      </c>
      <c r="B161" s="18" t="s">
        <v>318</v>
      </c>
      <c r="C161" s="12" t="s">
        <v>319</v>
      </c>
      <c r="D161" s="15" t="s">
        <v>102</v>
      </c>
      <c r="E161" s="811">
        <v>64800</v>
      </c>
    </row>
    <row r="162" customHeight="1" spans="1:5">
      <c r="A162" s="27">
        <v>25</v>
      </c>
      <c r="B162" s="18" t="s">
        <v>320</v>
      </c>
      <c r="C162" s="12" t="s">
        <v>321</v>
      </c>
      <c r="D162" s="15" t="s">
        <v>208</v>
      </c>
      <c r="E162" s="811">
        <v>64800</v>
      </c>
    </row>
    <row r="163" customHeight="1" spans="1:5">
      <c r="A163" s="27">
        <v>26</v>
      </c>
      <c r="B163" s="18" t="s">
        <v>322</v>
      </c>
      <c r="C163" s="12" t="s">
        <v>317</v>
      </c>
      <c r="D163" s="15" t="s">
        <v>102</v>
      </c>
      <c r="E163" s="811">
        <v>64800</v>
      </c>
    </row>
    <row r="164" customHeight="1" spans="1:5">
      <c r="A164" s="27">
        <v>27</v>
      </c>
      <c r="B164" s="18" t="s">
        <v>323</v>
      </c>
      <c r="C164" s="12" t="s">
        <v>324</v>
      </c>
      <c r="D164" s="15" t="s">
        <v>105</v>
      </c>
      <c r="E164" s="813">
        <v>64800</v>
      </c>
    </row>
    <row r="165" customHeight="1" spans="1:5">
      <c r="A165" s="27">
        <v>28</v>
      </c>
      <c r="B165" s="18" t="s">
        <v>325</v>
      </c>
      <c r="C165" s="12" t="s">
        <v>324</v>
      </c>
      <c r="D165" s="15" t="s">
        <v>105</v>
      </c>
      <c r="E165" s="813">
        <v>64800</v>
      </c>
    </row>
    <row r="166" customHeight="1" spans="1:5">
      <c r="A166" s="27">
        <v>29</v>
      </c>
      <c r="B166" s="11" t="s">
        <v>331</v>
      </c>
      <c r="C166" s="12" t="s">
        <v>332</v>
      </c>
      <c r="D166" s="15" t="s">
        <v>333</v>
      </c>
      <c r="E166" s="813">
        <v>54000</v>
      </c>
    </row>
    <row r="167" customHeight="1" spans="1:5">
      <c r="A167" s="27">
        <v>30</v>
      </c>
      <c r="B167" s="11" t="s">
        <v>334</v>
      </c>
      <c r="C167" s="12" t="s">
        <v>332</v>
      </c>
      <c r="D167" s="15" t="s">
        <v>333</v>
      </c>
      <c r="E167" s="813">
        <v>54000</v>
      </c>
    </row>
    <row r="168" customHeight="1" spans="1:5">
      <c r="A168" s="27">
        <v>31</v>
      </c>
      <c r="B168" s="11" t="s">
        <v>335</v>
      </c>
      <c r="C168" s="12" t="s">
        <v>332</v>
      </c>
      <c r="D168" s="15" t="s">
        <v>333</v>
      </c>
      <c r="E168" s="813">
        <v>54000</v>
      </c>
    </row>
    <row r="169" customHeight="1" spans="1:5">
      <c r="A169" s="27">
        <v>32</v>
      </c>
      <c r="B169" s="11" t="s">
        <v>336</v>
      </c>
      <c r="C169" s="12" t="s">
        <v>332</v>
      </c>
      <c r="D169" s="15" t="s">
        <v>333</v>
      </c>
      <c r="E169" s="813">
        <v>54000</v>
      </c>
    </row>
    <row r="170" customHeight="1" spans="1:5">
      <c r="A170" s="27">
        <v>33</v>
      </c>
      <c r="B170" s="11" t="s">
        <v>337</v>
      </c>
      <c r="C170" s="12" t="s">
        <v>332</v>
      </c>
      <c r="D170" s="15" t="s">
        <v>333</v>
      </c>
      <c r="E170" s="813">
        <v>54000</v>
      </c>
    </row>
    <row r="171" customHeight="1" spans="1:5">
      <c r="A171" s="27">
        <v>34</v>
      </c>
      <c r="B171" s="11" t="s">
        <v>338</v>
      </c>
      <c r="C171" s="12" t="s">
        <v>332</v>
      </c>
      <c r="D171" s="15" t="s">
        <v>339</v>
      </c>
      <c r="E171" s="813">
        <v>54000</v>
      </c>
    </row>
    <row r="172" customHeight="1" spans="1:5">
      <c r="A172" s="27">
        <v>35</v>
      </c>
      <c r="B172" s="11" t="s">
        <v>340</v>
      </c>
      <c r="C172" s="12" t="s">
        <v>332</v>
      </c>
      <c r="D172" s="15" t="s">
        <v>339</v>
      </c>
      <c r="E172" s="813">
        <v>54000</v>
      </c>
    </row>
    <row r="173" customHeight="1" spans="1:5">
      <c r="A173" s="27">
        <v>36</v>
      </c>
      <c r="B173" s="14" t="s">
        <v>341</v>
      </c>
      <c r="C173" s="12" t="s">
        <v>332</v>
      </c>
      <c r="D173" s="15" t="s">
        <v>339</v>
      </c>
      <c r="E173" s="813">
        <v>54000</v>
      </c>
    </row>
    <row r="174" customHeight="1" spans="1:5">
      <c r="A174" s="27">
        <v>37</v>
      </c>
      <c r="B174" s="11" t="s">
        <v>342</v>
      </c>
      <c r="C174" s="12" t="s">
        <v>332</v>
      </c>
      <c r="D174" s="15" t="s">
        <v>339</v>
      </c>
      <c r="E174" s="813">
        <v>54000</v>
      </c>
    </row>
    <row r="175" customHeight="1" spans="1:5">
      <c r="A175" s="27">
        <v>38</v>
      </c>
      <c r="B175" s="18" t="s">
        <v>343</v>
      </c>
      <c r="C175" s="12" t="s">
        <v>332</v>
      </c>
      <c r="D175" s="15" t="s">
        <v>339</v>
      </c>
      <c r="E175" s="813">
        <v>54000</v>
      </c>
    </row>
    <row r="176" customHeight="1" spans="1:5">
      <c r="A176" s="27">
        <v>39</v>
      </c>
      <c r="B176" s="18" t="s">
        <v>344</v>
      </c>
      <c r="C176" s="12" t="s">
        <v>332</v>
      </c>
      <c r="D176" s="15" t="s">
        <v>339</v>
      </c>
      <c r="E176" s="813">
        <v>54000</v>
      </c>
    </row>
    <row r="177" customHeight="1" spans="1:5">
      <c r="A177" s="27">
        <v>40</v>
      </c>
      <c r="B177" s="11" t="s">
        <v>345</v>
      </c>
      <c r="C177" s="12" t="s">
        <v>346</v>
      </c>
      <c r="D177" s="15" t="s">
        <v>347</v>
      </c>
      <c r="E177" s="813">
        <v>54000</v>
      </c>
    </row>
    <row r="178" customHeight="1" spans="1:5">
      <c r="A178" s="27">
        <v>41</v>
      </c>
      <c r="B178" s="11" t="s">
        <v>348</v>
      </c>
      <c r="C178" s="12" t="s">
        <v>346</v>
      </c>
      <c r="D178" s="15" t="s">
        <v>347</v>
      </c>
      <c r="E178" s="813">
        <v>54000</v>
      </c>
    </row>
    <row r="179" customHeight="1" spans="1:5">
      <c r="A179" s="27">
        <v>42</v>
      </c>
      <c r="B179" s="18" t="s">
        <v>349</v>
      </c>
      <c r="C179" s="12" t="s">
        <v>346</v>
      </c>
      <c r="D179" s="15" t="s">
        <v>350</v>
      </c>
      <c r="E179" s="813">
        <v>54000</v>
      </c>
    </row>
    <row r="180" customHeight="1" spans="1:5">
      <c r="A180" s="27">
        <v>43</v>
      </c>
      <c r="B180" s="11" t="s">
        <v>351</v>
      </c>
      <c r="C180" s="12" t="s">
        <v>352</v>
      </c>
      <c r="D180" s="15" t="s">
        <v>353</v>
      </c>
      <c r="E180" s="813">
        <v>54000</v>
      </c>
    </row>
    <row r="181" customHeight="1" spans="1:6">
      <c r="A181" s="27">
        <v>44</v>
      </c>
      <c r="B181" s="11" t="s">
        <v>354</v>
      </c>
      <c r="C181" s="12" t="s">
        <v>355</v>
      </c>
      <c r="D181" s="15" t="s">
        <v>498</v>
      </c>
      <c r="E181" s="811">
        <v>43200</v>
      </c>
      <c r="F181" s="13"/>
    </row>
    <row r="182" customHeight="1" spans="1:5">
      <c r="A182" s="27">
        <v>45</v>
      </c>
      <c r="B182" s="11" t="s">
        <v>357</v>
      </c>
      <c r="C182" s="12" t="s">
        <v>355</v>
      </c>
      <c r="D182" s="15" t="s">
        <v>498</v>
      </c>
      <c r="E182" s="811">
        <v>43200</v>
      </c>
    </row>
    <row r="183" customHeight="1" spans="1:5">
      <c r="A183" s="27">
        <v>46</v>
      </c>
      <c r="B183" s="11" t="s">
        <v>358</v>
      </c>
      <c r="C183" s="12" t="s">
        <v>355</v>
      </c>
      <c r="D183" s="15" t="s">
        <v>498</v>
      </c>
      <c r="E183" s="811">
        <v>43200</v>
      </c>
    </row>
    <row r="184" customHeight="1" spans="1:5">
      <c r="A184" s="27">
        <v>47</v>
      </c>
      <c r="B184" s="11" t="s">
        <v>359</v>
      </c>
      <c r="C184" s="12" t="s">
        <v>355</v>
      </c>
      <c r="D184" s="15" t="s">
        <v>498</v>
      </c>
      <c r="E184" s="811">
        <v>43200</v>
      </c>
    </row>
    <row r="185" customHeight="1" spans="1:5">
      <c r="A185" s="27">
        <v>48</v>
      </c>
      <c r="B185" s="11" t="s">
        <v>360</v>
      </c>
      <c r="C185" s="12" t="s">
        <v>355</v>
      </c>
      <c r="D185" s="15" t="s">
        <v>498</v>
      </c>
      <c r="E185" s="811">
        <v>43200</v>
      </c>
    </row>
    <row r="186" customHeight="1" spans="1:5">
      <c r="A186" s="27">
        <v>49</v>
      </c>
      <c r="B186" s="18" t="s">
        <v>361</v>
      </c>
      <c r="C186" s="12" t="s">
        <v>355</v>
      </c>
      <c r="D186" s="15" t="s">
        <v>498</v>
      </c>
      <c r="E186" s="811">
        <v>43200</v>
      </c>
    </row>
    <row r="187" customHeight="1" spans="1:5">
      <c r="A187" s="27">
        <v>50</v>
      </c>
      <c r="B187" s="18" t="s">
        <v>362</v>
      </c>
      <c r="C187" s="12" t="s">
        <v>355</v>
      </c>
      <c r="D187" s="15" t="s">
        <v>498</v>
      </c>
      <c r="E187" s="811">
        <v>43200</v>
      </c>
    </row>
    <row r="188" customHeight="1" spans="1:5">
      <c r="A188" s="27">
        <v>51</v>
      </c>
      <c r="B188" s="11" t="s">
        <v>499</v>
      </c>
      <c r="C188" s="12" t="s">
        <v>352</v>
      </c>
      <c r="D188" s="15" t="s">
        <v>498</v>
      </c>
      <c r="E188" s="811">
        <v>43200</v>
      </c>
    </row>
    <row r="189" customHeight="1" spans="1:5">
      <c r="A189" s="27">
        <v>52</v>
      </c>
      <c r="B189" s="11" t="s">
        <v>363</v>
      </c>
      <c r="C189" s="12" t="s">
        <v>352</v>
      </c>
      <c r="D189" s="15" t="s">
        <v>498</v>
      </c>
      <c r="E189" s="811">
        <v>43200</v>
      </c>
    </row>
    <row r="190" customHeight="1" spans="1:5">
      <c r="A190" s="27">
        <v>53</v>
      </c>
      <c r="B190" s="18" t="s">
        <v>364</v>
      </c>
      <c r="C190" s="12" t="s">
        <v>365</v>
      </c>
      <c r="D190" s="15" t="s">
        <v>366</v>
      </c>
      <c r="E190" s="811">
        <v>43200</v>
      </c>
    </row>
    <row r="191" customHeight="1" spans="1:5">
      <c r="A191" s="27">
        <v>54</v>
      </c>
      <c r="B191" s="18" t="s">
        <v>367</v>
      </c>
      <c r="C191" s="12" t="s">
        <v>365</v>
      </c>
      <c r="D191" s="15" t="s">
        <v>368</v>
      </c>
      <c r="E191" s="811">
        <v>43200</v>
      </c>
    </row>
    <row r="192" customHeight="1" spans="1:5">
      <c r="A192" s="27">
        <v>55</v>
      </c>
      <c r="B192" s="18" t="s">
        <v>369</v>
      </c>
      <c r="C192" s="12" t="s">
        <v>346</v>
      </c>
      <c r="D192" s="15" t="s">
        <v>353</v>
      </c>
      <c r="E192" s="811">
        <v>43200</v>
      </c>
    </row>
    <row r="193" customHeight="1" spans="1:5">
      <c r="A193" s="27">
        <v>56</v>
      </c>
      <c r="B193" s="18" t="s">
        <v>371</v>
      </c>
      <c r="C193" s="12" t="s">
        <v>372</v>
      </c>
      <c r="D193" s="15" t="s">
        <v>373</v>
      </c>
      <c r="E193" s="811">
        <v>43200</v>
      </c>
    </row>
    <row r="194" customHeight="1" spans="1:5">
      <c r="A194" s="27">
        <v>57</v>
      </c>
      <c r="B194" s="18" t="s">
        <v>374</v>
      </c>
      <c r="C194" s="12" t="s">
        <v>372</v>
      </c>
      <c r="D194" s="15" t="s">
        <v>373</v>
      </c>
      <c r="E194" s="811">
        <v>43200</v>
      </c>
    </row>
    <row r="195" customHeight="1" spans="1:5">
      <c r="A195" s="27">
        <v>58</v>
      </c>
      <c r="B195" s="18" t="s">
        <v>375</v>
      </c>
      <c r="C195" s="12" t="s">
        <v>372</v>
      </c>
      <c r="D195" s="15" t="s">
        <v>373</v>
      </c>
      <c r="E195" s="811">
        <v>43200</v>
      </c>
    </row>
    <row r="196" customHeight="1" spans="1:5">
      <c r="A196" s="27">
        <v>59</v>
      </c>
      <c r="B196" s="18" t="s">
        <v>376</v>
      </c>
      <c r="C196" s="12" t="s">
        <v>377</v>
      </c>
      <c r="D196" s="15" t="s">
        <v>378</v>
      </c>
      <c r="E196" s="811">
        <v>43200</v>
      </c>
    </row>
    <row r="197" customHeight="1" spans="1:5">
      <c r="A197" s="27">
        <v>60</v>
      </c>
      <c r="B197" s="18" t="s">
        <v>379</v>
      </c>
      <c r="C197" s="12" t="s">
        <v>377</v>
      </c>
      <c r="D197" s="15" t="s">
        <v>378</v>
      </c>
      <c r="E197" s="811">
        <v>43200</v>
      </c>
    </row>
    <row r="198" ht="30.75" customHeight="1" spans="1:5">
      <c r="A198" s="27"/>
      <c r="B198" s="8" t="s">
        <v>111</v>
      </c>
      <c r="C198" s="28" t="s">
        <v>500</v>
      </c>
      <c r="D198" s="29"/>
      <c r="E198" s="814">
        <f>SUM(E138:E197)</f>
        <v>4266000</v>
      </c>
    </row>
    <row r="199" ht="30" customHeight="1" spans="1:5">
      <c r="A199" s="4"/>
      <c r="B199" s="30" t="s">
        <v>381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2:5">
      <c r="B200" s="33"/>
      <c r="D200" s="34"/>
      <c r="E200" s="34"/>
    </row>
    <row r="201" ht="36.75" customHeight="1" spans="2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643</v>
      </c>
      <c r="B1" s="721"/>
      <c r="C1" s="721"/>
    </row>
    <row r="2" ht="23.1" customHeight="1" spans="1:3">
      <c r="A2" s="722">
        <v>1</v>
      </c>
      <c r="B2" s="722" t="s">
        <v>644</v>
      </c>
      <c r="C2" s="610">
        <f>'Welfare June 25'!E199</f>
        <v>16412400</v>
      </c>
    </row>
    <row r="3" ht="23.1" customHeight="1" spans="1:3">
      <c r="A3" s="722">
        <v>2</v>
      </c>
      <c r="B3" s="722" t="s">
        <v>645</v>
      </c>
      <c r="C3" s="610">
        <f>'[17]Sallah 2025'!$E$58</f>
        <v>1790400</v>
      </c>
    </row>
    <row r="4" ht="23.1" customHeight="1" spans="1:3">
      <c r="A4" s="722">
        <v>3</v>
      </c>
      <c r="B4" s="722" t="s">
        <v>646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647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648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649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650</v>
      </c>
      <c r="C8" s="610">
        <f>'[16]Revised Version'!$E$167</f>
        <v>2844000</v>
      </c>
    </row>
    <row r="9" ht="23.1" customHeight="1" spans="1:3">
      <c r="A9" s="722"/>
      <c r="B9" s="265" t="s">
        <v>651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26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29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31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33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36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42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44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47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50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53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56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59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60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66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69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71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74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77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80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89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91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92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100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103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111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112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113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116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118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121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125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111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111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151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152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155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161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163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164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165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168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111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169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170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174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176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183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185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187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111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189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190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192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195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652</v>
      </c>
      <c r="AC84" s="479"/>
      <c r="AD84" s="479"/>
      <c r="AE84" s="479"/>
    </row>
    <row r="85" ht="18" spans="1:31">
      <c r="A85" s="464">
        <v>68</v>
      </c>
      <c r="B85" s="11" t="s">
        <v>196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192</v>
      </c>
      <c r="AD85" s="479"/>
      <c r="AE85" s="479"/>
    </row>
    <row r="86" ht="18" spans="1:31">
      <c r="A86" s="464">
        <v>69</v>
      </c>
      <c r="B86" s="11" t="s">
        <v>197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190</v>
      </c>
      <c r="AD86" s="479"/>
      <c r="AE86" s="479"/>
    </row>
    <row r="87" ht="36" spans="1:31">
      <c r="A87" s="464">
        <v>70</v>
      </c>
      <c r="B87" s="11" t="s">
        <v>198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195</v>
      </c>
      <c r="AD87" s="479"/>
      <c r="AE87" s="479"/>
    </row>
    <row r="88" ht="18" spans="1:31">
      <c r="A88" s="464">
        <v>71</v>
      </c>
      <c r="B88" s="11" t="s">
        <v>200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196</v>
      </c>
      <c r="AD88" s="479"/>
      <c r="AE88" s="479"/>
    </row>
    <row r="89" ht="18" spans="1:31">
      <c r="A89" s="464">
        <v>72</v>
      </c>
      <c r="B89" s="11" t="s">
        <v>201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197</v>
      </c>
      <c r="AD89" s="479"/>
      <c r="AE89" s="479"/>
    </row>
    <row r="90" ht="18" spans="1:31">
      <c r="A90" s="464">
        <v>73</v>
      </c>
      <c r="B90" s="11" t="s">
        <v>204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198</v>
      </c>
      <c r="AD90" s="479"/>
      <c r="AE90" s="479"/>
    </row>
    <row r="91" ht="18" spans="1:31">
      <c r="A91" s="464">
        <v>74</v>
      </c>
      <c r="B91" s="11" t="s">
        <v>206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200</v>
      </c>
      <c r="AD91" s="479"/>
      <c r="AE91" s="479"/>
    </row>
    <row r="92" ht="24" customHeight="1" spans="1:31">
      <c r="A92" s="464">
        <v>75</v>
      </c>
      <c r="B92" s="20" t="s">
        <v>111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201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204</v>
      </c>
      <c r="AD93" s="479"/>
      <c r="AE93" s="479"/>
    </row>
    <row r="94" ht="17.5" spans="1:31">
      <c r="A94" s="464"/>
      <c r="B94" s="20" t="s">
        <v>209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206</v>
      </c>
      <c r="AD94" s="479"/>
      <c r="AE94" s="479"/>
    </row>
    <row r="95" ht="18" spans="1:31">
      <c r="A95" s="464"/>
      <c r="B95" s="14" t="s">
        <v>210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213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215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219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210</v>
      </c>
      <c r="AD98" s="479"/>
      <c r="AE98" s="479"/>
    </row>
    <row r="99" ht="18" spans="1:31">
      <c r="A99" s="464">
        <v>80</v>
      </c>
      <c r="B99" s="11" t="s">
        <v>221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213</v>
      </c>
      <c r="AD99" s="479"/>
      <c r="AE99" s="479"/>
    </row>
    <row r="100" ht="17.5" spans="1:31">
      <c r="A100" s="464">
        <v>81</v>
      </c>
      <c r="B100" s="20" t="s">
        <v>111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219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221</v>
      </c>
      <c r="AD101" s="479"/>
      <c r="AE101" s="479"/>
    </row>
    <row r="102" ht="35" spans="1:31">
      <c r="A102" s="464"/>
      <c r="B102" s="20" t="s">
        <v>223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224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226</v>
      </c>
      <c r="C104" s="467"/>
      <c r="AB104" s="296" t="s">
        <v>444</v>
      </c>
      <c r="AC104" s="479"/>
      <c r="AD104" s="479"/>
      <c r="AE104" s="479"/>
    </row>
    <row r="105" ht="18" spans="1:31">
      <c r="A105" s="464">
        <v>85</v>
      </c>
      <c r="B105" s="11" t="s">
        <v>228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224</v>
      </c>
      <c r="AD105" s="479"/>
      <c r="AE105" s="479"/>
    </row>
    <row r="106" ht="18" spans="1:31">
      <c r="A106" s="464">
        <v>86</v>
      </c>
      <c r="B106" s="11" t="s">
        <v>231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226</v>
      </c>
      <c r="AD106" s="479"/>
      <c r="AE106" s="479"/>
    </row>
    <row r="107" ht="18" spans="1:31">
      <c r="A107" s="464">
        <v>87</v>
      </c>
      <c r="B107" s="11" t="s">
        <v>232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228</v>
      </c>
      <c r="AD107" s="479"/>
      <c r="AE107" s="479"/>
    </row>
    <row r="108" ht="36" spans="1:31">
      <c r="A108" s="464">
        <v>88</v>
      </c>
      <c r="B108" s="18" t="s">
        <v>235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231</v>
      </c>
      <c r="AD108" s="479"/>
      <c r="AE108" s="479"/>
    </row>
    <row r="109" ht="18" spans="1:31">
      <c r="A109" s="464">
        <v>89</v>
      </c>
      <c r="B109" s="18" t="s">
        <v>236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232</v>
      </c>
      <c r="AD109" s="479"/>
      <c r="AE109" s="479"/>
    </row>
    <row r="110" ht="17.5" spans="1:31">
      <c r="A110" s="464"/>
      <c r="B110" s="20" t="s">
        <v>111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235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236</v>
      </c>
      <c r="AD111" s="479"/>
      <c r="AE111" s="479"/>
    </row>
    <row r="112" ht="35" spans="1:31">
      <c r="A112" s="464"/>
      <c r="B112" s="20" t="s">
        <v>237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238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179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111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245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638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248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250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111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252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253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255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257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259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261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262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265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267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269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270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111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272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561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273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276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278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280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282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283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284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286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288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290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292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293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295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296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298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300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303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305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307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309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311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314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316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318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320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322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323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325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331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334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335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336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337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338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340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341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342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343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344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345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348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349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351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354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357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358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359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360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361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362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499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363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364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367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369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371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374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375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376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379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X182" sqref="X182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536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</v>
      </c>
      <c r="M11" s="467">
        <f t="shared" si="3"/>
        <v>2725695.6</v>
      </c>
      <c r="N11" s="467">
        <f t="shared" si="4"/>
        <v>2725695.6</v>
      </c>
      <c r="O11" s="467">
        <f t="shared" si="5"/>
        <v>9902782.4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</v>
      </c>
      <c r="V11" s="467">
        <f t="shared" si="12"/>
        <v>2168667.776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78894.3632479997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541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543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544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546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548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550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551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552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652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444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560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561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563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314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316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318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320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322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499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369</v>
      </c>
      <c r="C182" s="479">
        <v>105933</v>
      </c>
      <c r="D182" s="466">
        <v>12</v>
      </c>
      <c r="E182" s="467">
        <f t="shared" si="160"/>
        <v>1271196</v>
      </c>
      <c r="G182" s="468">
        <v>77689.84</v>
      </c>
      <c r="I182" s="467">
        <f t="shared" si="161"/>
        <v>1193506.16</v>
      </c>
      <c r="J182" s="467">
        <v>200000</v>
      </c>
      <c r="K182" s="467">
        <v>0.2</v>
      </c>
      <c r="L182" s="467">
        <f t="shared" si="162"/>
        <v>238701.232</v>
      </c>
      <c r="M182" s="467">
        <f t="shared" si="163"/>
        <v>438701.232</v>
      </c>
      <c r="N182" s="467">
        <f t="shared" si="164"/>
        <v>516391.072</v>
      </c>
      <c r="O182" s="467">
        <f t="shared" si="165"/>
        <v>754804.928</v>
      </c>
      <c r="P182" s="467">
        <f t="shared" si="166"/>
        <v>21000</v>
      </c>
      <c r="Q182" s="467">
        <f t="shared" si="167"/>
        <v>33000</v>
      </c>
      <c r="R182" s="467">
        <f t="shared" si="168"/>
        <v>23220.7392</v>
      </c>
      <c r="S182" s="467">
        <f t="shared" si="169"/>
        <v>0</v>
      </c>
      <c r="T182" s="467">
        <f t="shared" si="170"/>
        <v>0</v>
      </c>
      <c r="V182" s="467">
        <f t="shared" si="172"/>
        <v>77220.7392</v>
      </c>
      <c r="W182" s="474">
        <v>12</v>
      </c>
      <c r="X182" s="467">
        <f t="shared" si="173"/>
        <v>6435.0616</v>
      </c>
      <c r="Z182" s="467">
        <f t="shared" si="174"/>
        <v>6435.0616</v>
      </c>
      <c r="AA182" s="479">
        <v>3210.15440486667</v>
      </c>
      <c r="AB182" s="479">
        <f t="shared" si="175"/>
        <v>3224.90719513333</v>
      </c>
    </row>
    <row r="183" ht="18" spans="2:28">
      <c r="B183" s="18" t="s">
        <v>371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374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375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376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379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653</v>
      </c>
      <c r="C188" s="617">
        <f t="shared" ref="C188:G188" si="178">SUM(C6:C187)</f>
        <v>82707476.0178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143270428.435997</v>
      </c>
      <c r="W188" s="619"/>
      <c r="X188" s="619">
        <f t="shared" si="179"/>
        <v>11939202.3696664</v>
      </c>
      <c r="Y188" s="619"/>
      <c r="Z188" s="619">
        <f t="shared" si="179"/>
        <v>11939202.3696664</v>
      </c>
      <c r="AA188" s="620"/>
      <c r="AB188" s="620"/>
    </row>
    <row r="189" ht="26.25" customHeight="1" spans="2:28">
      <c r="B189" s="30" t="s">
        <v>654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11939202.3696664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655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15</v>
      </c>
    </row>
    <row r="5" s="1" customFormat="1" ht="17.25" customHeight="1" spans="3:1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</row>
    <row r="6" s="1" customFormat="1" ht="36" customHeight="1" spans="1:11">
      <c r="A6" s="10" t="s">
        <v>656</v>
      </c>
      <c r="B6" s="14" t="s">
        <v>273</v>
      </c>
      <c r="C6" s="4" t="s">
        <v>535</v>
      </c>
      <c r="D6" s="10" t="s">
        <v>28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657</v>
      </c>
      <c r="B7" s="14" t="s">
        <v>273</v>
      </c>
      <c r="C7" s="4" t="s">
        <v>658</v>
      </c>
      <c r="D7" s="10" t="s">
        <v>275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111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659</v>
      </c>
      <c r="B10" s="11" t="s">
        <v>190</v>
      </c>
      <c r="C10" s="4" t="s">
        <v>660</v>
      </c>
      <c r="D10" s="10" t="s">
        <v>194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661</v>
      </c>
      <c r="B12" s="14" t="s">
        <v>152</v>
      </c>
      <c r="C12" s="4" t="s">
        <v>130</v>
      </c>
      <c r="D12" s="10" t="s">
        <v>38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662</v>
      </c>
      <c r="B13" s="14" t="s">
        <v>152</v>
      </c>
      <c r="C13" s="4" t="s">
        <v>663</v>
      </c>
      <c r="D13" s="10" t="s">
        <v>154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111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3" workbookViewId="0">
      <selection activeCell="C7" sqref="C7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664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665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666</v>
      </c>
      <c r="B4" s="754" t="s">
        <v>667</v>
      </c>
      <c r="C4" s="754" t="s">
        <v>668</v>
      </c>
      <c r="D4" s="754" t="s">
        <v>669</v>
      </c>
      <c r="E4" s="754" t="s">
        <v>670</v>
      </c>
      <c r="F4" s="754" t="s">
        <v>671</v>
      </c>
      <c r="G4" s="754" t="s">
        <v>672</v>
      </c>
      <c r="H4" s="755" t="s">
        <v>673</v>
      </c>
      <c r="I4" s="801" t="s">
        <v>674</v>
      </c>
      <c r="J4" s="754" t="s">
        <v>675</v>
      </c>
    </row>
    <row r="5" ht="14" spans="1:10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  <c r="I5" s="756"/>
      <c r="J5" s="756" t="s">
        <v>20</v>
      </c>
    </row>
    <row r="6" ht="35.1" customHeight="1" spans="1:10">
      <c r="A6" s="757">
        <v>1</v>
      </c>
      <c r="B6" s="758" t="s">
        <v>621</v>
      </c>
      <c r="C6" s="759" t="s">
        <v>676</v>
      </c>
      <c r="D6" s="987" t="s">
        <v>677</v>
      </c>
      <c r="E6" s="988" t="s">
        <v>678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622</v>
      </c>
      <c r="C7" s="765" t="s">
        <v>676</v>
      </c>
      <c r="D7" s="988" t="s">
        <v>679</v>
      </c>
      <c r="E7" s="988" t="s">
        <v>680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623</v>
      </c>
      <c r="C8" s="765" t="s">
        <v>676</v>
      </c>
      <c r="D8" s="988" t="s">
        <v>681</v>
      </c>
      <c r="E8" s="988" t="s">
        <v>680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624</v>
      </c>
      <c r="C9" s="765" t="s">
        <v>682</v>
      </c>
      <c r="D9" s="988" t="s">
        <v>681</v>
      </c>
      <c r="E9" s="988" t="s">
        <v>680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625</v>
      </c>
      <c r="C10" s="765" t="s">
        <v>682</v>
      </c>
      <c r="D10" s="988" t="s">
        <v>683</v>
      </c>
      <c r="E10" s="988" t="s">
        <v>684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685</v>
      </c>
    </row>
    <row r="11" ht="35.1" customHeight="1" spans="1:10">
      <c r="A11" s="757">
        <v>6</v>
      </c>
      <c r="B11" s="789" t="s">
        <v>311</v>
      </c>
      <c r="C11" s="765" t="s">
        <v>682</v>
      </c>
      <c r="D11" s="760" t="s">
        <v>577</v>
      </c>
      <c r="E11" s="988" t="s">
        <v>686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626</v>
      </c>
      <c r="C12" s="765" t="s">
        <v>682</v>
      </c>
      <c r="D12" s="988" t="s">
        <v>687</v>
      </c>
      <c r="E12" s="988" t="s">
        <v>688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627</v>
      </c>
      <c r="C13" s="765" t="s">
        <v>682</v>
      </c>
      <c r="D13" s="988" t="s">
        <v>689</v>
      </c>
      <c r="E13" s="988" t="s">
        <v>688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628</v>
      </c>
      <c r="C14" s="765" t="s">
        <v>682</v>
      </c>
      <c r="D14" s="988" t="s">
        <v>690</v>
      </c>
      <c r="E14" s="988" t="s">
        <v>691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629</v>
      </c>
      <c r="C15" s="765" t="s">
        <v>682</v>
      </c>
      <c r="D15" s="988" t="s">
        <v>690</v>
      </c>
      <c r="E15" s="988" t="s">
        <v>691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630</v>
      </c>
      <c r="C16" s="765" t="s">
        <v>692</v>
      </c>
      <c r="D16" s="988" t="s">
        <v>679</v>
      </c>
      <c r="E16" s="988" t="s">
        <v>680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280</v>
      </c>
      <c r="C17" s="765" t="s">
        <v>692</v>
      </c>
      <c r="D17" s="988" t="s">
        <v>681</v>
      </c>
      <c r="E17" s="988" t="s">
        <v>680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631</v>
      </c>
      <c r="C18" s="765" t="s">
        <v>692</v>
      </c>
      <c r="D18" s="988" t="s">
        <v>690</v>
      </c>
      <c r="E18" s="988" t="s">
        <v>691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632</v>
      </c>
      <c r="C19" s="765" t="s">
        <v>693</v>
      </c>
      <c r="D19" s="988" t="s">
        <v>694</v>
      </c>
      <c r="E19" s="988" t="s">
        <v>695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633</v>
      </c>
      <c r="C20" s="765" t="s">
        <v>693</v>
      </c>
      <c r="D20" s="988" t="s">
        <v>687</v>
      </c>
      <c r="E20" s="988" t="s">
        <v>688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635</v>
      </c>
      <c r="C21" s="794" t="s">
        <v>696</v>
      </c>
      <c r="D21" s="989" t="s">
        <v>687</v>
      </c>
      <c r="E21" s="989" t="s">
        <v>688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636</v>
      </c>
      <c r="C22" s="765" t="s">
        <v>697</v>
      </c>
      <c r="D22" s="988" t="s">
        <v>698</v>
      </c>
      <c r="E22" s="988" t="s">
        <v>684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179</v>
      </c>
      <c r="C23" s="765" t="s">
        <v>699</v>
      </c>
      <c r="D23" s="988" t="s">
        <v>690</v>
      </c>
      <c r="E23" s="988" t="s">
        <v>691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111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536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541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543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544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546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548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550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551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552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652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444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560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561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563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314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316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318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320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322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499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371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374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375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376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379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653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654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63" t="s">
        <v>700</v>
      </c>
      <c r="AB4" s="463" t="s">
        <v>701</v>
      </c>
      <c r="AC4" s="782"/>
    </row>
    <row r="5" ht="28" spans="1:32">
      <c r="A5" s="757">
        <v>1</v>
      </c>
      <c r="B5" s="765" t="s">
        <v>628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628</v>
      </c>
      <c r="AE5" s="479"/>
      <c r="AF5" s="479"/>
    </row>
    <row r="6" ht="14" spans="1:32">
      <c r="A6" s="757">
        <v>2</v>
      </c>
      <c r="B6" s="757" t="s">
        <v>629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629</v>
      </c>
      <c r="AE6" s="479"/>
      <c r="AF6" s="479"/>
    </row>
    <row r="7" ht="14" spans="1:32">
      <c r="A7" s="757">
        <v>3</v>
      </c>
      <c r="B7" s="757" t="s">
        <v>631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631</v>
      </c>
      <c r="AE7" s="479"/>
      <c r="AF7" s="479"/>
    </row>
    <row r="8" ht="14" spans="1:32">
      <c r="A8" s="757">
        <v>4</v>
      </c>
      <c r="B8" s="757" t="s">
        <v>179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179</v>
      </c>
      <c r="AE8" s="479"/>
      <c r="AF8" s="479"/>
    </row>
    <row r="9" ht="35.25" customHeight="1" spans="2:29">
      <c r="B9" s="8" t="s">
        <v>653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654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702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703</v>
      </c>
      <c r="K4" s="7" t="s">
        <v>704</v>
      </c>
      <c r="L4" s="306" t="s">
        <v>705</v>
      </c>
      <c r="M4" s="80" t="s">
        <v>706</v>
      </c>
      <c r="N4" s="80" t="s">
        <v>707</v>
      </c>
      <c r="O4" s="80" t="s">
        <v>471</v>
      </c>
      <c r="P4" s="80" t="s">
        <v>708</v>
      </c>
      <c r="Q4" s="80" t="s">
        <v>709</v>
      </c>
      <c r="R4" s="80"/>
      <c r="S4" s="319" t="s">
        <v>710</v>
      </c>
      <c r="T4" s="320" t="s">
        <v>711</v>
      </c>
      <c r="U4" s="80" t="s">
        <v>509</v>
      </c>
      <c r="V4" s="321" t="s">
        <v>712</v>
      </c>
    </row>
    <row r="5" ht="17.25" customHeight="1" spans="3:22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"/>
      <c r="L5" s="307" t="s">
        <v>20</v>
      </c>
      <c r="M5" s="82"/>
      <c r="N5" s="82" t="s">
        <v>20</v>
      </c>
      <c r="O5" s="82"/>
      <c r="P5" s="308" t="s">
        <v>20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196</v>
      </c>
      <c r="C7" s="4" t="s">
        <v>556</v>
      </c>
      <c r="D7" s="15" t="s">
        <v>52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230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111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506</v>
      </c>
      <c r="B4" s="462" t="s">
        <v>507</v>
      </c>
      <c r="C4" s="463" t="s">
        <v>713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714</v>
      </c>
    </row>
    <row r="5" ht="14" spans="1:27">
      <c r="A5" s="757">
        <v>1</v>
      </c>
      <c r="B5" s="758" t="s">
        <v>621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622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623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624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625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311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626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627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628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629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630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280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631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632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550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633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635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715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636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179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716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449</v>
      </c>
      <c r="M4" s="736" t="s">
        <v>12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717</v>
      </c>
      <c r="S4" s="749" t="s">
        <v>718</v>
      </c>
    </row>
    <row r="5" spans="1:19">
      <c r="A5" s="729"/>
      <c r="B5" s="729"/>
      <c r="C5" s="771"/>
      <c r="D5" s="771"/>
      <c r="E5" s="772" t="s">
        <v>20</v>
      </c>
      <c r="F5" s="772" t="s">
        <v>20</v>
      </c>
      <c r="G5" s="772" t="s">
        <v>20</v>
      </c>
      <c r="H5" s="772" t="s">
        <v>20</v>
      </c>
      <c r="I5" s="772" t="s">
        <v>20</v>
      </c>
      <c r="J5" s="780" t="s">
        <v>20</v>
      </c>
      <c r="K5" s="772" t="s">
        <v>20</v>
      </c>
      <c r="L5" s="772" t="s">
        <v>20</v>
      </c>
      <c r="M5" s="772" t="s">
        <v>20</v>
      </c>
      <c r="N5" s="772" t="s">
        <v>20</v>
      </c>
      <c r="O5" s="772" t="s">
        <v>20</v>
      </c>
      <c r="P5" s="772" t="s">
        <v>20</v>
      </c>
      <c r="Q5" s="781" t="s">
        <v>20</v>
      </c>
      <c r="R5" s="772" t="s">
        <v>20</v>
      </c>
      <c r="S5" s="780" t="s">
        <v>20</v>
      </c>
    </row>
    <row r="6" spans="1:19">
      <c r="A6" s="773" t="s">
        <v>21</v>
      </c>
      <c r="B6" s="771" t="s">
        <v>22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543</v>
      </c>
      <c r="C7" s="776" t="s">
        <v>43</v>
      </c>
      <c r="D7" s="739" t="s">
        <v>131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550</v>
      </c>
      <c r="C8" s="778" t="s">
        <v>158</v>
      </c>
      <c r="D8" s="779" t="s">
        <v>460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111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664</v>
      </c>
      <c r="B1" s="752"/>
      <c r="C1" s="752"/>
      <c r="D1" s="752"/>
      <c r="E1" s="752"/>
      <c r="F1" s="752"/>
      <c r="G1" s="752"/>
    </row>
    <row r="2" ht="20" spans="1:7">
      <c r="A2" s="752" t="s">
        <v>665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666</v>
      </c>
      <c r="B4" s="754" t="s">
        <v>667</v>
      </c>
      <c r="C4" s="754" t="s">
        <v>668</v>
      </c>
      <c r="D4" s="754" t="s">
        <v>670</v>
      </c>
      <c r="E4" s="754" t="s">
        <v>719</v>
      </c>
      <c r="F4" s="754" t="s">
        <v>720</v>
      </c>
      <c r="G4" s="755" t="s">
        <v>721</v>
      </c>
      <c r="H4" s="755" t="s">
        <v>722</v>
      </c>
    </row>
    <row r="5" ht="14" spans="1:8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</row>
    <row r="6" ht="35.1" customHeight="1" spans="1:8">
      <c r="A6" s="757">
        <v>1</v>
      </c>
      <c r="B6" s="758" t="s">
        <v>621</v>
      </c>
      <c r="C6" s="759" t="s">
        <v>676</v>
      </c>
      <c r="D6" s="988" t="s">
        <v>678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622</v>
      </c>
      <c r="C7" s="765" t="s">
        <v>676</v>
      </c>
      <c r="D7" s="988" t="s">
        <v>680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623</v>
      </c>
      <c r="C8" s="765" t="s">
        <v>676</v>
      </c>
      <c r="D8" s="988" t="s">
        <v>680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624</v>
      </c>
      <c r="C9" s="765" t="s">
        <v>676</v>
      </c>
      <c r="D9" s="988" t="s">
        <v>680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625</v>
      </c>
      <c r="C10" s="765" t="s">
        <v>682</v>
      </c>
      <c r="D10" s="988" t="s">
        <v>684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311</v>
      </c>
      <c r="C11" s="765" t="s">
        <v>682</v>
      </c>
      <c r="D11" s="988" t="s">
        <v>686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626</v>
      </c>
      <c r="C12" s="765" t="s">
        <v>682</v>
      </c>
      <c r="D12" s="988" t="s">
        <v>688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627</v>
      </c>
      <c r="C13" s="765" t="s">
        <v>682</v>
      </c>
      <c r="D13" s="988" t="s">
        <v>688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628</v>
      </c>
      <c r="C14" s="765" t="s">
        <v>682</v>
      </c>
      <c r="D14" s="988" t="s">
        <v>691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629</v>
      </c>
      <c r="C15" s="765" t="s">
        <v>682</v>
      </c>
      <c r="D15" s="988" t="s">
        <v>691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630</v>
      </c>
      <c r="C16" s="765" t="s">
        <v>692</v>
      </c>
      <c r="D16" s="988" t="s">
        <v>680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280</v>
      </c>
      <c r="C17" s="765" t="s">
        <v>692</v>
      </c>
      <c r="D17" s="988" t="s">
        <v>680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631</v>
      </c>
      <c r="C18" s="765" t="s">
        <v>692</v>
      </c>
      <c r="D18" s="988" t="s">
        <v>691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632</v>
      </c>
      <c r="C19" s="765" t="s">
        <v>693</v>
      </c>
      <c r="D19" s="988" t="s">
        <v>695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550</v>
      </c>
      <c r="C20" s="765" t="s">
        <v>693</v>
      </c>
      <c r="D20" s="988" t="s">
        <v>695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633</v>
      </c>
      <c r="C21" s="765" t="s">
        <v>693</v>
      </c>
      <c r="D21" s="988" t="s">
        <v>688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635</v>
      </c>
      <c r="C22" s="765" t="s">
        <v>696</v>
      </c>
      <c r="D22" s="988" t="s">
        <v>688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715</v>
      </c>
      <c r="C23" s="765" t="s">
        <v>723</v>
      </c>
      <c r="D23" s="988" t="s">
        <v>686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636</v>
      </c>
      <c r="C24" s="765" t="s">
        <v>697</v>
      </c>
      <c r="D24" s="988" t="s">
        <v>684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179</v>
      </c>
      <c r="C25" s="765" t="s">
        <v>699</v>
      </c>
      <c r="D25" s="988" t="s">
        <v>691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111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716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449</v>
      </c>
      <c r="M4" s="736" t="s">
        <v>12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717</v>
      </c>
      <c r="S4" s="749" t="s">
        <v>718</v>
      </c>
      <c r="T4" s="1"/>
    </row>
    <row r="5" ht="18" spans="1:20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1"/>
    </row>
    <row r="6" ht="18" spans="1:20">
      <c r="A6" s="737" t="s">
        <v>21</v>
      </c>
      <c r="B6" s="738" t="s">
        <v>22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724</v>
      </c>
      <c r="C7" s="281" t="s">
        <v>725</v>
      </c>
      <c r="D7" s="739" t="s">
        <v>96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8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726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642</v>
      </c>
    </row>
    <row r="5" ht="17.25" customHeight="1" spans="3:5">
      <c r="C5" s="8"/>
      <c r="D5" s="8"/>
      <c r="E5" s="701" t="s">
        <v>20</v>
      </c>
    </row>
    <row r="6" customHeight="1" spans="1:5">
      <c r="A6" s="9" t="s">
        <v>21</v>
      </c>
      <c r="B6" s="8" t="s">
        <v>22</v>
      </c>
      <c r="C6" s="8"/>
      <c r="D6" s="8"/>
      <c r="E6" s="701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704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704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704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704">
        <v>180000</v>
      </c>
    </row>
    <row r="11" customHeight="1" spans="1:5">
      <c r="A11" s="10">
        <v>5</v>
      </c>
      <c r="B11" s="14" t="s">
        <v>273</v>
      </c>
      <c r="C11" s="4" t="s">
        <v>535</v>
      </c>
      <c r="D11" s="10" t="s">
        <v>28</v>
      </c>
      <c r="E11" s="704">
        <v>180000</v>
      </c>
    </row>
    <row r="12" customHeight="1" spans="1:5">
      <c r="A12" s="10">
        <v>6</v>
      </c>
      <c r="B12" s="11" t="s">
        <v>33</v>
      </c>
      <c r="C12" s="12" t="s">
        <v>538</v>
      </c>
      <c r="D12" s="15" t="s">
        <v>131</v>
      </c>
      <c r="E12" s="704">
        <v>126000</v>
      </c>
    </row>
    <row r="13" customHeight="1" spans="1:5">
      <c r="A13" s="10">
        <v>7</v>
      </c>
      <c r="B13" s="11" t="s">
        <v>36</v>
      </c>
      <c r="C13" s="4" t="s">
        <v>37</v>
      </c>
      <c r="D13" s="10" t="s">
        <v>49</v>
      </c>
      <c r="E13" s="704">
        <v>126000</v>
      </c>
    </row>
    <row r="14" customHeight="1" spans="1:5">
      <c r="A14" s="10">
        <v>8</v>
      </c>
      <c r="B14" s="11" t="s">
        <v>39</v>
      </c>
      <c r="C14" s="4" t="s">
        <v>40</v>
      </c>
      <c r="D14" s="15" t="s">
        <v>41</v>
      </c>
      <c r="E14" s="704">
        <v>90000</v>
      </c>
    </row>
    <row r="15" customHeight="1" spans="1:5">
      <c r="A15" s="10">
        <v>9</v>
      </c>
      <c r="B15" s="14" t="s">
        <v>42</v>
      </c>
      <c r="C15" s="17" t="s">
        <v>43</v>
      </c>
      <c r="D15" s="15" t="s">
        <v>49</v>
      </c>
      <c r="E15" s="704">
        <v>126000</v>
      </c>
    </row>
    <row r="16" customHeight="1" spans="1:5">
      <c r="A16" s="10">
        <v>10</v>
      </c>
      <c r="B16" s="11" t="s">
        <v>44</v>
      </c>
      <c r="C16" s="4" t="s">
        <v>45</v>
      </c>
      <c r="D16" s="10" t="s">
        <v>199</v>
      </c>
      <c r="E16" s="704">
        <v>90000</v>
      </c>
    </row>
    <row r="17" customHeight="1" spans="1:5">
      <c r="A17" s="10">
        <v>11</v>
      </c>
      <c r="B17" s="11" t="s">
        <v>47</v>
      </c>
      <c r="C17" s="4" t="s">
        <v>48</v>
      </c>
      <c r="D17" s="10" t="s">
        <v>49</v>
      </c>
      <c r="E17" s="704">
        <v>126000</v>
      </c>
    </row>
    <row r="18" customHeight="1" spans="1:5">
      <c r="A18" s="10">
        <v>12</v>
      </c>
      <c r="B18" s="11" t="s">
        <v>50</v>
      </c>
      <c r="C18" s="12" t="s">
        <v>51</v>
      </c>
      <c r="D18" s="15" t="s">
        <v>460</v>
      </c>
      <c r="E18" s="704">
        <v>90000</v>
      </c>
    </row>
    <row r="19" customHeight="1" spans="1:5">
      <c r="A19" s="10">
        <v>13</v>
      </c>
      <c r="B19" s="18" t="s">
        <v>53</v>
      </c>
      <c r="C19" s="4" t="s">
        <v>54</v>
      </c>
      <c r="D19" s="15" t="s">
        <v>540</v>
      </c>
      <c r="E19" s="704">
        <v>90000</v>
      </c>
    </row>
    <row r="20" customHeight="1" spans="1:5">
      <c r="A20" s="10">
        <v>14</v>
      </c>
      <c r="B20" s="18" t="s">
        <v>56</v>
      </c>
      <c r="C20" s="4" t="s">
        <v>57</v>
      </c>
      <c r="D20" s="15" t="s">
        <v>634</v>
      </c>
      <c r="E20" s="704">
        <v>90000</v>
      </c>
    </row>
    <row r="21" customHeight="1" spans="1:5">
      <c r="A21" s="10">
        <v>15</v>
      </c>
      <c r="B21" s="18" t="s">
        <v>59</v>
      </c>
      <c r="C21" s="4" t="s">
        <v>51</v>
      </c>
      <c r="D21" s="15" t="s">
        <v>634</v>
      </c>
      <c r="E21" s="704">
        <v>90000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162</v>
      </c>
      <c r="E22" s="704">
        <v>68000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137</v>
      </c>
      <c r="E23" s="704">
        <v>68000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137</v>
      </c>
      <c r="E24" s="704">
        <v>68000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704">
        <v>68000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73</v>
      </c>
      <c r="E26" s="704">
        <v>68000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84</v>
      </c>
      <c r="E27" s="704">
        <v>54000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84</v>
      </c>
      <c r="E28" s="704">
        <v>54000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84</v>
      </c>
      <c r="E29" s="704">
        <v>54000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87</v>
      </c>
      <c r="E30" s="704">
        <v>54000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96</v>
      </c>
      <c r="E31" s="704">
        <v>54000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96</v>
      </c>
      <c r="E32" s="704">
        <v>54000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84</v>
      </c>
      <c r="E33" s="704">
        <v>54000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96</v>
      </c>
      <c r="E34" s="704">
        <v>54000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96</v>
      </c>
      <c r="E35" s="704">
        <v>54000</v>
      </c>
    </row>
    <row r="36" ht="18.75" customHeight="1" spans="1:5">
      <c r="A36" s="10">
        <v>30</v>
      </c>
      <c r="B36" s="18" t="s">
        <v>100</v>
      </c>
      <c r="C36" s="12" t="s">
        <v>101</v>
      </c>
      <c r="D36" s="15" t="s">
        <v>105</v>
      </c>
      <c r="E36" s="704">
        <v>54000</v>
      </c>
    </row>
    <row r="37" ht="18.75" customHeight="1" spans="1:5">
      <c r="A37" s="10">
        <v>31</v>
      </c>
      <c r="B37" s="18" t="s">
        <v>103</v>
      </c>
      <c r="C37" s="12" t="s">
        <v>104</v>
      </c>
      <c r="D37" s="15" t="s">
        <v>108</v>
      </c>
      <c r="E37" s="704">
        <v>54000</v>
      </c>
    </row>
    <row r="38" ht="26.25" customHeight="1" spans="1:5">
      <c r="A38" s="10"/>
      <c r="B38" s="20" t="s">
        <v>111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112</v>
      </c>
      <c r="C40" s="4"/>
      <c r="D40" s="15"/>
      <c r="E40" s="704"/>
    </row>
    <row r="41" ht="18.75" customHeight="1" spans="1:5">
      <c r="A41" s="10">
        <v>1</v>
      </c>
      <c r="B41" s="18" t="s">
        <v>113</v>
      </c>
      <c r="C41" s="4" t="s">
        <v>114</v>
      </c>
      <c r="D41" s="10" t="s">
        <v>115</v>
      </c>
      <c r="E41" s="704">
        <v>270000</v>
      </c>
    </row>
    <row r="42" ht="18.75" customHeight="1" spans="1:5">
      <c r="A42" s="10">
        <v>2</v>
      </c>
      <c r="B42" s="18" t="s">
        <v>116</v>
      </c>
      <c r="C42" s="4" t="s">
        <v>117</v>
      </c>
      <c r="D42" s="10" t="s">
        <v>73</v>
      </c>
      <c r="E42" s="704">
        <v>68000</v>
      </c>
    </row>
    <row r="43" ht="18.75" customHeight="1" spans="1:5">
      <c r="A43" s="10">
        <v>3</v>
      </c>
      <c r="B43" s="11" t="s">
        <v>118</v>
      </c>
      <c r="C43" s="4" t="s">
        <v>117</v>
      </c>
      <c r="D43" s="15" t="s">
        <v>76</v>
      </c>
      <c r="E43" s="704">
        <v>68000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96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125</v>
      </c>
      <c r="C47" s="5"/>
      <c r="D47" s="24"/>
      <c r="E47" s="707"/>
    </row>
    <row r="48" customHeight="1" spans="1:5">
      <c r="A48" s="10">
        <v>1</v>
      </c>
      <c r="B48" s="11" t="s">
        <v>541</v>
      </c>
      <c r="C48" s="4" t="s">
        <v>542</v>
      </c>
      <c r="D48" s="10" t="s">
        <v>115</v>
      </c>
      <c r="E48" s="704">
        <v>0</v>
      </c>
    </row>
    <row r="49" customHeight="1" spans="1:5">
      <c r="A49" s="10">
        <v>2</v>
      </c>
      <c r="B49" s="11" t="s">
        <v>543</v>
      </c>
      <c r="C49" s="4" t="s">
        <v>43</v>
      </c>
      <c r="D49" s="10" t="s">
        <v>131</v>
      </c>
      <c r="E49" s="704">
        <v>0</v>
      </c>
    </row>
    <row r="50" customHeight="1" spans="1:5">
      <c r="A50" s="10">
        <v>3</v>
      </c>
      <c r="B50" s="11" t="s">
        <v>126</v>
      </c>
      <c r="C50" s="4" t="s">
        <v>127</v>
      </c>
      <c r="D50" s="10" t="s">
        <v>35</v>
      </c>
      <c r="E50" s="704">
        <v>180000</v>
      </c>
    </row>
    <row r="51" customHeight="1" spans="1:5">
      <c r="A51" s="10">
        <v>4</v>
      </c>
      <c r="B51" s="11" t="s">
        <v>129</v>
      </c>
      <c r="C51" s="4" t="s">
        <v>130</v>
      </c>
      <c r="D51" s="10" t="s">
        <v>131</v>
      </c>
      <c r="E51" s="704">
        <v>126000</v>
      </c>
    </row>
    <row r="52" customHeight="1" spans="1:5">
      <c r="A52" s="10">
        <v>5</v>
      </c>
      <c r="B52" s="11" t="s">
        <v>132</v>
      </c>
      <c r="C52" s="4" t="s">
        <v>130</v>
      </c>
      <c r="D52" s="10" t="s">
        <v>131</v>
      </c>
      <c r="E52" s="704">
        <v>126000</v>
      </c>
    </row>
    <row r="53" customHeight="1" spans="1:5">
      <c r="A53" s="10">
        <v>6</v>
      </c>
      <c r="B53" s="11" t="s">
        <v>133</v>
      </c>
      <c r="C53" s="4" t="s">
        <v>130</v>
      </c>
      <c r="D53" s="10" t="s">
        <v>49</v>
      </c>
      <c r="E53" s="704">
        <v>126000</v>
      </c>
    </row>
    <row r="54" customHeight="1" spans="1:5">
      <c r="A54" s="10">
        <v>7</v>
      </c>
      <c r="B54" s="14" t="s">
        <v>134</v>
      </c>
      <c r="C54" s="4" t="s">
        <v>130</v>
      </c>
      <c r="D54" s="10" t="s">
        <v>49</v>
      </c>
      <c r="E54" s="704">
        <v>126000</v>
      </c>
    </row>
    <row r="55" customHeight="1" spans="1:5">
      <c r="A55" s="10">
        <v>8</v>
      </c>
      <c r="B55" s="11" t="s">
        <v>138</v>
      </c>
      <c r="C55" s="4" t="s">
        <v>139</v>
      </c>
      <c r="D55" s="10" t="s">
        <v>76</v>
      </c>
      <c r="E55" s="704">
        <v>68000</v>
      </c>
    </row>
    <row r="56" customHeight="1" spans="1:5">
      <c r="A56" s="10">
        <v>9</v>
      </c>
      <c r="B56" s="11" t="s">
        <v>142</v>
      </c>
      <c r="C56" s="4" t="s">
        <v>139</v>
      </c>
      <c r="D56" s="10" t="s">
        <v>87</v>
      </c>
      <c r="E56" s="704">
        <v>54000</v>
      </c>
    </row>
    <row r="57" customHeight="1" spans="1:5">
      <c r="A57" s="10">
        <v>10</v>
      </c>
      <c r="B57" s="11" t="s">
        <v>143</v>
      </c>
      <c r="C57" s="4" t="s">
        <v>139</v>
      </c>
      <c r="D57" s="10" t="s">
        <v>87</v>
      </c>
      <c r="E57" s="704">
        <v>54000</v>
      </c>
    </row>
    <row r="58" ht="25.5" customHeight="1" spans="1:5">
      <c r="A58" s="10"/>
      <c r="B58" s="20" t="s">
        <v>111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145</v>
      </c>
      <c r="C60" s="21"/>
      <c r="D60" s="21"/>
      <c r="E60" s="711"/>
    </row>
    <row r="61" customHeight="1" spans="1:5">
      <c r="A61" s="10">
        <v>1</v>
      </c>
      <c r="B61" s="11" t="s">
        <v>545</v>
      </c>
      <c r="C61" s="12" t="s">
        <v>147</v>
      </c>
      <c r="D61" s="15" t="s">
        <v>115</v>
      </c>
      <c r="E61" s="704">
        <v>270000</v>
      </c>
    </row>
    <row r="62" customHeight="1" spans="1:5">
      <c r="A62" s="10">
        <v>2</v>
      </c>
      <c r="B62" s="11" t="s">
        <v>148</v>
      </c>
      <c r="C62" s="12" t="s">
        <v>149</v>
      </c>
      <c r="D62" s="15" t="s">
        <v>150</v>
      </c>
      <c r="E62" s="704">
        <v>126000</v>
      </c>
    </row>
    <row r="63" customHeight="1" spans="1:5">
      <c r="A63" s="10"/>
      <c r="B63" s="20" t="s">
        <v>111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151</v>
      </c>
      <c r="C65" s="21"/>
      <c r="D65" s="21"/>
      <c r="E65" s="711"/>
    </row>
    <row r="66" customHeight="1" spans="1:5">
      <c r="A66" s="10">
        <v>1</v>
      </c>
      <c r="B66" s="11" t="s">
        <v>546</v>
      </c>
      <c r="C66" s="17" t="s">
        <v>547</v>
      </c>
      <c r="D66" s="10" t="s">
        <v>115</v>
      </c>
      <c r="E66" s="704">
        <v>270000</v>
      </c>
    </row>
    <row r="67" customHeight="1" spans="1:5">
      <c r="A67" s="10">
        <v>2</v>
      </c>
      <c r="B67" s="351" t="s">
        <v>548</v>
      </c>
      <c r="C67" s="17" t="s">
        <v>549</v>
      </c>
      <c r="D67" s="15" t="s">
        <v>38</v>
      </c>
      <c r="E67" s="704">
        <v>126000</v>
      </c>
    </row>
    <row r="68" customHeight="1" spans="1:5">
      <c r="A68" s="10">
        <v>3</v>
      </c>
      <c r="B68" s="11" t="s">
        <v>155</v>
      </c>
      <c r="C68" s="4" t="s">
        <v>156</v>
      </c>
      <c r="D68" s="10" t="s">
        <v>199</v>
      </c>
      <c r="E68" s="704">
        <v>90000</v>
      </c>
    </row>
    <row r="69" customHeight="1" spans="1:5">
      <c r="A69" s="10">
        <v>4</v>
      </c>
      <c r="B69" s="18" t="s">
        <v>550</v>
      </c>
      <c r="C69" s="17" t="s">
        <v>158</v>
      </c>
      <c r="D69" s="15" t="s">
        <v>460</v>
      </c>
      <c r="E69" s="704">
        <v>0</v>
      </c>
    </row>
    <row r="70" customHeight="1" spans="1:5">
      <c r="A70" s="10">
        <v>7</v>
      </c>
      <c r="B70" s="11" t="s">
        <v>161</v>
      </c>
      <c r="C70" s="4" t="s">
        <v>139</v>
      </c>
      <c r="D70" s="10" t="s">
        <v>68</v>
      </c>
      <c r="E70" s="704">
        <v>68000</v>
      </c>
    </row>
    <row r="71" customHeight="1" spans="1:5">
      <c r="A71" s="10">
        <v>8</v>
      </c>
      <c r="B71" s="11" t="s">
        <v>163</v>
      </c>
      <c r="C71" s="17" t="s">
        <v>70</v>
      </c>
      <c r="D71" s="10" t="s">
        <v>68</v>
      </c>
      <c r="E71" s="704">
        <v>68000</v>
      </c>
    </row>
    <row r="72" customHeight="1" spans="1:5">
      <c r="A72" s="10">
        <v>9</v>
      </c>
      <c r="B72" s="11" t="s">
        <v>164</v>
      </c>
      <c r="C72" s="17" t="s">
        <v>70</v>
      </c>
      <c r="D72" s="10" t="s">
        <v>68</v>
      </c>
      <c r="E72" s="704">
        <v>68000</v>
      </c>
    </row>
    <row r="73" customHeight="1" spans="1:5">
      <c r="A73" s="10">
        <v>10</v>
      </c>
      <c r="B73" s="11" t="s">
        <v>165</v>
      </c>
      <c r="C73" s="4" t="s">
        <v>166</v>
      </c>
      <c r="D73" s="10" t="s">
        <v>162</v>
      </c>
      <c r="E73" s="704">
        <v>68000</v>
      </c>
    </row>
    <row r="74" ht="21.6" customHeight="1" spans="1:5">
      <c r="A74" s="10">
        <v>11</v>
      </c>
      <c r="B74" s="11" t="s">
        <v>168</v>
      </c>
      <c r="C74" s="4" t="s">
        <v>139</v>
      </c>
      <c r="D74" s="10" t="s">
        <v>76</v>
      </c>
      <c r="E74" s="704">
        <v>68000</v>
      </c>
    </row>
    <row r="75" ht="27" customHeight="1" spans="1:5">
      <c r="A75" s="10"/>
      <c r="B75" s="20" t="s">
        <v>111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169</v>
      </c>
      <c r="C77" s="21"/>
      <c r="D77" s="21"/>
      <c r="E77" s="711"/>
    </row>
    <row r="78" customHeight="1" spans="1:5">
      <c r="A78" s="10">
        <v>1</v>
      </c>
      <c r="B78" s="11" t="s">
        <v>170</v>
      </c>
      <c r="C78" s="4" t="s">
        <v>171</v>
      </c>
      <c r="D78" s="10" t="s">
        <v>115</v>
      </c>
      <c r="E78" s="704">
        <v>270000</v>
      </c>
    </row>
    <row r="79" customHeight="1" spans="1:5">
      <c r="A79" s="10">
        <v>2</v>
      </c>
      <c r="B79" s="11" t="s">
        <v>174</v>
      </c>
      <c r="C79" s="4" t="s">
        <v>175</v>
      </c>
      <c r="D79" s="10" t="s">
        <v>49</v>
      </c>
      <c r="E79" s="704">
        <v>126000</v>
      </c>
    </row>
    <row r="80" customHeight="1" spans="1:5">
      <c r="A80" s="10">
        <v>3</v>
      </c>
      <c r="B80" s="11" t="s">
        <v>176</v>
      </c>
      <c r="C80" s="4" t="s">
        <v>177</v>
      </c>
      <c r="D80" s="15" t="s">
        <v>46</v>
      </c>
      <c r="E80" s="704">
        <v>90000</v>
      </c>
    </row>
    <row r="81" customHeight="1" spans="1:5">
      <c r="A81" s="10">
        <v>4</v>
      </c>
      <c r="B81" s="11" t="s">
        <v>183</v>
      </c>
      <c r="C81" s="4" t="s">
        <v>184</v>
      </c>
      <c r="D81" s="10" t="s">
        <v>137</v>
      </c>
      <c r="E81" s="704">
        <v>68000</v>
      </c>
    </row>
    <row r="82" customHeight="1" spans="1:5">
      <c r="A82" s="10">
        <v>5</v>
      </c>
      <c r="B82" s="11" t="s">
        <v>185</v>
      </c>
      <c r="C82" s="4" t="s">
        <v>186</v>
      </c>
      <c r="D82" s="10" t="s">
        <v>87</v>
      </c>
      <c r="E82" s="704">
        <v>54000</v>
      </c>
    </row>
    <row r="83" customHeight="1" spans="1:5">
      <c r="A83" s="10">
        <v>6</v>
      </c>
      <c r="B83" s="11" t="s">
        <v>187</v>
      </c>
      <c r="C83" s="4" t="s">
        <v>188</v>
      </c>
      <c r="D83" s="10" t="s">
        <v>105</v>
      </c>
      <c r="E83" s="704">
        <v>54000</v>
      </c>
    </row>
    <row r="84" customHeight="1" spans="1:5">
      <c r="A84" s="10"/>
      <c r="B84" s="20" t="s">
        <v>111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189</v>
      </c>
      <c r="C86" s="25"/>
      <c r="D86" s="21"/>
      <c r="E86" s="711"/>
    </row>
    <row r="87" customHeight="1" spans="1:5">
      <c r="A87" s="10">
        <v>1</v>
      </c>
      <c r="B87" s="11" t="s">
        <v>192</v>
      </c>
      <c r="C87" s="4" t="s">
        <v>130</v>
      </c>
      <c r="D87" s="10" t="s">
        <v>131</v>
      </c>
      <c r="E87" s="704">
        <v>126000</v>
      </c>
    </row>
    <row r="88" customHeight="1" spans="1:5">
      <c r="A88" s="10">
        <v>2</v>
      </c>
      <c r="B88" s="11" t="s">
        <v>190</v>
      </c>
      <c r="C88" s="4" t="s">
        <v>130</v>
      </c>
      <c r="D88" s="10" t="s">
        <v>131</v>
      </c>
      <c r="E88" s="704">
        <v>126000</v>
      </c>
    </row>
    <row r="89" customHeight="1" spans="1:5">
      <c r="A89" s="10">
        <v>3</v>
      </c>
      <c r="B89" s="11" t="s">
        <v>195</v>
      </c>
      <c r="C89" s="4" t="s">
        <v>130</v>
      </c>
      <c r="D89" s="10" t="s">
        <v>49</v>
      </c>
      <c r="E89" s="704">
        <v>126000</v>
      </c>
    </row>
    <row r="90" ht="21.6" customHeight="1" spans="1:5">
      <c r="A90" s="10">
        <v>4</v>
      </c>
      <c r="B90" s="11" t="s">
        <v>196</v>
      </c>
      <c r="C90" s="4" t="s">
        <v>156</v>
      </c>
      <c r="D90" s="15" t="s">
        <v>199</v>
      </c>
      <c r="E90" s="704">
        <v>90000</v>
      </c>
    </row>
    <row r="91" ht="21.6" customHeight="1" spans="1:5">
      <c r="A91" s="10">
        <v>5</v>
      </c>
      <c r="B91" s="11" t="s">
        <v>197</v>
      </c>
      <c r="C91" s="4" t="s">
        <v>156</v>
      </c>
      <c r="D91" s="15" t="s">
        <v>199</v>
      </c>
      <c r="E91" s="704">
        <v>90000</v>
      </c>
    </row>
    <row r="92" ht="21.6" customHeight="1" spans="1:5">
      <c r="A92" s="10">
        <v>6</v>
      </c>
      <c r="B92" s="11" t="s">
        <v>198</v>
      </c>
      <c r="C92" s="12" t="s">
        <v>156</v>
      </c>
      <c r="D92" s="15" t="s">
        <v>230</v>
      </c>
      <c r="E92" s="704">
        <v>90000</v>
      </c>
    </row>
    <row r="93" ht="21.6" customHeight="1" spans="1:5">
      <c r="A93" s="10">
        <v>7</v>
      </c>
      <c r="B93" s="11" t="s">
        <v>200</v>
      </c>
      <c r="C93" s="17" t="s">
        <v>70</v>
      </c>
      <c r="D93" s="15" t="s">
        <v>68</v>
      </c>
      <c r="E93" s="704">
        <v>68000</v>
      </c>
    </row>
    <row r="94" ht="21.6" customHeight="1" spans="1:5">
      <c r="A94" s="10">
        <v>8</v>
      </c>
      <c r="B94" s="11" t="s">
        <v>201</v>
      </c>
      <c r="C94" s="17" t="s">
        <v>158</v>
      </c>
      <c r="D94" s="15" t="s">
        <v>159</v>
      </c>
      <c r="E94" s="704">
        <v>90000</v>
      </c>
    </row>
    <row r="95" ht="21.6" customHeight="1" spans="1:5">
      <c r="A95" s="10">
        <v>9</v>
      </c>
      <c r="B95" s="11" t="s">
        <v>204</v>
      </c>
      <c r="C95" s="4" t="s">
        <v>205</v>
      </c>
      <c r="D95" s="10" t="s">
        <v>76</v>
      </c>
      <c r="E95" s="714">
        <v>68000</v>
      </c>
    </row>
    <row r="96" ht="21.6" customHeight="1" spans="1:5">
      <c r="A96" s="10">
        <v>10</v>
      </c>
      <c r="B96" s="11" t="s">
        <v>206</v>
      </c>
      <c r="C96" s="17" t="s">
        <v>207</v>
      </c>
      <c r="D96" s="15" t="s">
        <v>102</v>
      </c>
      <c r="E96" s="714">
        <v>54000</v>
      </c>
    </row>
    <row r="97" customHeight="1" spans="1:5">
      <c r="A97" s="10"/>
      <c r="B97" s="20" t="s">
        <v>111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209</v>
      </c>
      <c r="C99" s="21"/>
      <c r="D99" s="21"/>
      <c r="E99" s="711"/>
    </row>
    <row r="100" customHeight="1" spans="1:5">
      <c r="A100" s="10">
        <v>1</v>
      </c>
      <c r="B100" s="14" t="s">
        <v>210</v>
      </c>
      <c r="C100" s="4" t="s">
        <v>211</v>
      </c>
      <c r="D100" s="16" t="s">
        <v>128</v>
      </c>
      <c r="E100" s="704">
        <v>270000</v>
      </c>
    </row>
    <row r="101" customHeight="1" spans="1:5">
      <c r="A101" s="10">
        <v>2</v>
      </c>
      <c r="B101" s="11" t="s">
        <v>213</v>
      </c>
      <c r="C101" s="4" t="s">
        <v>214</v>
      </c>
      <c r="D101" s="15" t="s">
        <v>46</v>
      </c>
      <c r="E101" s="704">
        <v>90000</v>
      </c>
    </row>
    <row r="102" customHeight="1" spans="1:5">
      <c r="A102" s="10">
        <v>3</v>
      </c>
      <c r="B102" s="11" t="s">
        <v>219</v>
      </c>
      <c r="C102" s="4" t="s">
        <v>220</v>
      </c>
      <c r="D102" s="15" t="s">
        <v>162</v>
      </c>
      <c r="E102" s="704">
        <v>68000</v>
      </c>
    </row>
    <row r="103" customHeight="1" spans="1:5">
      <c r="A103" s="10">
        <v>4</v>
      </c>
      <c r="B103" s="11" t="s">
        <v>221</v>
      </c>
      <c r="C103" s="4" t="s">
        <v>222</v>
      </c>
      <c r="D103" s="15" t="s">
        <v>76</v>
      </c>
      <c r="E103" s="714">
        <v>68000</v>
      </c>
    </row>
    <row r="104" customHeight="1" spans="1:5">
      <c r="A104" s="4"/>
      <c r="B104" s="20" t="s">
        <v>111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223</v>
      </c>
      <c r="C106" s="4"/>
      <c r="D106" s="4"/>
      <c r="E106" s="715"/>
    </row>
    <row r="107" customHeight="1" spans="1:5">
      <c r="A107" s="4">
        <v>1</v>
      </c>
      <c r="B107" s="11" t="s">
        <v>224</v>
      </c>
      <c r="C107" s="12" t="s">
        <v>225</v>
      </c>
      <c r="D107" s="15" t="s">
        <v>115</v>
      </c>
      <c r="E107" s="704">
        <v>270000</v>
      </c>
    </row>
    <row r="108" customHeight="1" spans="1:5">
      <c r="A108" s="4">
        <v>2</v>
      </c>
      <c r="B108" s="11" t="s">
        <v>226</v>
      </c>
      <c r="C108" s="4" t="s">
        <v>227</v>
      </c>
      <c r="D108" s="16" t="s">
        <v>154</v>
      </c>
      <c r="E108" s="704">
        <v>180000</v>
      </c>
    </row>
    <row r="109" customHeight="1" spans="1:5">
      <c r="A109" s="4">
        <v>3</v>
      </c>
      <c r="B109" s="11" t="s">
        <v>228</v>
      </c>
      <c r="C109" s="4" t="s">
        <v>442</v>
      </c>
      <c r="D109" s="10" t="s">
        <v>52</v>
      </c>
      <c r="E109" s="704">
        <v>90000</v>
      </c>
    </row>
    <row r="110" customHeight="1" spans="1:5">
      <c r="A110" s="4">
        <v>4</v>
      </c>
      <c r="B110" s="11" t="s">
        <v>231</v>
      </c>
      <c r="C110" s="4" t="s">
        <v>442</v>
      </c>
      <c r="D110" s="10" t="s">
        <v>52</v>
      </c>
      <c r="E110" s="704">
        <v>90000</v>
      </c>
    </row>
    <row r="111" customHeight="1" spans="1:5">
      <c r="A111" s="4">
        <v>5</v>
      </c>
      <c r="B111" s="11" t="s">
        <v>232</v>
      </c>
      <c r="C111" s="4" t="s">
        <v>233</v>
      </c>
      <c r="D111" s="15" t="s">
        <v>557</v>
      </c>
      <c r="E111" s="714">
        <v>54000</v>
      </c>
    </row>
    <row r="112" customHeight="1" spans="1:5">
      <c r="A112" s="4">
        <v>6</v>
      </c>
      <c r="B112" s="18" t="s">
        <v>235</v>
      </c>
      <c r="C112" s="4" t="s">
        <v>233</v>
      </c>
      <c r="D112" s="10" t="s">
        <v>558</v>
      </c>
      <c r="E112" s="714">
        <v>54000</v>
      </c>
    </row>
    <row r="113" customHeight="1" spans="1:5">
      <c r="A113" s="4">
        <v>7</v>
      </c>
      <c r="B113" s="18" t="s">
        <v>236</v>
      </c>
      <c r="C113" s="4" t="s">
        <v>233</v>
      </c>
      <c r="D113" s="15" t="s">
        <v>102</v>
      </c>
      <c r="E113" s="714">
        <v>54000</v>
      </c>
    </row>
    <row r="114" ht="25.5" customHeight="1" spans="1:5">
      <c r="A114" s="4"/>
      <c r="B114" s="20" t="s">
        <v>111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237</v>
      </c>
      <c r="C116" s="21"/>
      <c r="D116" s="21"/>
      <c r="E116" s="711"/>
    </row>
    <row r="117" customHeight="1" spans="1:5">
      <c r="A117" s="10">
        <v>1</v>
      </c>
      <c r="B117" s="14" t="s">
        <v>152</v>
      </c>
      <c r="C117" s="4" t="s">
        <v>130</v>
      </c>
      <c r="D117" s="10" t="s">
        <v>38</v>
      </c>
      <c r="E117" s="704">
        <v>126000</v>
      </c>
    </row>
    <row r="118" ht="18.75" customHeight="1" spans="1:5">
      <c r="A118" s="10">
        <v>2</v>
      </c>
      <c r="B118" s="11" t="s">
        <v>238</v>
      </c>
      <c r="C118" s="4" t="s">
        <v>239</v>
      </c>
      <c r="D118" s="15" t="s">
        <v>162</v>
      </c>
      <c r="E118" s="704">
        <v>68000</v>
      </c>
    </row>
    <row r="119" customHeight="1" spans="1:5">
      <c r="A119" s="10">
        <v>3</v>
      </c>
      <c r="B119" s="11" t="s">
        <v>179</v>
      </c>
      <c r="C119" s="12" t="s">
        <v>180</v>
      </c>
      <c r="D119" s="15" t="s">
        <v>159</v>
      </c>
      <c r="E119" s="704">
        <v>90000</v>
      </c>
    </row>
    <row r="120" ht="24.75" customHeight="1" spans="1:5">
      <c r="A120" s="4"/>
      <c r="B120" s="20" t="s">
        <v>111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245</v>
      </c>
      <c r="C122" s="21"/>
      <c r="D122" s="21"/>
      <c r="E122" s="711"/>
    </row>
    <row r="123" ht="24.75" customHeight="1" spans="1:5">
      <c r="A123" s="10">
        <v>1</v>
      </c>
      <c r="B123" s="14" t="s">
        <v>638</v>
      </c>
      <c r="C123" s="4" t="s">
        <v>639</v>
      </c>
      <c r="D123" s="10" t="s">
        <v>108</v>
      </c>
      <c r="E123" s="704">
        <v>54000</v>
      </c>
    </row>
    <row r="124" ht="24.75" customHeight="1" spans="1:5">
      <c r="A124" s="10">
        <v>2</v>
      </c>
      <c r="B124" s="11" t="s">
        <v>248</v>
      </c>
      <c r="C124" s="4" t="s">
        <v>249</v>
      </c>
      <c r="D124" s="10" t="s">
        <v>108</v>
      </c>
      <c r="E124" s="704">
        <v>54000</v>
      </c>
    </row>
    <row r="125" ht="24.75" customHeight="1" spans="1:5">
      <c r="A125" s="10">
        <v>3</v>
      </c>
      <c r="B125" s="11" t="s">
        <v>250</v>
      </c>
      <c r="C125" s="4" t="s">
        <v>251</v>
      </c>
      <c r="D125" s="10" t="s">
        <v>108</v>
      </c>
      <c r="E125" s="704">
        <v>54000</v>
      </c>
    </row>
    <row r="126" customHeight="1" spans="1:5">
      <c r="A126" s="4"/>
      <c r="B126" s="20" t="s">
        <v>111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252</v>
      </c>
      <c r="C128" s="21"/>
      <c r="D128" s="21"/>
      <c r="E128" s="711"/>
    </row>
    <row r="129" customHeight="1" spans="1:5">
      <c r="A129" s="4">
        <v>1</v>
      </c>
      <c r="B129" s="11" t="s">
        <v>253</v>
      </c>
      <c r="C129" s="12" t="s">
        <v>254</v>
      </c>
      <c r="D129" s="15" t="s">
        <v>115</v>
      </c>
      <c r="E129" s="704">
        <v>270000</v>
      </c>
    </row>
    <row r="130" customHeight="1" spans="1:5">
      <c r="A130" s="4">
        <v>2</v>
      </c>
      <c r="B130" s="11" t="s">
        <v>255</v>
      </c>
      <c r="C130" s="12" t="s">
        <v>256</v>
      </c>
      <c r="D130" s="15" t="s">
        <v>35</v>
      </c>
      <c r="E130" s="704">
        <v>180000</v>
      </c>
    </row>
    <row r="131" customHeight="1" spans="1:5">
      <c r="A131" s="4">
        <v>3</v>
      </c>
      <c r="B131" s="14" t="s">
        <v>257</v>
      </c>
      <c r="C131" s="12" t="s">
        <v>258</v>
      </c>
      <c r="D131" s="15" t="s">
        <v>131</v>
      </c>
      <c r="E131" s="704">
        <v>126000</v>
      </c>
    </row>
    <row r="132" customHeight="1" spans="1:5">
      <c r="A132" s="4">
        <v>4</v>
      </c>
      <c r="B132" s="11" t="s">
        <v>259</v>
      </c>
      <c r="C132" s="12" t="s">
        <v>260</v>
      </c>
      <c r="D132" s="15" t="s">
        <v>178</v>
      </c>
      <c r="E132" s="704">
        <v>90000</v>
      </c>
    </row>
    <row r="133" customHeight="1" spans="1:5">
      <c r="A133" s="4">
        <v>5</v>
      </c>
      <c r="B133" s="11" t="s">
        <v>261</v>
      </c>
      <c r="C133" s="12" t="s">
        <v>495</v>
      </c>
      <c r="D133" s="15" t="s">
        <v>199</v>
      </c>
      <c r="E133" s="704">
        <v>90000</v>
      </c>
    </row>
    <row r="134" customHeight="1" spans="1:5">
      <c r="A134" s="4">
        <v>6</v>
      </c>
      <c r="B134" s="11" t="s">
        <v>262</v>
      </c>
      <c r="C134" s="12" t="s">
        <v>260</v>
      </c>
      <c r="D134" s="15" t="s">
        <v>46</v>
      </c>
      <c r="E134" s="704">
        <v>90000</v>
      </c>
    </row>
    <row r="135" customHeight="1" spans="1:5">
      <c r="A135" s="4">
        <v>7</v>
      </c>
      <c r="B135" s="11" t="s">
        <v>265</v>
      </c>
      <c r="C135" s="12" t="s">
        <v>266</v>
      </c>
      <c r="D135" s="10" t="s">
        <v>84</v>
      </c>
      <c r="E135" s="704">
        <v>54000</v>
      </c>
    </row>
    <row r="136" customHeight="1" spans="1:5">
      <c r="A136" s="4">
        <v>8</v>
      </c>
      <c r="B136" s="18" t="s">
        <v>267</v>
      </c>
      <c r="C136" s="12" t="s">
        <v>268</v>
      </c>
      <c r="D136" s="15" t="s">
        <v>105</v>
      </c>
      <c r="E136" s="704">
        <v>54000</v>
      </c>
    </row>
    <row r="137" customHeight="1" spans="1:5">
      <c r="A137" s="4">
        <v>9</v>
      </c>
      <c r="B137" s="18" t="s">
        <v>269</v>
      </c>
      <c r="C137" s="12" t="s">
        <v>264</v>
      </c>
      <c r="D137" s="15" t="s">
        <v>105</v>
      </c>
      <c r="E137" s="704">
        <v>54000</v>
      </c>
    </row>
    <row r="138" customHeight="1" spans="1:5">
      <c r="A138" s="4">
        <v>10</v>
      </c>
      <c r="B138" s="18" t="s">
        <v>270</v>
      </c>
      <c r="C138" s="12" t="s">
        <v>268</v>
      </c>
      <c r="D138" s="15" t="s">
        <v>108</v>
      </c>
      <c r="E138" s="704">
        <v>54000</v>
      </c>
    </row>
    <row r="139" ht="28.5" customHeight="1" spans="1:5">
      <c r="A139" s="4"/>
      <c r="B139" s="20" t="s">
        <v>111</v>
      </c>
      <c r="C139" s="26" t="s">
        <v>496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272</v>
      </c>
      <c r="C141" s="12"/>
      <c r="D141" s="15"/>
      <c r="E141" s="704"/>
    </row>
    <row r="142" customHeight="1" spans="1:5">
      <c r="A142" s="27">
        <v>1</v>
      </c>
      <c r="B142" s="11" t="s">
        <v>561</v>
      </c>
      <c r="C142" s="12" t="s">
        <v>562</v>
      </c>
      <c r="D142" s="15" t="s">
        <v>115</v>
      </c>
      <c r="E142" s="704">
        <v>270000</v>
      </c>
    </row>
    <row r="143" customHeight="1" spans="1:5">
      <c r="A143" s="27">
        <v>2</v>
      </c>
      <c r="B143" s="14" t="s">
        <v>276</v>
      </c>
      <c r="C143" s="4" t="s">
        <v>277</v>
      </c>
      <c r="D143" s="16" t="s">
        <v>154</v>
      </c>
      <c r="E143" s="704">
        <v>180000</v>
      </c>
    </row>
    <row r="144" customHeight="1" spans="1:5">
      <c r="A144" s="27">
        <v>3</v>
      </c>
      <c r="B144" s="11" t="s">
        <v>278</v>
      </c>
      <c r="C144" s="12" t="s">
        <v>279</v>
      </c>
      <c r="D144" s="15" t="s">
        <v>49</v>
      </c>
      <c r="E144" s="704">
        <v>126000</v>
      </c>
    </row>
    <row r="145" customHeight="1" spans="1:5">
      <c r="A145" s="27">
        <v>4</v>
      </c>
      <c r="B145" s="11" t="s">
        <v>280</v>
      </c>
      <c r="C145" s="4" t="s">
        <v>281</v>
      </c>
      <c r="D145" s="15" t="s">
        <v>49</v>
      </c>
      <c r="E145" s="704">
        <v>126000</v>
      </c>
    </row>
    <row r="146" customHeight="1" spans="1:5">
      <c r="A146" s="27">
        <v>5</v>
      </c>
      <c r="B146" s="11" t="s">
        <v>282</v>
      </c>
      <c r="C146" s="4" t="s">
        <v>281</v>
      </c>
      <c r="D146" s="15" t="s">
        <v>49</v>
      </c>
      <c r="E146" s="704">
        <v>126000</v>
      </c>
    </row>
    <row r="147" customHeight="1" spans="1:5">
      <c r="A147" s="27">
        <v>6</v>
      </c>
      <c r="B147" s="11" t="s">
        <v>215</v>
      </c>
      <c r="C147" s="12" t="s">
        <v>216</v>
      </c>
      <c r="D147" s="15" t="s">
        <v>159</v>
      </c>
      <c r="E147" s="704">
        <v>90000</v>
      </c>
    </row>
    <row r="148" customHeight="1" spans="1:5">
      <c r="A148" s="27">
        <v>7</v>
      </c>
      <c r="B148" s="11" t="s">
        <v>283</v>
      </c>
      <c r="C148" s="12" t="s">
        <v>216</v>
      </c>
      <c r="D148" s="15" t="s">
        <v>159</v>
      </c>
      <c r="E148" s="704">
        <v>90000</v>
      </c>
    </row>
    <row r="149" customHeight="1" spans="1:5">
      <c r="A149" s="27">
        <v>8</v>
      </c>
      <c r="B149" s="11" t="s">
        <v>284</v>
      </c>
      <c r="C149" s="4" t="s">
        <v>497</v>
      </c>
      <c r="D149" s="15" t="s">
        <v>159</v>
      </c>
      <c r="E149" s="704">
        <v>90000</v>
      </c>
    </row>
    <row r="150" customHeight="1" spans="1:5">
      <c r="A150" s="27">
        <v>9</v>
      </c>
      <c r="B150" s="11" t="s">
        <v>286</v>
      </c>
      <c r="C150" s="12" t="s">
        <v>287</v>
      </c>
      <c r="D150" s="15" t="s">
        <v>162</v>
      </c>
      <c r="E150" s="704">
        <v>68000</v>
      </c>
    </row>
    <row r="151" customHeight="1" spans="1:5">
      <c r="A151" s="27">
        <v>10</v>
      </c>
      <c r="B151" s="11" t="s">
        <v>288</v>
      </c>
      <c r="C151" s="12" t="s">
        <v>289</v>
      </c>
      <c r="D151" s="15" t="s">
        <v>68</v>
      </c>
      <c r="E151" s="704">
        <v>68000</v>
      </c>
    </row>
    <row r="152" customHeight="1" spans="1:5">
      <c r="A152" s="27">
        <v>11</v>
      </c>
      <c r="B152" s="11" t="s">
        <v>60</v>
      </c>
      <c r="C152" s="12" t="s">
        <v>569</v>
      </c>
      <c r="D152" s="15" t="s">
        <v>65</v>
      </c>
      <c r="E152" s="704">
        <v>68000</v>
      </c>
    </row>
    <row r="153" customHeight="1" spans="1:5">
      <c r="A153" s="27">
        <v>12</v>
      </c>
      <c r="B153" s="18" t="s">
        <v>290</v>
      </c>
      <c r="C153" s="4" t="s">
        <v>291</v>
      </c>
      <c r="D153" s="15" t="s">
        <v>137</v>
      </c>
      <c r="E153" s="704">
        <v>68000</v>
      </c>
    </row>
    <row r="154" customHeight="1" spans="1:5">
      <c r="A154" s="27">
        <v>13</v>
      </c>
      <c r="B154" s="11" t="s">
        <v>292</v>
      </c>
      <c r="C154" s="4" t="s">
        <v>291</v>
      </c>
      <c r="D154" s="15" t="s">
        <v>137</v>
      </c>
      <c r="E154" s="704">
        <v>68000</v>
      </c>
    </row>
    <row r="155" customHeight="1" spans="1:5">
      <c r="A155" s="27">
        <v>14</v>
      </c>
      <c r="B155" s="11" t="s">
        <v>293</v>
      </c>
      <c r="C155" s="4" t="s">
        <v>291</v>
      </c>
      <c r="D155" s="15" t="s">
        <v>137</v>
      </c>
      <c r="E155" s="704">
        <v>68000</v>
      </c>
    </row>
    <row r="156" customHeight="1" spans="1:5">
      <c r="A156" s="27">
        <v>15</v>
      </c>
      <c r="B156" s="11" t="s">
        <v>295</v>
      </c>
      <c r="C156" s="4" t="s">
        <v>291</v>
      </c>
      <c r="D156" s="15" t="s">
        <v>137</v>
      </c>
      <c r="E156" s="704">
        <v>68000</v>
      </c>
    </row>
    <row r="157" customHeight="1" spans="1:5">
      <c r="A157" s="27">
        <v>16</v>
      </c>
      <c r="B157" s="11" t="s">
        <v>296</v>
      </c>
      <c r="C157" s="12" t="s">
        <v>297</v>
      </c>
      <c r="D157" s="15" t="s">
        <v>76</v>
      </c>
      <c r="E157" s="704">
        <v>68000</v>
      </c>
    </row>
    <row r="158" customHeight="1" spans="1:5">
      <c r="A158" s="27">
        <v>17</v>
      </c>
      <c r="B158" s="11" t="s">
        <v>298</v>
      </c>
      <c r="C158" s="12" t="s">
        <v>299</v>
      </c>
      <c r="D158" s="10" t="s">
        <v>87</v>
      </c>
      <c r="E158" s="704">
        <v>54000</v>
      </c>
    </row>
    <row r="159" customHeight="1" spans="1:5">
      <c r="A159" s="27">
        <v>18</v>
      </c>
      <c r="B159" s="11" t="s">
        <v>300</v>
      </c>
      <c r="C159" s="12" t="s">
        <v>301</v>
      </c>
      <c r="D159" s="15" t="s">
        <v>119</v>
      </c>
      <c r="E159" s="714">
        <v>68000</v>
      </c>
    </row>
    <row r="160" customHeight="1" spans="1:5">
      <c r="A160" s="27">
        <v>19</v>
      </c>
      <c r="B160" s="11" t="s">
        <v>303</v>
      </c>
      <c r="C160" s="12" t="s">
        <v>304</v>
      </c>
      <c r="D160" s="15" t="s">
        <v>84</v>
      </c>
      <c r="E160" s="714">
        <v>54000</v>
      </c>
    </row>
    <row r="161" customHeight="1" spans="1:5">
      <c r="A161" s="27">
        <v>20</v>
      </c>
      <c r="B161" s="11" t="s">
        <v>305</v>
      </c>
      <c r="C161" s="12" t="s">
        <v>306</v>
      </c>
      <c r="D161" s="15" t="s">
        <v>119</v>
      </c>
      <c r="E161" s="714">
        <v>68000</v>
      </c>
    </row>
    <row r="162" customHeight="1" spans="1:5">
      <c r="A162" s="27">
        <v>21</v>
      </c>
      <c r="B162" s="11" t="s">
        <v>307</v>
      </c>
      <c r="C162" s="12" t="s">
        <v>308</v>
      </c>
      <c r="D162" s="15" t="s">
        <v>84</v>
      </c>
      <c r="E162" s="714">
        <v>54000</v>
      </c>
    </row>
    <row r="163" customHeight="1" spans="1:5">
      <c r="A163" s="27">
        <v>22</v>
      </c>
      <c r="B163" s="18" t="s">
        <v>309</v>
      </c>
      <c r="C163" s="12" t="s">
        <v>310</v>
      </c>
      <c r="D163" s="15" t="s">
        <v>96</v>
      </c>
      <c r="E163" s="714">
        <v>54000</v>
      </c>
    </row>
    <row r="164" customHeight="1" spans="1:5">
      <c r="A164" s="27">
        <v>23</v>
      </c>
      <c r="B164" s="18" t="s">
        <v>311</v>
      </c>
      <c r="C164" s="12" t="s">
        <v>310</v>
      </c>
      <c r="D164" s="15" t="s">
        <v>96</v>
      </c>
      <c r="E164" s="714">
        <v>54000</v>
      </c>
    </row>
    <row r="165" customHeight="1" spans="1:5">
      <c r="A165" s="27">
        <v>24</v>
      </c>
      <c r="B165" s="18" t="s">
        <v>314</v>
      </c>
      <c r="C165" s="12" t="s">
        <v>315</v>
      </c>
      <c r="D165" s="15" t="s">
        <v>105</v>
      </c>
      <c r="E165" s="714">
        <v>54000</v>
      </c>
    </row>
    <row r="166" customHeight="1" spans="1:5">
      <c r="A166" s="27">
        <v>25</v>
      </c>
      <c r="B166" s="18" t="s">
        <v>316</v>
      </c>
      <c r="C166" s="12" t="s">
        <v>317</v>
      </c>
      <c r="D166" s="15" t="s">
        <v>105</v>
      </c>
      <c r="E166" s="714">
        <v>54000</v>
      </c>
    </row>
    <row r="167" customHeight="1" spans="1:5">
      <c r="A167" s="27">
        <v>26</v>
      </c>
      <c r="B167" s="18" t="s">
        <v>318</v>
      </c>
      <c r="C167" s="12" t="s">
        <v>319</v>
      </c>
      <c r="D167" s="15" t="s">
        <v>105</v>
      </c>
      <c r="E167" s="714">
        <v>54000</v>
      </c>
    </row>
    <row r="168" customHeight="1" spans="1:5">
      <c r="A168" s="27">
        <v>27</v>
      </c>
      <c r="B168" s="18" t="s">
        <v>320</v>
      </c>
      <c r="C168" s="12" t="s">
        <v>321</v>
      </c>
      <c r="D168" s="15" t="s">
        <v>102</v>
      </c>
      <c r="E168" s="714">
        <v>54000</v>
      </c>
    </row>
    <row r="169" customHeight="1" spans="1:5">
      <c r="A169" s="27">
        <v>28</v>
      </c>
      <c r="B169" s="18" t="s">
        <v>322</v>
      </c>
      <c r="C169" s="12" t="s">
        <v>317</v>
      </c>
      <c r="D169" s="15" t="s">
        <v>105</v>
      </c>
      <c r="E169" s="714">
        <v>54000</v>
      </c>
    </row>
    <row r="170" customHeight="1" spans="1:5">
      <c r="A170" s="27">
        <v>29</v>
      </c>
      <c r="B170" s="18" t="s">
        <v>323</v>
      </c>
      <c r="C170" s="12" t="s">
        <v>324</v>
      </c>
      <c r="D170" s="15" t="s">
        <v>108</v>
      </c>
      <c r="E170" s="714">
        <v>54000</v>
      </c>
    </row>
    <row r="171" customHeight="1" spans="1:5">
      <c r="A171" s="27">
        <v>30</v>
      </c>
      <c r="B171" s="18" t="s">
        <v>325</v>
      </c>
      <c r="C171" s="12" t="s">
        <v>324</v>
      </c>
      <c r="D171" s="15" t="s">
        <v>108</v>
      </c>
      <c r="E171" s="714">
        <v>54000</v>
      </c>
    </row>
    <row r="172" customHeight="1" spans="1:5">
      <c r="A172" s="27">
        <v>31</v>
      </c>
      <c r="B172" s="11" t="s">
        <v>331</v>
      </c>
      <c r="C172" s="12" t="s">
        <v>332</v>
      </c>
      <c r="D172" s="15" t="s">
        <v>339</v>
      </c>
      <c r="E172" s="714">
        <v>36000</v>
      </c>
    </row>
    <row r="173" customHeight="1" spans="1:5">
      <c r="A173" s="27">
        <v>32</v>
      </c>
      <c r="B173" s="11" t="s">
        <v>334</v>
      </c>
      <c r="C173" s="12" t="s">
        <v>332</v>
      </c>
      <c r="D173" s="15" t="s">
        <v>339</v>
      </c>
      <c r="E173" s="714">
        <v>36000</v>
      </c>
    </row>
    <row r="174" customHeight="1" spans="1:5">
      <c r="A174" s="27">
        <v>33</v>
      </c>
      <c r="B174" s="11" t="s">
        <v>335</v>
      </c>
      <c r="C174" s="12" t="s">
        <v>332</v>
      </c>
      <c r="D174" s="15" t="s">
        <v>339</v>
      </c>
      <c r="E174" s="714">
        <v>36000</v>
      </c>
    </row>
    <row r="175" customHeight="1" spans="1:5">
      <c r="A175" s="27">
        <v>34</v>
      </c>
      <c r="B175" s="11" t="s">
        <v>336</v>
      </c>
      <c r="C175" s="12" t="s">
        <v>332</v>
      </c>
      <c r="D175" s="15" t="s">
        <v>339</v>
      </c>
      <c r="E175" s="714">
        <v>36000</v>
      </c>
    </row>
    <row r="176" customHeight="1" spans="1:5">
      <c r="A176" s="27">
        <v>35</v>
      </c>
      <c r="B176" s="11" t="s">
        <v>337</v>
      </c>
      <c r="C176" s="12" t="s">
        <v>332</v>
      </c>
      <c r="D176" s="15" t="s">
        <v>339</v>
      </c>
      <c r="E176" s="714">
        <v>36000</v>
      </c>
    </row>
    <row r="177" customHeight="1" spans="1:5">
      <c r="A177" s="27">
        <v>36</v>
      </c>
      <c r="B177" s="11" t="s">
        <v>338</v>
      </c>
      <c r="C177" s="12" t="s">
        <v>332</v>
      </c>
      <c r="D177" s="15" t="s">
        <v>350</v>
      </c>
      <c r="E177" s="714">
        <v>36000</v>
      </c>
    </row>
    <row r="178" customHeight="1" spans="1:5">
      <c r="A178" s="27">
        <v>37</v>
      </c>
      <c r="B178" s="11" t="s">
        <v>340</v>
      </c>
      <c r="C178" s="12" t="s">
        <v>332</v>
      </c>
      <c r="D178" s="15" t="s">
        <v>350</v>
      </c>
      <c r="E178" s="714">
        <v>36000</v>
      </c>
    </row>
    <row r="179" customHeight="1" spans="1:5">
      <c r="A179" s="27">
        <v>38</v>
      </c>
      <c r="B179" s="14" t="s">
        <v>341</v>
      </c>
      <c r="C179" s="12" t="s">
        <v>332</v>
      </c>
      <c r="D179" s="15" t="s">
        <v>350</v>
      </c>
      <c r="E179" s="714">
        <v>36000</v>
      </c>
    </row>
    <row r="180" customHeight="1" spans="1:5">
      <c r="A180" s="27">
        <v>39</v>
      </c>
      <c r="B180" s="11" t="s">
        <v>342</v>
      </c>
      <c r="C180" s="12" t="s">
        <v>332</v>
      </c>
      <c r="D180" s="15" t="s">
        <v>350</v>
      </c>
      <c r="E180" s="714">
        <v>36000</v>
      </c>
    </row>
    <row r="181" customHeight="1" spans="1:5">
      <c r="A181" s="27">
        <v>40</v>
      </c>
      <c r="B181" s="18" t="s">
        <v>343</v>
      </c>
      <c r="C181" s="12" t="s">
        <v>332</v>
      </c>
      <c r="D181" s="15" t="s">
        <v>350</v>
      </c>
      <c r="E181" s="714">
        <v>36000</v>
      </c>
    </row>
    <row r="182" customHeight="1" spans="1:5">
      <c r="A182" s="27">
        <v>41</v>
      </c>
      <c r="B182" s="18" t="s">
        <v>344</v>
      </c>
      <c r="C182" s="12" t="s">
        <v>332</v>
      </c>
      <c r="D182" s="15" t="s">
        <v>350</v>
      </c>
      <c r="E182" s="714">
        <v>36000</v>
      </c>
    </row>
    <row r="183" customHeight="1" spans="1:5">
      <c r="A183" s="27">
        <v>42</v>
      </c>
      <c r="B183" s="11" t="s">
        <v>345</v>
      </c>
      <c r="C183" s="12" t="s">
        <v>346</v>
      </c>
      <c r="D183" s="15" t="s">
        <v>353</v>
      </c>
      <c r="E183" s="714">
        <v>36000</v>
      </c>
    </row>
    <row r="184" customHeight="1" spans="1:5">
      <c r="A184" s="27">
        <v>43</v>
      </c>
      <c r="B184" s="11" t="s">
        <v>348</v>
      </c>
      <c r="C184" s="12" t="s">
        <v>346</v>
      </c>
      <c r="D184" s="15" t="s">
        <v>353</v>
      </c>
      <c r="E184" s="714">
        <v>36000</v>
      </c>
    </row>
    <row r="185" customHeight="1" spans="1:5">
      <c r="A185" s="27">
        <v>44</v>
      </c>
      <c r="B185" s="18" t="s">
        <v>349</v>
      </c>
      <c r="C185" s="12" t="s">
        <v>346</v>
      </c>
      <c r="D185" s="15" t="s">
        <v>347</v>
      </c>
      <c r="E185" s="714">
        <v>36000</v>
      </c>
    </row>
    <row r="186" customHeight="1" spans="1:5">
      <c r="A186" s="27">
        <v>45</v>
      </c>
      <c r="B186" s="11" t="s">
        <v>351</v>
      </c>
      <c r="C186" s="12" t="s">
        <v>346</v>
      </c>
      <c r="D186" s="15" t="s">
        <v>353</v>
      </c>
      <c r="E186" s="714">
        <v>36000</v>
      </c>
    </row>
    <row r="187" customHeight="1" spans="1:5">
      <c r="A187" s="27">
        <v>46</v>
      </c>
      <c r="B187" s="11" t="s">
        <v>354</v>
      </c>
      <c r="C187" s="12" t="s">
        <v>355</v>
      </c>
      <c r="D187" s="15" t="s">
        <v>366</v>
      </c>
      <c r="E187" s="714">
        <v>36000</v>
      </c>
    </row>
    <row r="188" customHeight="1" spans="1:5">
      <c r="A188" s="27">
        <v>47</v>
      </c>
      <c r="B188" s="11" t="s">
        <v>357</v>
      </c>
      <c r="C188" s="12" t="s">
        <v>355</v>
      </c>
      <c r="D188" s="15" t="s">
        <v>366</v>
      </c>
      <c r="E188" s="714">
        <v>36000</v>
      </c>
    </row>
    <row r="189" customHeight="1" spans="1:5">
      <c r="A189" s="27">
        <v>48</v>
      </c>
      <c r="B189" s="11" t="s">
        <v>358</v>
      </c>
      <c r="C189" s="12" t="s">
        <v>355</v>
      </c>
      <c r="D189" s="15" t="s">
        <v>366</v>
      </c>
      <c r="E189" s="714">
        <v>36000</v>
      </c>
    </row>
    <row r="190" customHeight="1" spans="1:5">
      <c r="A190" s="27">
        <v>49</v>
      </c>
      <c r="B190" s="11" t="s">
        <v>359</v>
      </c>
      <c r="C190" s="12" t="s">
        <v>355</v>
      </c>
      <c r="D190" s="15" t="s">
        <v>366</v>
      </c>
      <c r="E190" s="714">
        <v>36000</v>
      </c>
    </row>
    <row r="191" customHeight="1" spans="1:5">
      <c r="A191" s="27">
        <v>50</v>
      </c>
      <c r="B191" s="11" t="s">
        <v>360</v>
      </c>
      <c r="C191" s="12" t="s">
        <v>355</v>
      </c>
      <c r="D191" s="15" t="s">
        <v>366</v>
      </c>
      <c r="E191" s="714">
        <v>36000</v>
      </c>
    </row>
    <row r="192" customHeight="1" spans="1:5">
      <c r="A192" s="27">
        <v>51</v>
      </c>
      <c r="B192" s="18" t="s">
        <v>361</v>
      </c>
      <c r="C192" s="12" t="s">
        <v>355</v>
      </c>
      <c r="D192" s="15" t="s">
        <v>366</v>
      </c>
      <c r="E192" s="714">
        <v>36000</v>
      </c>
    </row>
    <row r="193" customHeight="1" spans="1:5">
      <c r="A193" s="27">
        <v>52</v>
      </c>
      <c r="B193" s="18" t="s">
        <v>362</v>
      </c>
      <c r="C193" s="12" t="s">
        <v>355</v>
      </c>
      <c r="D193" s="15" t="s">
        <v>366</v>
      </c>
      <c r="E193" s="714">
        <v>36000</v>
      </c>
    </row>
    <row r="194" customHeight="1" spans="1:5">
      <c r="A194" s="27">
        <v>53</v>
      </c>
      <c r="B194" s="11" t="s">
        <v>499</v>
      </c>
      <c r="C194" s="12" t="s">
        <v>352</v>
      </c>
      <c r="D194" s="15" t="s">
        <v>366</v>
      </c>
      <c r="E194" s="714">
        <v>36000</v>
      </c>
    </row>
    <row r="195" customHeight="1" spans="1:5">
      <c r="A195" s="27">
        <v>54</v>
      </c>
      <c r="B195" s="11" t="s">
        <v>363</v>
      </c>
      <c r="C195" s="12" t="s">
        <v>352</v>
      </c>
      <c r="D195" s="15" t="s">
        <v>366</v>
      </c>
      <c r="E195" s="714">
        <v>36000</v>
      </c>
    </row>
    <row r="196" customHeight="1" spans="1:5">
      <c r="A196" s="27">
        <v>55</v>
      </c>
      <c r="B196" s="18" t="s">
        <v>364</v>
      </c>
      <c r="C196" s="12" t="s">
        <v>365</v>
      </c>
      <c r="D196" s="15" t="s">
        <v>378</v>
      </c>
      <c r="E196" s="714">
        <v>36000</v>
      </c>
    </row>
    <row r="197" customHeight="1" spans="1:5">
      <c r="A197" s="27">
        <v>56</v>
      </c>
      <c r="B197" s="18" t="s">
        <v>367</v>
      </c>
      <c r="C197" s="12" t="s">
        <v>365</v>
      </c>
      <c r="D197" s="15" t="s">
        <v>370</v>
      </c>
      <c r="E197" s="714">
        <v>36000</v>
      </c>
    </row>
    <row r="198" customHeight="1" spans="1:5">
      <c r="A198" s="27">
        <v>57</v>
      </c>
      <c r="B198" s="18" t="s">
        <v>369</v>
      </c>
      <c r="C198" s="12" t="s">
        <v>346</v>
      </c>
      <c r="D198" s="15" t="s">
        <v>353</v>
      </c>
      <c r="E198" s="714">
        <v>36000</v>
      </c>
    </row>
    <row r="199" customHeight="1" spans="1:5">
      <c r="A199" s="27">
        <v>58</v>
      </c>
      <c r="B199" s="18" t="s">
        <v>371</v>
      </c>
      <c r="C199" s="12" t="s">
        <v>372</v>
      </c>
      <c r="D199" s="15" t="s">
        <v>572</v>
      </c>
      <c r="E199" s="714">
        <v>36000</v>
      </c>
    </row>
    <row r="200" customHeight="1" spans="1:5">
      <c r="A200" s="27">
        <v>59</v>
      </c>
      <c r="B200" s="18" t="s">
        <v>374</v>
      </c>
      <c r="C200" s="12" t="s">
        <v>372</v>
      </c>
      <c r="D200" s="15" t="s">
        <v>572</v>
      </c>
      <c r="E200" s="714">
        <v>36000</v>
      </c>
    </row>
    <row r="201" customHeight="1" spans="1:5">
      <c r="A201" s="27">
        <v>60</v>
      </c>
      <c r="B201" s="18" t="s">
        <v>375</v>
      </c>
      <c r="C201" s="12" t="s">
        <v>372</v>
      </c>
      <c r="D201" s="15" t="s">
        <v>572</v>
      </c>
      <c r="E201" s="714">
        <v>36000</v>
      </c>
    </row>
    <row r="202" customHeight="1" spans="1:5">
      <c r="A202" s="27">
        <v>61</v>
      </c>
      <c r="B202" s="18" t="s">
        <v>376</v>
      </c>
      <c r="C202" s="12" t="s">
        <v>377</v>
      </c>
      <c r="D202" s="15" t="s">
        <v>368</v>
      </c>
      <c r="E202" s="714">
        <v>36000</v>
      </c>
    </row>
    <row r="203" customHeight="1" spans="1:5">
      <c r="A203" s="27">
        <v>62</v>
      </c>
      <c r="B203" s="18" t="s">
        <v>379</v>
      </c>
      <c r="C203" s="12" t="s">
        <v>377</v>
      </c>
      <c r="D203" s="15" t="s">
        <v>368</v>
      </c>
      <c r="E203" s="714">
        <v>36000</v>
      </c>
    </row>
    <row r="204" ht="30.75" customHeight="1" spans="1:5">
      <c r="A204" s="27"/>
      <c r="B204" s="8" t="s">
        <v>111</v>
      </c>
      <c r="C204" s="28" t="s">
        <v>727</v>
      </c>
      <c r="D204" s="29"/>
      <c r="E204" s="709">
        <f>SUM(E142:E203)</f>
        <v>3578000</v>
      </c>
    </row>
    <row r="205" ht="33.95" customHeight="1" spans="1:5">
      <c r="A205" s="4"/>
      <c r="B205" s="30" t="s">
        <v>381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728</v>
      </c>
      <c r="B1" s="721"/>
      <c r="C1" s="721"/>
    </row>
    <row r="2" ht="23.1" customHeight="1" spans="1:3">
      <c r="A2" s="722">
        <v>1</v>
      </c>
      <c r="B2" s="722" t="s">
        <v>644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645</v>
      </c>
      <c r="C3" s="610">
        <f>'[4]Christmas 2024'!$E$58</f>
        <v>1470000</v>
      </c>
    </row>
    <row r="4" ht="23.1" customHeight="1" spans="1:3">
      <c r="A4" s="722">
        <v>3</v>
      </c>
      <c r="B4" s="722" t="s">
        <v>646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647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648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649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650</v>
      </c>
      <c r="C8" s="610">
        <f>'[5]WELFARE - OTHERS'!$C$95</f>
        <v>1555000</v>
      </c>
    </row>
    <row r="9" ht="23.1" customHeight="1" spans="1:3">
      <c r="A9" s="722"/>
      <c r="B9" s="265" t="s">
        <v>651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729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730</v>
      </c>
    </row>
    <row r="5" ht="17.25" customHeight="1" spans="3:6">
      <c r="C5" s="8"/>
      <c r="D5" s="8"/>
      <c r="E5" s="701" t="s">
        <v>20</v>
      </c>
      <c r="F5" s="702" t="s">
        <v>20</v>
      </c>
    </row>
    <row r="6" customHeight="1" spans="1:6">
      <c r="A6" s="9" t="s">
        <v>21</v>
      </c>
      <c r="B6" s="8" t="s">
        <v>22</v>
      </c>
      <c r="C6" s="8"/>
      <c r="D6" s="8"/>
      <c r="E6" s="701"/>
      <c r="F6" s="703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273</v>
      </c>
      <c r="C11" s="4" t="s">
        <v>535</v>
      </c>
      <c r="D11" s="10" t="s">
        <v>28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33</v>
      </c>
      <c r="C12" s="12" t="s">
        <v>538</v>
      </c>
      <c r="D12" s="15" t="s">
        <v>131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36</v>
      </c>
      <c r="C13" s="4" t="s">
        <v>37</v>
      </c>
      <c r="D13" s="10" t="s">
        <v>49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39</v>
      </c>
      <c r="C14" s="4" t="s">
        <v>40</v>
      </c>
      <c r="D14" s="15" t="s">
        <v>41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42</v>
      </c>
      <c r="C15" s="17" t="s">
        <v>43</v>
      </c>
      <c r="D15" s="15" t="s">
        <v>49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44</v>
      </c>
      <c r="C16" s="4" t="s">
        <v>45</v>
      </c>
      <c r="D16" s="10" t="s">
        <v>199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47</v>
      </c>
      <c r="C17" s="4" t="s">
        <v>48</v>
      </c>
      <c r="D17" s="10" t="s">
        <v>49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460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53</v>
      </c>
      <c r="C19" s="4" t="s">
        <v>54</v>
      </c>
      <c r="D19" s="15" t="s">
        <v>540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56</v>
      </c>
      <c r="C20" s="4" t="s">
        <v>57</v>
      </c>
      <c r="D20" s="15" t="s">
        <v>634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59</v>
      </c>
      <c r="C21" s="4" t="s">
        <v>51</v>
      </c>
      <c r="D21" s="15" t="s">
        <v>634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63</v>
      </c>
      <c r="C22" s="12" t="s">
        <v>64</v>
      </c>
      <c r="D22" s="15" t="s">
        <v>162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66</v>
      </c>
      <c r="C23" s="17" t="s">
        <v>67</v>
      </c>
      <c r="D23" s="10" t="s">
        <v>137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69</v>
      </c>
      <c r="C24" s="17" t="s">
        <v>70</v>
      </c>
      <c r="D24" s="15" t="s">
        <v>137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71</v>
      </c>
      <c r="C25" s="17" t="s">
        <v>72</v>
      </c>
      <c r="D25" s="10" t="s">
        <v>73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74</v>
      </c>
      <c r="C26" s="17" t="s">
        <v>75</v>
      </c>
      <c r="D26" s="10" t="s">
        <v>73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77</v>
      </c>
      <c r="C27" s="4" t="s">
        <v>78</v>
      </c>
      <c r="D27" s="10" t="s">
        <v>84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80</v>
      </c>
      <c r="C28" s="12" t="s">
        <v>78</v>
      </c>
      <c r="D28" s="15" t="s">
        <v>84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81</v>
      </c>
      <c r="C29" s="17" t="s">
        <v>67</v>
      </c>
      <c r="D29" s="10" t="s">
        <v>84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82</v>
      </c>
      <c r="C30" s="12" t="s">
        <v>83</v>
      </c>
      <c r="D30" s="15" t="s">
        <v>87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85</v>
      </c>
      <c r="C31" s="4" t="s">
        <v>86</v>
      </c>
      <c r="D31" s="10" t="s">
        <v>96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88</v>
      </c>
      <c r="C32" s="4" t="s">
        <v>86</v>
      </c>
      <c r="D32" s="10" t="s">
        <v>96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89</v>
      </c>
      <c r="C33" s="17" t="s">
        <v>90</v>
      </c>
      <c r="D33" s="15" t="s">
        <v>84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91</v>
      </c>
      <c r="C34" s="4" t="s">
        <v>78</v>
      </c>
      <c r="D34" s="10" t="s">
        <v>96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92</v>
      </c>
      <c r="C35" s="4" t="s">
        <v>93</v>
      </c>
      <c r="D35" s="10" t="s">
        <v>96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100</v>
      </c>
      <c r="C36" s="12" t="s">
        <v>101</v>
      </c>
      <c r="D36" s="15" t="s">
        <v>105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103</v>
      </c>
      <c r="C37" s="12" t="s">
        <v>104</v>
      </c>
      <c r="D37" s="15" t="s">
        <v>108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111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112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113</v>
      </c>
      <c r="C41" s="4" t="s">
        <v>114</v>
      </c>
      <c r="D41" s="10" t="s">
        <v>115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116</v>
      </c>
      <c r="C42" s="4" t="s">
        <v>117</v>
      </c>
      <c r="D42" s="10" t="s">
        <v>73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118</v>
      </c>
      <c r="C43" s="4" t="s">
        <v>117</v>
      </c>
      <c r="D43" s="15" t="s">
        <v>76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121</v>
      </c>
      <c r="C44" s="4" t="s">
        <v>122</v>
      </c>
      <c r="D44" s="15" t="s">
        <v>96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125</v>
      </c>
      <c r="C47" s="5"/>
      <c r="D47" s="24"/>
      <c r="E47" s="707"/>
      <c r="F47" s="708"/>
    </row>
    <row r="48" customHeight="1" spans="1:6">
      <c r="A48" s="10">
        <v>1</v>
      </c>
      <c r="B48" s="11" t="s">
        <v>541</v>
      </c>
      <c r="C48" s="4" t="s">
        <v>542</v>
      </c>
      <c r="D48" s="10" t="s">
        <v>115</v>
      </c>
      <c r="E48" s="704">
        <f>'AUGUST 2025'!J70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543</v>
      </c>
      <c r="C49" s="4" t="s">
        <v>43</v>
      </c>
      <c r="D49" s="10" t="s">
        <v>131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126</v>
      </c>
      <c r="C50" s="4" t="s">
        <v>127</v>
      </c>
      <c r="D50" s="10" t="s">
        <v>35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129</v>
      </c>
      <c r="C51" s="4" t="s">
        <v>130</v>
      </c>
      <c r="D51" s="10" t="s">
        <v>131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132</v>
      </c>
      <c r="C52" s="4" t="s">
        <v>130</v>
      </c>
      <c r="D52" s="10" t="s">
        <v>131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133</v>
      </c>
      <c r="C53" s="4" t="s">
        <v>130</v>
      </c>
      <c r="D53" s="10" t="s">
        <v>49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134</v>
      </c>
      <c r="C54" s="4" t="s">
        <v>130</v>
      </c>
      <c r="D54" s="10" t="s">
        <v>49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138</v>
      </c>
      <c r="C55" s="4" t="s">
        <v>139</v>
      </c>
      <c r="D55" s="10" t="s">
        <v>76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142</v>
      </c>
      <c r="C56" s="4" t="s">
        <v>139</v>
      </c>
      <c r="D56" s="10" t="s">
        <v>87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143</v>
      </c>
      <c r="C57" s="4" t="s">
        <v>139</v>
      </c>
      <c r="D57" s="10" t="s">
        <v>87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111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145</v>
      </c>
      <c r="C60" s="21"/>
      <c r="D60" s="21"/>
      <c r="E60" s="711"/>
      <c r="F60" s="712"/>
    </row>
    <row r="61" customHeight="1" spans="1:6">
      <c r="A61" s="10">
        <v>1</v>
      </c>
      <c r="B61" s="11" t="s">
        <v>545</v>
      </c>
      <c r="C61" s="12" t="s">
        <v>147</v>
      </c>
      <c r="D61" s="15" t="s">
        <v>115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148</v>
      </c>
      <c r="C62" s="12" t="s">
        <v>149</v>
      </c>
      <c r="D62" s="15" t="s">
        <v>150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111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151</v>
      </c>
      <c r="C65" s="21"/>
      <c r="D65" s="21"/>
      <c r="E65" s="711"/>
      <c r="F65" s="712"/>
    </row>
    <row r="66" customHeight="1" spans="1:6">
      <c r="A66" s="10">
        <v>1</v>
      </c>
      <c r="B66" s="11" t="s">
        <v>546</v>
      </c>
      <c r="C66" s="17" t="s">
        <v>547</v>
      </c>
      <c r="D66" s="10" t="s">
        <v>115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548</v>
      </c>
      <c r="C67" s="17" t="s">
        <v>549</v>
      </c>
      <c r="D67" s="15" t="s">
        <v>38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155</v>
      </c>
      <c r="C68" s="4" t="s">
        <v>156</v>
      </c>
      <c r="D68" s="10" t="s">
        <v>199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550</v>
      </c>
      <c r="C69" s="17" t="s">
        <v>158</v>
      </c>
      <c r="D69" s="15" t="s">
        <v>460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161</v>
      </c>
      <c r="C70" s="4" t="s">
        <v>139</v>
      </c>
      <c r="D70" s="10" t="s">
        <v>68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163</v>
      </c>
      <c r="C71" s="17" t="s">
        <v>70</v>
      </c>
      <c r="D71" s="10" t="s">
        <v>68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164</v>
      </c>
      <c r="C72" s="17" t="s">
        <v>70</v>
      </c>
      <c r="D72" s="10" t="s">
        <v>68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165</v>
      </c>
      <c r="C73" s="4" t="s">
        <v>166</v>
      </c>
      <c r="D73" s="10" t="s">
        <v>162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168</v>
      </c>
      <c r="C74" s="4" t="s">
        <v>139</v>
      </c>
      <c r="D74" s="10" t="s">
        <v>76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111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169</v>
      </c>
      <c r="C77" s="21"/>
      <c r="D77" s="21"/>
      <c r="E77" s="711"/>
      <c r="F77" s="712"/>
    </row>
    <row r="78" customHeight="1" spans="1:6">
      <c r="A78" s="10">
        <v>1</v>
      </c>
      <c r="B78" s="11" t="s">
        <v>170</v>
      </c>
      <c r="C78" s="4" t="s">
        <v>171</v>
      </c>
      <c r="D78" s="10" t="s">
        <v>115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174</v>
      </c>
      <c r="C79" s="4" t="s">
        <v>175</v>
      </c>
      <c r="D79" s="10" t="s">
        <v>49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176</v>
      </c>
      <c r="C80" s="4" t="s">
        <v>177</v>
      </c>
      <c r="D80" s="15" t="s">
        <v>46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183</v>
      </c>
      <c r="C81" s="4" t="s">
        <v>184</v>
      </c>
      <c r="D81" s="10" t="s">
        <v>137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185</v>
      </c>
      <c r="C82" s="4" t="s">
        <v>186</v>
      </c>
      <c r="D82" s="10" t="s">
        <v>87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187</v>
      </c>
      <c r="C83" s="4" t="s">
        <v>188</v>
      </c>
      <c r="D83" s="10" t="s">
        <v>105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111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189</v>
      </c>
      <c r="C86" s="25"/>
      <c r="D86" s="21"/>
      <c r="E86" s="711"/>
      <c r="F86" s="712"/>
    </row>
    <row r="87" customHeight="1" spans="1:6">
      <c r="A87" s="10">
        <v>1</v>
      </c>
      <c r="B87" s="11" t="s">
        <v>192</v>
      </c>
      <c r="C87" s="4" t="s">
        <v>130</v>
      </c>
      <c r="D87" s="10" t="s">
        <v>131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190</v>
      </c>
      <c r="C88" s="4" t="s">
        <v>130</v>
      </c>
      <c r="D88" s="10" t="s">
        <v>131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195</v>
      </c>
      <c r="C89" s="4" t="s">
        <v>130</v>
      </c>
      <c r="D89" s="10" t="s">
        <v>49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196</v>
      </c>
      <c r="C90" s="4" t="s">
        <v>156</v>
      </c>
      <c r="D90" s="15" t="s">
        <v>199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197</v>
      </c>
      <c r="C91" s="4" t="s">
        <v>156</v>
      </c>
      <c r="D91" s="15" t="s">
        <v>199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198</v>
      </c>
      <c r="C92" s="12" t="s">
        <v>156</v>
      </c>
      <c r="D92" s="15" t="s">
        <v>230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200</v>
      </c>
      <c r="C93" s="17" t="s">
        <v>70</v>
      </c>
      <c r="D93" s="15" t="s">
        <v>68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201</v>
      </c>
      <c r="C94" s="17" t="s">
        <v>158</v>
      </c>
      <c r="D94" s="15" t="s">
        <v>159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204</v>
      </c>
      <c r="C95" s="4" t="s">
        <v>205</v>
      </c>
      <c r="D95" s="10" t="s">
        <v>76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206</v>
      </c>
      <c r="C96" s="17" t="s">
        <v>207</v>
      </c>
      <c r="D96" s="15" t="s">
        <v>102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111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209</v>
      </c>
      <c r="C99" s="21"/>
      <c r="D99" s="21"/>
      <c r="E99" s="711"/>
      <c r="F99" s="712"/>
    </row>
    <row r="100" customHeight="1" spans="1:6">
      <c r="A100" s="10">
        <v>1</v>
      </c>
      <c r="B100" s="14" t="s">
        <v>210</v>
      </c>
      <c r="C100" s="4" t="s">
        <v>211</v>
      </c>
      <c r="D100" s="16" t="s">
        <v>128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213</v>
      </c>
      <c r="C101" s="4" t="s">
        <v>214</v>
      </c>
      <c r="D101" s="15" t="s">
        <v>46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219</v>
      </c>
      <c r="C102" s="4" t="s">
        <v>220</v>
      </c>
      <c r="D102" s="15" t="s">
        <v>162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221</v>
      </c>
      <c r="C103" s="4" t="s">
        <v>222</v>
      </c>
      <c r="D103" s="15" t="s">
        <v>76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111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223</v>
      </c>
      <c r="C106" s="4"/>
      <c r="D106" s="4"/>
      <c r="E106" s="715"/>
      <c r="F106" s="716"/>
    </row>
    <row r="107" customHeight="1" spans="1:6">
      <c r="A107" s="4">
        <v>1</v>
      </c>
      <c r="B107" s="11" t="s">
        <v>224</v>
      </c>
      <c r="C107" s="12" t="s">
        <v>225</v>
      </c>
      <c r="D107" s="15" t="s">
        <v>115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226</v>
      </c>
      <c r="C108" s="4" t="s">
        <v>227</v>
      </c>
      <c r="D108" s="16" t="s">
        <v>154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228</v>
      </c>
      <c r="C109" s="4" t="s">
        <v>442</v>
      </c>
      <c r="D109" s="10" t="s">
        <v>52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231</v>
      </c>
      <c r="C110" s="4" t="s">
        <v>442</v>
      </c>
      <c r="D110" s="10" t="s">
        <v>52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232</v>
      </c>
      <c r="C111" s="4" t="s">
        <v>233</v>
      </c>
      <c r="D111" s="15" t="s">
        <v>557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235</v>
      </c>
      <c r="C112" s="4" t="s">
        <v>233</v>
      </c>
      <c r="D112" s="10" t="s">
        <v>558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236</v>
      </c>
      <c r="C113" s="4" t="s">
        <v>233</v>
      </c>
      <c r="D113" s="15" t="s">
        <v>102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111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237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152</v>
      </c>
      <c r="C117" s="4" t="s">
        <v>130</v>
      </c>
      <c r="D117" s="10" t="s">
        <v>38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238</v>
      </c>
      <c r="C118" s="4" t="s">
        <v>239</v>
      </c>
      <c r="D118" s="15" t="s">
        <v>162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179</v>
      </c>
      <c r="C119" s="12" t="s">
        <v>180</v>
      </c>
      <c r="D119" s="15" t="s">
        <v>159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111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245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638</v>
      </c>
      <c r="C123" s="4" t="s">
        <v>639</v>
      </c>
      <c r="D123" s="10" t="s">
        <v>108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248</v>
      </c>
      <c r="C124" s="4" t="s">
        <v>249</v>
      </c>
      <c r="D124" s="10" t="s">
        <v>108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250</v>
      </c>
      <c r="C125" s="4" t="s">
        <v>251</v>
      </c>
      <c r="D125" s="10" t="s">
        <v>108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111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252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253</v>
      </c>
      <c r="C129" s="12" t="s">
        <v>254</v>
      </c>
      <c r="D129" s="15" t="s">
        <v>115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255</v>
      </c>
      <c r="C130" s="12" t="s">
        <v>256</v>
      </c>
      <c r="D130" s="15" t="s">
        <v>35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257</v>
      </c>
      <c r="C131" s="12" t="s">
        <v>258</v>
      </c>
      <c r="D131" s="15" t="s">
        <v>131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259</v>
      </c>
      <c r="C132" s="12" t="s">
        <v>260</v>
      </c>
      <c r="D132" s="15" t="s">
        <v>178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261</v>
      </c>
      <c r="C133" s="12" t="s">
        <v>495</v>
      </c>
      <c r="D133" s="15" t="s">
        <v>199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262</v>
      </c>
      <c r="C134" s="12" t="s">
        <v>260</v>
      </c>
      <c r="D134" s="15" t="s">
        <v>46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265</v>
      </c>
      <c r="C135" s="12" t="s">
        <v>266</v>
      </c>
      <c r="D135" s="10" t="s">
        <v>84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267</v>
      </c>
      <c r="C136" s="12" t="s">
        <v>268</v>
      </c>
      <c r="D136" s="15" t="s">
        <v>105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269</v>
      </c>
      <c r="C137" s="12" t="s">
        <v>264</v>
      </c>
      <c r="D137" s="15" t="s">
        <v>105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270</v>
      </c>
      <c r="C138" s="12" t="s">
        <v>268</v>
      </c>
      <c r="D138" s="15" t="s">
        <v>108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111</v>
      </c>
      <c r="C139" s="26" t="s">
        <v>496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272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561</v>
      </c>
      <c r="C142" s="12" t="s">
        <v>562</v>
      </c>
      <c r="D142" s="15" t="s">
        <v>115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276</v>
      </c>
      <c r="C143" s="4" t="s">
        <v>277</v>
      </c>
      <c r="D143" s="16" t="s">
        <v>154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278</v>
      </c>
      <c r="C144" s="12" t="s">
        <v>279</v>
      </c>
      <c r="D144" s="15" t="s">
        <v>49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280</v>
      </c>
      <c r="C145" s="4" t="s">
        <v>281</v>
      </c>
      <c r="D145" s="15" t="s">
        <v>49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282</v>
      </c>
      <c r="C146" s="4" t="s">
        <v>281</v>
      </c>
      <c r="D146" s="15" t="s">
        <v>49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215</v>
      </c>
      <c r="C147" s="12" t="s">
        <v>216</v>
      </c>
      <c r="D147" s="15" t="s">
        <v>159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283</v>
      </c>
      <c r="C148" s="12" t="s">
        <v>216</v>
      </c>
      <c r="D148" s="15" t="s">
        <v>159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284</v>
      </c>
      <c r="C149" s="4" t="s">
        <v>497</v>
      </c>
      <c r="D149" s="15" t="s">
        <v>159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286</v>
      </c>
      <c r="C150" s="12" t="s">
        <v>287</v>
      </c>
      <c r="D150" s="15" t="s">
        <v>162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288</v>
      </c>
      <c r="C151" s="12" t="s">
        <v>289</v>
      </c>
      <c r="D151" s="15" t="s">
        <v>68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60</v>
      </c>
      <c r="C152" s="12" t="s">
        <v>569</v>
      </c>
      <c r="D152" s="15" t="s">
        <v>65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290</v>
      </c>
      <c r="C153" s="4" t="s">
        <v>291</v>
      </c>
      <c r="D153" s="15" t="s">
        <v>137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292</v>
      </c>
      <c r="C154" s="4" t="s">
        <v>291</v>
      </c>
      <c r="D154" s="15" t="s">
        <v>137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293</v>
      </c>
      <c r="C155" s="4" t="s">
        <v>291</v>
      </c>
      <c r="D155" s="15" t="s">
        <v>137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295</v>
      </c>
      <c r="C156" s="4" t="s">
        <v>291</v>
      </c>
      <c r="D156" s="15" t="s">
        <v>137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296</v>
      </c>
      <c r="C157" s="12" t="s">
        <v>297</v>
      </c>
      <c r="D157" s="15" t="s">
        <v>76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298</v>
      </c>
      <c r="C158" s="12" t="s">
        <v>299</v>
      </c>
      <c r="D158" s="10" t="s">
        <v>87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300</v>
      </c>
      <c r="C159" s="12" t="s">
        <v>301</v>
      </c>
      <c r="D159" s="15" t="s">
        <v>119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303</v>
      </c>
      <c r="C160" s="12" t="s">
        <v>304</v>
      </c>
      <c r="D160" s="15" t="s">
        <v>84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305</v>
      </c>
      <c r="C161" s="12" t="s">
        <v>306</v>
      </c>
      <c r="D161" s="15" t="s">
        <v>119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307</v>
      </c>
      <c r="C162" s="12" t="s">
        <v>308</v>
      </c>
      <c r="D162" s="15" t="s">
        <v>84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309</v>
      </c>
      <c r="C163" s="12" t="s">
        <v>310</v>
      </c>
      <c r="D163" s="15" t="s">
        <v>96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311</v>
      </c>
      <c r="C164" s="12" t="s">
        <v>310</v>
      </c>
      <c r="D164" s="15" t="s">
        <v>96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314</v>
      </c>
      <c r="C165" s="12" t="s">
        <v>315</v>
      </c>
      <c r="D165" s="15" t="s">
        <v>105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316</v>
      </c>
      <c r="C166" s="12" t="s">
        <v>317</v>
      </c>
      <c r="D166" s="15" t="s">
        <v>105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318</v>
      </c>
      <c r="C167" s="12" t="s">
        <v>319</v>
      </c>
      <c r="D167" s="15" t="s">
        <v>105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320</v>
      </c>
      <c r="C168" s="12" t="s">
        <v>321</v>
      </c>
      <c r="D168" s="15" t="s">
        <v>102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322</v>
      </c>
      <c r="C169" s="12" t="s">
        <v>317</v>
      </c>
      <c r="D169" s="15" t="s">
        <v>105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323</v>
      </c>
      <c r="C170" s="12" t="s">
        <v>324</v>
      </c>
      <c r="D170" s="15" t="s">
        <v>108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325</v>
      </c>
      <c r="C171" s="12" t="s">
        <v>324</v>
      </c>
      <c r="D171" s="15" t="s">
        <v>108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331</v>
      </c>
      <c r="C172" s="12" t="s">
        <v>332</v>
      </c>
      <c r="D172" s="15" t="s">
        <v>339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334</v>
      </c>
      <c r="C173" s="12" t="s">
        <v>332</v>
      </c>
      <c r="D173" s="15" t="s">
        <v>339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335</v>
      </c>
      <c r="C174" s="12" t="s">
        <v>332</v>
      </c>
      <c r="D174" s="15" t="s">
        <v>339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336</v>
      </c>
      <c r="C175" s="12" t="s">
        <v>332</v>
      </c>
      <c r="D175" s="15" t="s">
        <v>339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337</v>
      </c>
      <c r="C176" s="12" t="s">
        <v>332</v>
      </c>
      <c r="D176" s="15" t="s">
        <v>339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338</v>
      </c>
      <c r="C177" s="12" t="s">
        <v>332</v>
      </c>
      <c r="D177" s="15" t="s">
        <v>350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340</v>
      </c>
      <c r="C178" s="12" t="s">
        <v>332</v>
      </c>
      <c r="D178" s="15" t="s">
        <v>350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341</v>
      </c>
      <c r="C179" s="12" t="s">
        <v>332</v>
      </c>
      <c r="D179" s="15" t="s">
        <v>350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342</v>
      </c>
      <c r="C180" s="12" t="s">
        <v>332</v>
      </c>
      <c r="D180" s="15" t="s">
        <v>350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343</v>
      </c>
      <c r="C181" s="12" t="s">
        <v>332</v>
      </c>
      <c r="D181" s="15" t="s">
        <v>350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344</v>
      </c>
      <c r="C182" s="12" t="s">
        <v>332</v>
      </c>
      <c r="D182" s="15" t="s">
        <v>350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345</v>
      </c>
      <c r="C183" s="12" t="s">
        <v>346</v>
      </c>
      <c r="D183" s="15" t="s">
        <v>353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348</v>
      </c>
      <c r="C184" s="12" t="s">
        <v>346</v>
      </c>
      <c r="D184" s="15" t="s">
        <v>353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349</v>
      </c>
      <c r="C185" s="12" t="s">
        <v>346</v>
      </c>
      <c r="D185" s="15" t="s">
        <v>347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351</v>
      </c>
      <c r="C186" s="12" t="s">
        <v>346</v>
      </c>
      <c r="D186" s="15" t="s">
        <v>353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354</v>
      </c>
      <c r="C187" s="12" t="s">
        <v>355</v>
      </c>
      <c r="D187" s="15" t="s">
        <v>366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357</v>
      </c>
      <c r="C188" s="12" t="s">
        <v>355</v>
      </c>
      <c r="D188" s="15" t="s">
        <v>366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358</v>
      </c>
      <c r="C189" s="12" t="s">
        <v>355</v>
      </c>
      <c r="D189" s="15" t="s">
        <v>366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359</v>
      </c>
      <c r="C190" s="12" t="s">
        <v>355</v>
      </c>
      <c r="D190" s="15" t="s">
        <v>366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360</v>
      </c>
      <c r="C191" s="12" t="s">
        <v>355</v>
      </c>
      <c r="D191" s="15" t="s">
        <v>366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361</v>
      </c>
      <c r="C192" s="12" t="s">
        <v>355</v>
      </c>
      <c r="D192" s="15" t="s">
        <v>366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362</v>
      </c>
      <c r="C193" s="12" t="s">
        <v>355</v>
      </c>
      <c r="D193" s="15" t="s">
        <v>366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499</v>
      </c>
      <c r="C194" s="12" t="s">
        <v>352</v>
      </c>
      <c r="D194" s="15" t="s">
        <v>366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363</v>
      </c>
      <c r="C195" s="12" t="s">
        <v>352</v>
      </c>
      <c r="D195" s="15" t="s">
        <v>366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364</v>
      </c>
      <c r="C196" s="12" t="s">
        <v>365</v>
      </c>
      <c r="D196" s="15" t="s">
        <v>378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367</v>
      </c>
      <c r="C197" s="12" t="s">
        <v>365</v>
      </c>
      <c r="D197" s="15" t="s">
        <v>370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369</v>
      </c>
      <c r="C198" s="12" t="s">
        <v>346</v>
      </c>
      <c r="D198" s="15" t="s">
        <v>353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371</v>
      </c>
      <c r="C199" s="12" t="s">
        <v>372</v>
      </c>
      <c r="D199" s="15" t="s">
        <v>572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374</v>
      </c>
      <c r="C200" s="12" t="s">
        <v>372</v>
      </c>
      <c r="D200" s="15" t="s">
        <v>572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375</v>
      </c>
      <c r="C201" s="12" t="s">
        <v>372</v>
      </c>
      <c r="D201" s="15" t="s">
        <v>572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376</v>
      </c>
      <c r="C202" s="12" t="s">
        <v>377</v>
      </c>
      <c r="D202" s="15" t="s">
        <v>368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379</v>
      </c>
      <c r="C203" s="12" t="s">
        <v>377</v>
      </c>
      <c r="D203" s="15" t="s">
        <v>368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111</v>
      </c>
      <c r="C204" s="28" t="s">
        <v>727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381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731</v>
      </c>
      <c r="B1" s="41"/>
      <c r="C1" s="41"/>
    </row>
    <row r="2" ht="30" customHeight="1" spans="1:4">
      <c r="A2" s="46">
        <v>1</v>
      </c>
      <c r="B2" s="46" t="s">
        <v>644</v>
      </c>
      <c r="C2" s="150">
        <f>'Staff Bonus'!F205</f>
        <v>40610914.2293428</v>
      </c>
      <c r="D2" s="46"/>
    </row>
    <row r="3" ht="30" customHeight="1" spans="1:4">
      <c r="A3" s="46">
        <v>2</v>
      </c>
      <c r="B3" s="46" t="s">
        <v>645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646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647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648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732</v>
      </c>
      <c r="C7" s="697">
        <f>'[5]CONSULTANCY BONUS'!$E$28</f>
        <v>2750000</v>
      </c>
      <c r="D7" s="46"/>
    </row>
    <row r="8" ht="30" customHeight="1" spans="1:4">
      <c r="A8" s="46"/>
      <c r="B8" s="258" t="s">
        <v>651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33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36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39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42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44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47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50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53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56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59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66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69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71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74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77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80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89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91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92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100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103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113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116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118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121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541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543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151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546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548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155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550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551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161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163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164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165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168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169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170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552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172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176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183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185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187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111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189</v>
      </c>
      <c r="C84" s="467"/>
      <c r="AB84" s="296" t="s">
        <v>652</v>
      </c>
      <c r="AC84" s="479"/>
      <c r="AD84" s="479"/>
      <c r="AE84" s="479"/>
    </row>
    <row r="85" ht="18" spans="1:31">
      <c r="A85" s="464">
        <v>68</v>
      </c>
      <c r="B85" s="11" t="s">
        <v>192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192</v>
      </c>
      <c r="AD85" s="479"/>
      <c r="AE85" s="479"/>
    </row>
    <row r="86" ht="18" spans="1:31">
      <c r="A86" s="464">
        <v>69</v>
      </c>
      <c r="B86" s="11" t="s">
        <v>190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190</v>
      </c>
      <c r="AD86" s="479"/>
      <c r="AE86" s="479"/>
    </row>
    <row r="87" ht="36" spans="1:31">
      <c r="A87" s="464">
        <v>70</v>
      </c>
      <c r="B87" s="11" t="s">
        <v>195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195</v>
      </c>
      <c r="AD87" s="479"/>
      <c r="AE87" s="479"/>
    </row>
    <row r="88" ht="18" spans="1:31">
      <c r="A88" s="464">
        <v>71</v>
      </c>
      <c r="B88" s="11" t="s">
        <v>196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196</v>
      </c>
      <c r="AD88" s="479"/>
      <c r="AE88" s="479"/>
    </row>
    <row r="89" ht="18" spans="1:31">
      <c r="A89" s="464">
        <v>72</v>
      </c>
      <c r="B89" s="11" t="s">
        <v>197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197</v>
      </c>
      <c r="AD89" s="479"/>
      <c r="AE89" s="479"/>
    </row>
    <row r="90" ht="36" spans="1:31">
      <c r="A90" s="464">
        <v>73</v>
      </c>
      <c r="B90" s="11" t="s">
        <v>198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198</v>
      </c>
      <c r="AD90" s="479"/>
      <c r="AE90" s="479"/>
    </row>
    <row r="91" ht="18" spans="1:31">
      <c r="A91" s="464">
        <v>74</v>
      </c>
      <c r="B91" s="11" t="s">
        <v>200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200</v>
      </c>
      <c r="AD91" s="479"/>
      <c r="AE91" s="479"/>
    </row>
    <row r="92" ht="24" customHeight="1" spans="1:31">
      <c r="A92" s="464">
        <v>75</v>
      </c>
      <c r="B92" s="11" t="s">
        <v>201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201</v>
      </c>
      <c r="AD92" s="479"/>
      <c r="AE92" s="479"/>
    </row>
    <row r="93" ht="18" spans="1:31">
      <c r="A93" s="464">
        <v>76</v>
      </c>
      <c r="B93" s="11" t="s">
        <v>204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204</v>
      </c>
      <c r="AD93" s="479"/>
      <c r="AE93" s="479"/>
    </row>
    <row r="94" ht="18" spans="1:31">
      <c r="A94" s="464"/>
      <c r="B94" s="11" t="s">
        <v>206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206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209</v>
      </c>
      <c r="C97" s="467"/>
      <c r="AC97" s="479"/>
      <c r="AD97" s="479"/>
      <c r="AE97" s="479"/>
    </row>
    <row r="98" ht="18" spans="1:31">
      <c r="A98" s="464">
        <v>79</v>
      </c>
      <c r="B98" s="14" t="s">
        <v>210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210</v>
      </c>
      <c r="AD98" s="479"/>
      <c r="AE98" s="479"/>
    </row>
    <row r="99" ht="18" spans="1:31">
      <c r="A99" s="464">
        <v>80</v>
      </c>
      <c r="B99" s="11" t="s">
        <v>213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213</v>
      </c>
      <c r="AD99" s="479"/>
      <c r="AE99" s="479"/>
    </row>
    <row r="100" ht="18" spans="1:31">
      <c r="A100" s="464">
        <v>81</v>
      </c>
      <c r="B100" s="11" t="s">
        <v>219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219</v>
      </c>
      <c r="AD100" s="479"/>
      <c r="AE100" s="479"/>
    </row>
    <row r="101" ht="18" spans="1:31">
      <c r="A101" s="464"/>
      <c r="B101" s="11" t="s">
        <v>221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221</v>
      </c>
      <c r="AD101" s="479"/>
      <c r="AE101" s="479"/>
    </row>
    <row r="102" ht="17.5" spans="1:31">
      <c r="A102" s="464"/>
      <c r="B102" s="20" t="s">
        <v>111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223</v>
      </c>
      <c r="C104" s="467"/>
      <c r="G104" s="296">
        <v>0</v>
      </c>
      <c r="AB104" s="296" t="s">
        <v>444</v>
      </c>
      <c r="AC104" s="479"/>
      <c r="AD104" s="479"/>
      <c r="AE104" s="479"/>
    </row>
    <row r="105" ht="18" spans="1:31">
      <c r="A105" s="464">
        <v>85</v>
      </c>
      <c r="B105" s="11" t="s">
        <v>224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224</v>
      </c>
      <c r="AD105" s="479"/>
      <c r="AE105" s="479"/>
    </row>
    <row r="106" ht="18" spans="1:31">
      <c r="A106" s="464">
        <v>86</v>
      </c>
      <c r="B106" s="11" t="s">
        <v>226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226</v>
      </c>
      <c r="AD106" s="479"/>
      <c r="AE106" s="479"/>
    </row>
    <row r="107" ht="18" spans="1:31">
      <c r="A107" s="464">
        <v>87</v>
      </c>
      <c r="B107" s="11" t="s">
        <v>228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228</v>
      </c>
      <c r="AD107" s="479"/>
      <c r="AE107" s="479"/>
    </row>
    <row r="108" ht="18" spans="1:31">
      <c r="A108" s="464">
        <v>88</v>
      </c>
      <c r="B108" s="11" t="s">
        <v>231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231</v>
      </c>
      <c r="AD108" s="479"/>
      <c r="AE108" s="479"/>
    </row>
    <row r="109" ht="18" spans="1:31">
      <c r="A109" s="464">
        <v>89</v>
      </c>
      <c r="B109" s="11" t="s">
        <v>232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232</v>
      </c>
      <c r="AD109" s="479"/>
      <c r="AE109" s="479"/>
    </row>
    <row r="110" ht="36" spans="1:31">
      <c r="A110" s="464"/>
      <c r="B110" s="18" t="s">
        <v>235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235</v>
      </c>
      <c r="AD110" s="479"/>
      <c r="AE110" s="479"/>
    </row>
    <row r="111" ht="18" spans="1:31">
      <c r="A111" s="464"/>
      <c r="B111" s="18" t="s">
        <v>236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236</v>
      </c>
      <c r="AD111" s="479"/>
      <c r="AE111" s="479"/>
    </row>
    <row r="112" ht="17.5" spans="1:31">
      <c r="A112" s="464"/>
      <c r="B112" s="20" t="s">
        <v>111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237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152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238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179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252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253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255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257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560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259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261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262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265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267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269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111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272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561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563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276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278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280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282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215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283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284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286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288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60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290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292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293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295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296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298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300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303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305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307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309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314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316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318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320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322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331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334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335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336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337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338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340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341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342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343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344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345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348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349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351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354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357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358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359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360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361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362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499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363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364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369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371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374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375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376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379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653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654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733</v>
      </c>
      <c r="J4" s="684" t="s">
        <v>16</v>
      </c>
      <c r="K4" s="695" t="s">
        <v>17</v>
      </c>
      <c r="L4" s="696" t="s">
        <v>734</v>
      </c>
    </row>
    <row r="5" s="1" customFormat="1" ht="37.5" customHeight="1" spans="1:13">
      <c r="A5" s="1">
        <v>1</v>
      </c>
      <c r="B5" s="351" t="s">
        <v>367</v>
      </c>
      <c r="C5" s="83" t="s">
        <v>365</v>
      </c>
      <c r="D5" s="15" t="s">
        <v>370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735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91</v>
      </c>
      <c r="C7" s="83" t="s">
        <v>78</v>
      </c>
      <c r="D7" s="15" t="s">
        <v>736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'AUGUST 2025'!Q34</f>
        <v>27096.9333333334</v>
      </c>
      <c r="K7" s="510">
        <f>I7+J7</f>
        <v>63887.6214333334</v>
      </c>
      <c r="L7" s="509">
        <f t="shared" si="1"/>
        <v>251961.378566667</v>
      </c>
    </row>
    <row r="8" ht="28.5" customHeight="1" spans="1:12">
      <c r="A8" s="1"/>
      <c r="B8" s="22" t="s">
        <v>111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291783.961147312</v>
      </c>
    </row>
  </sheetData>
  <pageMargins left="0.7" right="0.7" top="0.75" bottom="0.75" header="0.3" footer="0.3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737</v>
      </c>
      <c r="B1" s="688"/>
      <c r="C1" s="688"/>
      <c r="D1" s="688"/>
      <c r="E1" s="688"/>
      <c r="F1" s="688"/>
    </row>
    <row r="2" ht="48.95" customHeight="1" spans="1:6">
      <c r="A2" s="68" t="s">
        <v>21</v>
      </c>
      <c r="B2" s="42" t="s">
        <v>507</v>
      </c>
      <c r="C2" s="689" t="s">
        <v>4</v>
      </c>
      <c r="D2" s="259" t="s">
        <v>738</v>
      </c>
      <c r="E2" s="259" t="s">
        <v>739</v>
      </c>
      <c r="F2" s="259" t="s">
        <v>740</v>
      </c>
    </row>
    <row r="3" ht="30" customHeight="1" spans="1:6">
      <c r="A3" s="49">
        <v>1</v>
      </c>
      <c r="B3" s="43" t="s">
        <v>741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742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743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744</v>
      </c>
      <c r="C6" s="986" t="s">
        <v>593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745</v>
      </c>
      <c r="C7" s="986" t="s">
        <v>595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746</v>
      </c>
      <c r="C8" s="986" t="s">
        <v>595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747</v>
      </c>
      <c r="C9" s="986" t="s">
        <v>595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748</v>
      </c>
      <c r="C10" s="986" t="s">
        <v>595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111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21</v>
      </c>
      <c r="B14" s="42" t="s">
        <v>507</v>
      </c>
      <c r="C14" s="689" t="s">
        <v>4</v>
      </c>
      <c r="D14" s="259" t="s">
        <v>738</v>
      </c>
      <c r="E14" s="259" t="s">
        <v>739</v>
      </c>
      <c r="F14" s="259" t="s">
        <v>740</v>
      </c>
    </row>
    <row r="15" ht="36" spans="2:6">
      <c r="B15" s="198" t="s">
        <v>749</v>
      </c>
      <c r="C15" s="986" t="s">
        <v>593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750</v>
      </c>
      <c r="C16" s="986" t="s">
        <v>599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111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751</v>
      </c>
      <c r="F1" s="671" t="s">
        <v>752</v>
      </c>
      <c r="G1" s="671" t="s">
        <v>712</v>
      </c>
      <c r="H1" s="671" t="s">
        <v>9</v>
      </c>
      <c r="I1" s="682" t="s">
        <v>402</v>
      </c>
      <c r="J1" s="682"/>
      <c r="K1" s="682"/>
      <c r="L1" s="682"/>
      <c r="M1" s="682"/>
      <c r="N1" s="683" t="s">
        <v>753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754</v>
      </c>
      <c r="J2" s="684" t="s">
        <v>755</v>
      </c>
      <c r="K2" s="684" t="s">
        <v>756</v>
      </c>
      <c r="L2" s="684" t="s">
        <v>757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758</v>
      </c>
      <c r="C5" s="43" t="s">
        <v>759</v>
      </c>
      <c r="D5" s="49" t="s">
        <v>108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760</v>
      </c>
      <c r="C6" s="43" t="s">
        <v>761</v>
      </c>
      <c r="D6" s="49" t="s">
        <v>108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762</v>
      </c>
      <c r="C7" s="43" t="s">
        <v>763</v>
      </c>
      <c r="D7" s="49" t="s">
        <v>108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764</v>
      </c>
      <c r="C8" s="11" t="s">
        <v>765</v>
      </c>
      <c r="D8" s="10" t="s">
        <v>49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111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751</v>
      </c>
      <c r="F1" s="671" t="s">
        <v>752</v>
      </c>
      <c r="G1" s="671" t="s">
        <v>712</v>
      </c>
      <c r="H1" s="671" t="s">
        <v>9</v>
      </c>
      <c r="I1" s="682" t="s">
        <v>402</v>
      </c>
      <c r="J1" s="682"/>
      <c r="K1" s="682"/>
      <c r="L1" s="682"/>
      <c r="M1" s="682"/>
      <c r="N1" s="683" t="s">
        <v>753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754</v>
      </c>
      <c r="J2" s="684" t="s">
        <v>755</v>
      </c>
      <c r="K2" s="684" t="s">
        <v>756</v>
      </c>
      <c r="L2" s="684" t="s">
        <v>757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758</v>
      </c>
      <c r="C5" s="43" t="s">
        <v>759</v>
      </c>
      <c r="D5" s="49" t="s">
        <v>108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760</v>
      </c>
      <c r="C6" s="43" t="s">
        <v>761</v>
      </c>
      <c r="D6" s="49" t="s">
        <v>108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762</v>
      </c>
      <c r="C7" s="43" t="s">
        <v>763</v>
      </c>
      <c r="D7" s="49" t="s">
        <v>108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766</v>
      </c>
      <c r="C8" s="43" t="s">
        <v>767</v>
      </c>
      <c r="D8" s="49" t="s">
        <v>108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764</v>
      </c>
      <c r="C9" s="11" t="s">
        <v>765</v>
      </c>
      <c r="D9" s="10" t="s">
        <v>49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111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76" t="s">
        <v>527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768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742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769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770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771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772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747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748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654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773</v>
      </c>
      <c r="D16" s="296">
        <v>12</v>
      </c>
      <c r="E16" s="479" t="s">
        <v>774</v>
      </c>
      <c r="F16" s="498"/>
    </row>
    <row r="17" ht="18" spans="1:26">
      <c r="A17" s="620"/>
      <c r="B17" s="11" t="s">
        <v>768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742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769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770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771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772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747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748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449</v>
      </c>
      <c r="M3" s="638" t="s">
        <v>12</v>
      </c>
      <c r="N3" s="638" t="s">
        <v>14</v>
      </c>
      <c r="O3" s="646" t="s">
        <v>15</v>
      </c>
      <c r="P3" s="638" t="s">
        <v>16</v>
      </c>
      <c r="Q3" s="650" t="s">
        <v>17</v>
      </c>
      <c r="R3" s="319" t="s">
        <v>775</v>
      </c>
      <c r="S3" s="651" t="s">
        <v>776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39" t="s">
        <v>552</v>
      </c>
      <c r="C5" s="86" t="s">
        <v>553</v>
      </c>
      <c r="D5" s="640" t="s">
        <v>554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172</v>
      </c>
      <c r="C6" s="83" t="s">
        <v>555</v>
      </c>
      <c r="D6" s="95" t="s">
        <v>150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560</v>
      </c>
      <c r="C7" s="83" t="s">
        <v>258</v>
      </c>
      <c r="D7" s="640" t="s">
        <v>49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563</v>
      </c>
      <c r="C8" s="83" t="s">
        <v>564</v>
      </c>
      <c r="D8" s="640" t="s">
        <v>154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449</v>
      </c>
      <c r="M3" s="218" t="s">
        <v>12</v>
      </c>
      <c r="N3" s="218" t="s">
        <v>14</v>
      </c>
      <c r="O3" s="24" t="s">
        <v>15</v>
      </c>
      <c r="P3" s="218" t="s">
        <v>16</v>
      </c>
      <c r="Q3" s="506" t="s">
        <v>17</v>
      </c>
      <c r="R3" s="80" t="s">
        <v>775</v>
      </c>
      <c r="S3" s="635" t="s">
        <v>776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536</v>
      </c>
      <c r="C5" s="17" t="s">
        <v>537</v>
      </c>
      <c r="D5" s="10" t="s">
        <v>28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777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642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628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628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628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628">
        <v>180000</v>
      </c>
      <c r="F10" s="13"/>
    </row>
    <row r="11" customHeight="1" spans="1:6">
      <c r="A11" s="10">
        <v>5</v>
      </c>
      <c r="B11" s="14" t="s">
        <v>273</v>
      </c>
      <c r="C11" s="4" t="s">
        <v>535</v>
      </c>
      <c r="D11" s="10" t="s">
        <v>28</v>
      </c>
      <c r="E11" s="628">
        <v>180000</v>
      </c>
      <c r="F11" s="13"/>
    </row>
    <row r="12" customHeight="1" spans="1:6">
      <c r="A12" s="10">
        <v>6</v>
      </c>
      <c r="B12" s="18" t="s">
        <v>536</v>
      </c>
      <c r="C12" s="17" t="s">
        <v>537</v>
      </c>
      <c r="D12" s="10" t="s">
        <v>28</v>
      </c>
      <c r="E12" s="628">
        <v>180000</v>
      </c>
      <c r="F12" s="13"/>
    </row>
    <row r="13" customHeight="1" spans="1:6">
      <c r="A13" s="10">
        <v>7</v>
      </c>
      <c r="B13" s="11" t="s">
        <v>33</v>
      </c>
      <c r="C13" s="12" t="s">
        <v>538</v>
      </c>
      <c r="D13" s="15" t="s">
        <v>131</v>
      </c>
      <c r="E13" s="628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49</v>
      </c>
      <c r="E14" s="628">
        <v>126000</v>
      </c>
      <c r="F14" s="13"/>
    </row>
    <row r="15" customHeight="1" spans="1:6">
      <c r="A15" s="10">
        <v>9</v>
      </c>
      <c r="B15" s="11" t="s">
        <v>39</v>
      </c>
      <c r="C15" s="4" t="s">
        <v>40</v>
      </c>
      <c r="D15" s="15" t="s">
        <v>41</v>
      </c>
      <c r="E15" s="628">
        <v>90000</v>
      </c>
      <c r="F15" s="13"/>
    </row>
    <row r="16" customHeight="1" spans="1:6">
      <c r="A16" s="10">
        <v>10</v>
      </c>
      <c r="B16" s="14" t="s">
        <v>42</v>
      </c>
      <c r="C16" s="17" t="s">
        <v>156</v>
      </c>
      <c r="D16" s="15" t="s">
        <v>178</v>
      </c>
      <c r="E16" s="628">
        <v>90000</v>
      </c>
      <c r="F16" s="13"/>
    </row>
    <row r="17" customHeight="1" spans="1:6">
      <c r="A17" s="10">
        <v>11</v>
      </c>
      <c r="B17" s="11" t="s">
        <v>44</v>
      </c>
      <c r="C17" s="4" t="s">
        <v>45</v>
      </c>
      <c r="D17" s="10" t="s">
        <v>199</v>
      </c>
      <c r="E17" s="628">
        <v>90000</v>
      </c>
      <c r="F17" s="13"/>
    </row>
    <row r="18" customHeight="1" spans="1:5">
      <c r="A18" s="10">
        <v>12</v>
      </c>
      <c r="B18" s="11" t="s">
        <v>47</v>
      </c>
      <c r="C18" s="4" t="s">
        <v>539</v>
      </c>
      <c r="D18" s="10" t="s">
        <v>52</v>
      </c>
      <c r="E18" s="628">
        <v>90000</v>
      </c>
    </row>
    <row r="19" customHeight="1" spans="1:6">
      <c r="A19" s="10">
        <v>13</v>
      </c>
      <c r="B19" s="11" t="s">
        <v>50</v>
      </c>
      <c r="C19" s="12" t="s">
        <v>51</v>
      </c>
      <c r="D19" s="15" t="s">
        <v>460</v>
      </c>
      <c r="E19" s="628">
        <v>90000</v>
      </c>
      <c r="F19" s="13"/>
    </row>
    <row r="20" customHeight="1" spans="1:6">
      <c r="A20" s="10">
        <v>14</v>
      </c>
      <c r="B20" s="18" t="s">
        <v>53</v>
      </c>
      <c r="C20" s="4" t="s">
        <v>54</v>
      </c>
      <c r="D20" s="15" t="s">
        <v>540</v>
      </c>
      <c r="E20" s="628">
        <v>90000</v>
      </c>
      <c r="F20" s="13"/>
    </row>
    <row r="21" ht="18.75" customHeight="1" spans="1:6">
      <c r="A21" s="10">
        <v>15</v>
      </c>
      <c r="B21" s="11" t="s">
        <v>63</v>
      </c>
      <c r="C21" s="12" t="s">
        <v>64</v>
      </c>
      <c r="D21" s="15" t="s">
        <v>162</v>
      </c>
      <c r="E21" s="628">
        <v>68000</v>
      </c>
      <c r="F21" s="13"/>
    </row>
    <row r="22" customHeight="1" spans="1:6">
      <c r="A22" s="10">
        <v>16</v>
      </c>
      <c r="B22" s="14" t="s">
        <v>66</v>
      </c>
      <c r="C22" s="17" t="s">
        <v>67</v>
      </c>
      <c r="D22" s="10" t="s">
        <v>137</v>
      </c>
      <c r="E22" s="628">
        <v>68000</v>
      </c>
      <c r="F22" s="13"/>
    </row>
    <row r="23" ht="21.6" customHeight="1" spans="1:6">
      <c r="A23" s="10">
        <v>17</v>
      </c>
      <c r="B23" s="11" t="s">
        <v>69</v>
      </c>
      <c r="C23" s="17" t="s">
        <v>70</v>
      </c>
      <c r="D23" s="15" t="s">
        <v>137</v>
      </c>
      <c r="E23" s="628">
        <v>68000</v>
      </c>
      <c r="F23" s="13"/>
    </row>
    <row r="24" customHeight="1" spans="1:6">
      <c r="A24" s="10">
        <v>18</v>
      </c>
      <c r="B24" s="14" t="s">
        <v>71</v>
      </c>
      <c r="C24" s="17" t="s">
        <v>72</v>
      </c>
      <c r="D24" s="10" t="s">
        <v>73</v>
      </c>
      <c r="E24" s="628">
        <v>68000</v>
      </c>
      <c r="F24" s="13"/>
    </row>
    <row r="25" ht="18.75" customHeight="1" spans="1:6">
      <c r="A25" s="10">
        <v>19</v>
      </c>
      <c r="B25" s="4" t="s">
        <v>77</v>
      </c>
      <c r="C25" s="4" t="s">
        <v>78</v>
      </c>
      <c r="D25" s="10" t="s">
        <v>84</v>
      </c>
      <c r="E25" s="628">
        <v>54000</v>
      </c>
      <c r="F25" s="13"/>
    </row>
    <row r="26" ht="18.75" customHeight="1" spans="1:6">
      <c r="A26" s="10">
        <v>20</v>
      </c>
      <c r="B26" s="18" t="s">
        <v>80</v>
      </c>
      <c r="C26" s="12" t="s">
        <v>78</v>
      </c>
      <c r="D26" s="15" t="s">
        <v>84</v>
      </c>
      <c r="E26" s="628">
        <v>54000</v>
      </c>
      <c r="F26" s="13"/>
    </row>
    <row r="27" customHeight="1" spans="1:6">
      <c r="A27" s="10">
        <v>21</v>
      </c>
      <c r="B27" s="11" t="s">
        <v>81</v>
      </c>
      <c r="C27" s="17" t="s">
        <v>67</v>
      </c>
      <c r="D27" s="10" t="s">
        <v>84</v>
      </c>
      <c r="E27" s="628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83</v>
      </c>
      <c r="D28" s="15" t="s">
        <v>87</v>
      </c>
      <c r="E28" s="628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86</v>
      </c>
      <c r="D29" s="10" t="s">
        <v>96</v>
      </c>
      <c r="E29" s="628">
        <v>54000</v>
      </c>
      <c r="F29" s="13"/>
    </row>
    <row r="30" ht="18.75" customHeight="1" spans="1:6">
      <c r="A30" s="10">
        <v>24</v>
      </c>
      <c r="B30" s="18" t="s">
        <v>88</v>
      </c>
      <c r="C30" s="4" t="s">
        <v>86</v>
      </c>
      <c r="D30" s="10" t="s">
        <v>96</v>
      </c>
      <c r="E30" s="628">
        <v>54000</v>
      </c>
      <c r="F30" s="13"/>
    </row>
    <row r="31" ht="18.75" customHeight="1" spans="1:6">
      <c r="A31" s="10">
        <v>25</v>
      </c>
      <c r="B31" s="18" t="s">
        <v>89</v>
      </c>
      <c r="C31" s="17" t="s">
        <v>90</v>
      </c>
      <c r="D31" s="15" t="s">
        <v>84</v>
      </c>
      <c r="E31" s="628">
        <v>54000</v>
      </c>
      <c r="F31" s="13"/>
    </row>
    <row r="32" ht="18.75" customHeight="1" spans="1:6">
      <c r="A32" s="10">
        <v>26</v>
      </c>
      <c r="B32" s="18" t="s">
        <v>92</v>
      </c>
      <c r="C32" s="4" t="s">
        <v>93</v>
      </c>
      <c r="D32" s="10" t="s">
        <v>102</v>
      </c>
      <c r="E32" s="628">
        <v>54000</v>
      </c>
      <c r="F32" s="13"/>
    </row>
    <row r="33" ht="18.75" customHeight="1" spans="1:6">
      <c r="A33" s="10">
        <v>27</v>
      </c>
      <c r="B33" s="18" t="s">
        <v>100</v>
      </c>
      <c r="C33" s="12" t="s">
        <v>101</v>
      </c>
      <c r="D33" s="15" t="s">
        <v>105</v>
      </c>
      <c r="E33" s="628">
        <v>54000</v>
      </c>
      <c r="F33" s="13"/>
    </row>
    <row r="34" ht="21" customHeight="1" spans="1:6">
      <c r="A34" s="10"/>
      <c r="B34" s="20" t="s">
        <v>111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112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113</v>
      </c>
      <c r="C37" s="4" t="s">
        <v>114</v>
      </c>
      <c r="D37" s="10" t="s">
        <v>115</v>
      </c>
      <c r="E37" s="628">
        <v>270000</v>
      </c>
      <c r="F37" s="13"/>
    </row>
    <row r="38" ht="18.75" customHeight="1" spans="1:6">
      <c r="A38" s="10">
        <v>2</v>
      </c>
      <c r="B38" s="18" t="s">
        <v>116</v>
      </c>
      <c r="C38" s="4" t="s">
        <v>117</v>
      </c>
      <c r="D38" s="10" t="s">
        <v>73</v>
      </c>
      <c r="E38" s="628">
        <v>68000</v>
      </c>
      <c r="F38" s="13"/>
    </row>
    <row r="39" ht="18.75" customHeight="1" spans="1:6">
      <c r="A39" s="10">
        <v>3</v>
      </c>
      <c r="B39" s="11" t="s">
        <v>118</v>
      </c>
      <c r="C39" s="4" t="s">
        <v>117</v>
      </c>
      <c r="D39" s="15" t="s">
        <v>76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125</v>
      </c>
      <c r="C42" s="5"/>
      <c r="D42" s="24"/>
      <c r="E42" s="628"/>
      <c r="F42" s="13"/>
    </row>
    <row r="43" customHeight="1" spans="1:6">
      <c r="A43" s="10">
        <v>1</v>
      </c>
      <c r="B43" s="11" t="s">
        <v>541</v>
      </c>
      <c r="C43" s="4" t="s">
        <v>542</v>
      </c>
      <c r="D43" s="10" t="s">
        <v>115</v>
      </c>
      <c r="E43" s="628">
        <v>270000</v>
      </c>
      <c r="F43" s="13"/>
    </row>
    <row r="44" customHeight="1" spans="1:6">
      <c r="A44" s="10">
        <v>2</v>
      </c>
      <c r="B44" s="11" t="s">
        <v>543</v>
      </c>
      <c r="C44" s="4" t="s">
        <v>43</v>
      </c>
      <c r="D44" s="10" t="s">
        <v>131</v>
      </c>
      <c r="E44" s="628">
        <v>126000</v>
      </c>
      <c r="F44" s="13"/>
    </row>
    <row r="45" customHeight="1" spans="1:6">
      <c r="A45" s="10">
        <v>3</v>
      </c>
      <c r="B45" s="11" t="s">
        <v>126</v>
      </c>
      <c r="C45" s="4" t="s">
        <v>127</v>
      </c>
      <c r="D45" s="10" t="s">
        <v>35</v>
      </c>
      <c r="E45" s="628">
        <v>180000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628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131</v>
      </c>
      <c r="E47" s="628">
        <v>126000</v>
      </c>
      <c r="F47" s="13"/>
    </row>
    <row r="48" customHeight="1" spans="1:6">
      <c r="A48" s="10">
        <v>6</v>
      </c>
      <c r="B48" s="11" t="s">
        <v>133</v>
      </c>
      <c r="C48" s="4" t="s">
        <v>130</v>
      </c>
      <c r="D48" s="10" t="s">
        <v>49</v>
      </c>
      <c r="E48" s="628">
        <v>126000</v>
      </c>
      <c r="F48" s="13"/>
    </row>
    <row r="49" customHeight="1" spans="1:6">
      <c r="A49" s="10">
        <v>7</v>
      </c>
      <c r="B49" s="14" t="s">
        <v>134</v>
      </c>
      <c r="C49" s="4" t="s">
        <v>156</v>
      </c>
      <c r="D49" s="16" t="s">
        <v>178</v>
      </c>
      <c r="E49" s="628">
        <v>90000</v>
      </c>
      <c r="F49" s="13"/>
    </row>
    <row r="50" customHeight="1" spans="1:6">
      <c r="A50" s="10">
        <v>8</v>
      </c>
      <c r="B50" s="11" t="s">
        <v>138</v>
      </c>
      <c r="C50" s="4" t="s">
        <v>139</v>
      </c>
      <c r="D50" s="10" t="s">
        <v>76</v>
      </c>
      <c r="E50" s="628">
        <v>68000</v>
      </c>
      <c r="F50" s="13"/>
    </row>
    <row r="51" customHeight="1" spans="1:6">
      <c r="A51" s="10">
        <v>9</v>
      </c>
      <c r="B51" s="11" t="s">
        <v>142</v>
      </c>
      <c r="C51" s="4" t="s">
        <v>139</v>
      </c>
      <c r="D51" s="10" t="s">
        <v>87</v>
      </c>
      <c r="E51" s="628">
        <v>54000</v>
      </c>
      <c r="F51" s="13"/>
    </row>
    <row r="52" customHeight="1" spans="1:6">
      <c r="A52" s="10">
        <v>10</v>
      </c>
      <c r="B52" s="11" t="s">
        <v>544</v>
      </c>
      <c r="C52" s="4" t="s">
        <v>139</v>
      </c>
      <c r="D52" s="10" t="s">
        <v>87</v>
      </c>
      <c r="E52" s="628">
        <v>54000</v>
      </c>
      <c r="F52" s="13"/>
    </row>
    <row r="53" customHeight="1" spans="1:6">
      <c r="A53" s="10">
        <v>11</v>
      </c>
      <c r="B53" s="11" t="s">
        <v>143</v>
      </c>
      <c r="C53" s="4" t="s">
        <v>139</v>
      </c>
      <c r="D53" s="10" t="s">
        <v>87</v>
      </c>
      <c r="E53" s="628">
        <v>54000</v>
      </c>
      <c r="F53" s="13"/>
    </row>
    <row r="54" ht="25.5" customHeight="1" spans="1:6">
      <c r="A54" s="10"/>
      <c r="B54" s="20" t="s">
        <v>111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145</v>
      </c>
      <c r="C56" s="21"/>
      <c r="D56" s="21"/>
      <c r="E56" s="631"/>
      <c r="F56" s="13"/>
    </row>
    <row r="57" customHeight="1" spans="1:6">
      <c r="A57" s="10">
        <v>1</v>
      </c>
      <c r="B57" s="11" t="s">
        <v>545</v>
      </c>
      <c r="C57" s="12" t="s">
        <v>147</v>
      </c>
      <c r="D57" s="15" t="s">
        <v>115</v>
      </c>
      <c r="E57" s="628">
        <v>270000</v>
      </c>
      <c r="F57" s="13"/>
    </row>
    <row r="58" customHeight="1" spans="1:6">
      <c r="A58" s="10">
        <v>2</v>
      </c>
      <c r="B58" s="11" t="s">
        <v>148</v>
      </c>
      <c r="C58" s="12" t="s">
        <v>149</v>
      </c>
      <c r="D58" s="15" t="s">
        <v>150</v>
      </c>
      <c r="E58" s="628">
        <v>126000</v>
      </c>
      <c r="F58" s="13"/>
    </row>
    <row r="59" customHeight="1" spans="1:6">
      <c r="A59" s="10"/>
      <c r="B59" s="20" t="s">
        <v>111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151</v>
      </c>
      <c r="C61" s="21"/>
      <c r="D61" s="21"/>
      <c r="E61" s="631"/>
      <c r="F61" s="13"/>
    </row>
    <row r="62" customHeight="1" spans="1:6">
      <c r="A62" s="10">
        <v>1</v>
      </c>
      <c r="B62" s="11" t="s">
        <v>546</v>
      </c>
      <c r="C62" s="17" t="s">
        <v>547</v>
      </c>
      <c r="D62" s="10" t="s">
        <v>115</v>
      </c>
      <c r="E62" s="628">
        <v>270000</v>
      </c>
      <c r="F62" s="13"/>
    </row>
    <row r="63" customHeight="1" spans="1:6">
      <c r="A63" s="10">
        <v>2</v>
      </c>
      <c r="B63" s="351" t="s">
        <v>548</v>
      </c>
      <c r="C63" s="17" t="s">
        <v>549</v>
      </c>
      <c r="D63" s="15" t="s">
        <v>38</v>
      </c>
      <c r="E63" s="628">
        <v>126000</v>
      </c>
      <c r="F63" s="13"/>
    </row>
    <row r="64" customHeight="1" spans="1:6">
      <c r="A64" s="10">
        <v>3</v>
      </c>
      <c r="B64" s="11" t="s">
        <v>155</v>
      </c>
      <c r="C64" s="4" t="s">
        <v>156</v>
      </c>
      <c r="D64" s="10" t="s">
        <v>199</v>
      </c>
      <c r="E64" s="628">
        <v>90000</v>
      </c>
      <c r="F64" s="13"/>
    </row>
    <row r="65" customHeight="1" spans="1:6">
      <c r="A65" s="10">
        <v>4</v>
      </c>
      <c r="B65" s="18" t="s">
        <v>550</v>
      </c>
      <c r="C65" s="17" t="s">
        <v>158</v>
      </c>
      <c r="D65" s="15" t="s">
        <v>460</v>
      </c>
      <c r="E65" s="628">
        <v>90000</v>
      </c>
      <c r="F65" s="13"/>
    </row>
    <row r="66" customHeight="1" spans="1:6">
      <c r="A66" s="10">
        <v>5</v>
      </c>
      <c r="B66" s="14" t="s">
        <v>551</v>
      </c>
      <c r="C66" s="17" t="s">
        <v>156</v>
      </c>
      <c r="D66" s="15" t="s">
        <v>41</v>
      </c>
      <c r="E66" s="628">
        <v>90000</v>
      </c>
      <c r="F66" s="13"/>
    </row>
    <row r="67" customHeight="1" spans="1:6">
      <c r="A67" s="10">
        <v>7</v>
      </c>
      <c r="B67" s="11" t="s">
        <v>161</v>
      </c>
      <c r="C67" s="4" t="s">
        <v>139</v>
      </c>
      <c r="D67" s="10" t="s">
        <v>68</v>
      </c>
      <c r="E67" s="628">
        <v>68000</v>
      </c>
      <c r="F67" s="13"/>
    </row>
    <row r="68" customHeight="1" spans="1:6">
      <c r="A68" s="10">
        <v>8</v>
      </c>
      <c r="B68" s="11" t="s">
        <v>163</v>
      </c>
      <c r="C68" s="17" t="s">
        <v>70</v>
      </c>
      <c r="D68" s="10" t="s">
        <v>68</v>
      </c>
      <c r="E68" s="628">
        <v>68000</v>
      </c>
      <c r="F68" s="13"/>
    </row>
    <row r="69" customHeight="1" spans="1:6">
      <c r="A69" s="10">
        <v>9</v>
      </c>
      <c r="B69" s="11" t="s">
        <v>164</v>
      </c>
      <c r="C69" s="17" t="s">
        <v>70</v>
      </c>
      <c r="D69" s="10" t="s">
        <v>68</v>
      </c>
      <c r="E69" s="628">
        <v>68000</v>
      </c>
      <c r="F69" s="13"/>
    </row>
    <row r="70" customHeight="1" spans="1:6">
      <c r="A70" s="10">
        <v>10</v>
      </c>
      <c r="B70" s="11" t="s">
        <v>165</v>
      </c>
      <c r="C70" s="4" t="s">
        <v>166</v>
      </c>
      <c r="D70" s="10" t="s">
        <v>162</v>
      </c>
      <c r="E70" s="628">
        <v>68000</v>
      </c>
      <c r="F70" s="13"/>
    </row>
    <row r="71" ht="21.6" customHeight="1" spans="1:5">
      <c r="A71" s="10">
        <v>11</v>
      </c>
      <c r="B71" s="11" t="s">
        <v>168</v>
      </c>
      <c r="C71" s="4" t="s">
        <v>139</v>
      </c>
      <c r="D71" s="10" t="s">
        <v>76</v>
      </c>
      <c r="E71" s="628">
        <v>68000</v>
      </c>
    </row>
    <row r="72" ht="27" customHeight="1" spans="1:6">
      <c r="A72" s="10"/>
      <c r="B72" s="20" t="s">
        <v>111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169</v>
      </c>
      <c r="C74" s="21"/>
      <c r="D74" s="21"/>
      <c r="E74" s="631"/>
      <c r="F74" s="13"/>
    </row>
    <row r="75" customHeight="1" spans="1:6">
      <c r="A75" s="10">
        <v>1</v>
      </c>
      <c r="B75" s="11" t="s">
        <v>170</v>
      </c>
      <c r="C75" s="4" t="s">
        <v>171</v>
      </c>
      <c r="D75" s="10" t="s">
        <v>115</v>
      </c>
      <c r="E75" s="628">
        <v>270000</v>
      </c>
      <c r="F75" s="13"/>
    </row>
    <row r="76" customHeight="1" spans="1:6">
      <c r="A76" s="10">
        <v>2</v>
      </c>
      <c r="B76" s="14" t="s">
        <v>552</v>
      </c>
      <c r="C76" s="4" t="s">
        <v>553</v>
      </c>
      <c r="D76" s="15" t="s">
        <v>554</v>
      </c>
      <c r="E76" s="628">
        <v>126000</v>
      </c>
      <c r="F76" s="13"/>
    </row>
    <row r="77" customHeight="1" spans="1:6">
      <c r="A77" s="10">
        <v>3</v>
      </c>
      <c r="B77" s="18" t="s">
        <v>172</v>
      </c>
      <c r="C77" s="12" t="s">
        <v>555</v>
      </c>
      <c r="D77" s="10" t="s">
        <v>150</v>
      </c>
      <c r="E77" s="628">
        <v>126000</v>
      </c>
      <c r="F77" s="13"/>
    </row>
    <row r="78" customHeight="1" spans="1:6">
      <c r="A78" s="10">
        <v>4</v>
      </c>
      <c r="B78" s="11" t="s">
        <v>176</v>
      </c>
      <c r="C78" s="4" t="s">
        <v>177</v>
      </c>
      <c r="D78" s="15" t="s">
        <v>46</v>
      </c>
      <c r="E78" s="628">
        <v>90000</v>
      </c>
      <c r="F78" s="13"/>
    </row>
    <row r="79" customHeight="1" spans="1:6">
      <c r="A79" s="10">
        <v>5</v>
      </c>
      <c r="B79" s="11" t="s">
        <v>183</v>
      </c>
      <c r="C79" s="4" t="s">
        <v>186</v>
      </c>
      <c r="D79" s="10" t="s">
        <v>119</v>
      </c>
      <c r="E79" s="628">
        <v>68000</v>
      </c>
      <c r="F79" s="13"/>
    </row>
    <row r="80" customHeight="1" spans="1:6">
      <c r="A80" s="10">
        <v>6</v>
      </c>
      <c r="B80" s="11" t="s">
        <v>185</v>
      </c>
      <c r="C80" s="4" t="s">
        <v>186</v>
      </c>
      <c r="D80" s="10" t="s">
        <v>87</v>
      </c>
      <c r="E80" s="628">
        <v>54000</v>
      </c>
      <c r="F80" s="13"/>
    </row>
    <row r="81" customHeight="1" spans="1:6">
      <c r="A81" s="10">
        <v>7</v>
      </c>
      <c r="B81" s="11" t="s">
        <v>187</v>
      </c>
      <c r="C81" s="4" t="s">
        <v>188</v>
      </c>
      <c r="D81" s="10" t="s">
        <v>105</v>
      </c>
      <c r="E81" s="628">
        <v>54000</v>
      </c>
      <c r="F81" s="13"/>
    </row>
    <row r="82" customHeight="1" spans="1:6">
      <c r="A82" s="10"/>
      <c r="B82" s="20" t="s">
        <v>111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189</v>
      </c>
      <c r="C84" s="25"/>
      <c r="D84" s="21"/>
      <c r="E84" s="628"/>
      <c r="F84" s="13"/>
    </row>
    <row r="85" customHeight="1" spans="1:6">
      <c r="A85" s="10">
        <v>1</v>
      </c>
      <c r="B85" s="11" t="s">
        <v>192</v>
      </c>
      <c r="C85" s="4" t="s">
        <v>130</v>
      </c>
      <c r="D85" s="10" t="s">
        <v>131</v>
      </c>
      <c r="E85" s="628">
        <v>126000</v>
      </c>
      <c r="F85" s="13"/>
    </row>
    <row r="86" customHeight="1" spans="1:6">
      <c r="A86" s="10">
        <v>2</v>
      </c>
      <c r="B86" s="11" t="s">
        <v>190</v>
      </c>
      <c r="C86" s="4" t="s">
        <v>130</v>
      </c>
      <c r="D86" s="10" t="s">
        <v>131</v>
      </c>
      <c r="E86" s="628">
        <v>126000</v>
      </c>
      <c r="F86" s="13"/>
    </row>
    <row r="87" customHeight="1" spans="1:6">
      <c r="A87" s="10">
        <v>3</v>
      </c>
      <c r="B87" s="11" t="s">
        <v>195</v>
      </c>
      <c r="C87" s="4" t="s">
        <v>130</v>
      </c>
      <c r="D87" s="10" t="s">
        <v>49</v>
      </c>
      <c r="E87" s="628">
        <v>126000</v>
      </c>
      <c r="F87" s="13"/>
    </row>
    <row r="88" ht="21.6" customHeight="1" spans="1:6">
      <c r="A88" s="10">
        <v>4</v>
      </c>
      <c r="B88" s="11" t="s">
        <v>196</v>
      </c>
      <c r="C88" s="4" t="s">
        <v>556</v>
      </c>
      <c r="D88" s="15" t="s">
        <v>52</v>
      </c>
      <c r="E88" s="628">
        <v>90000</v>
      </c>
      <c r="F88" s="13"/>
    </row>
    <row r="89" ht="21.6" customHeight="1" spans="1:6">
      <c r="A89" s="10">
        <v>5</v>
      </c>
      <c r="B89" s="11" t="s">
        <v>197</v>
      </c>
      <c r="C89" s="12" t="s">
        <v>158</v>
      </c>
      <c r="D89" s="15" t="s">
        <v>460</v>
      </c>
      <c r="E89" s="628">
        <v>90000</v>
      </c>
      <c r="F89" s="13"/>
    </row>
    <row r="90" ht="21.6" customHeight="1" spans="1:6">
      <c r="A90" s="10">
        <v>6</v>
      </c>
      <c r="B90" s="11" t="s">
        <v>198</v>
      </c>
      <c r="C90" s="12" t="s">
        <v>156</v>
      </c>
      <c r="D90" s="15" t="s">
        <v>230</v>
      </c>
      <c r="E90" s="628">
        <v>90000</v>
      </c>
      <c r="F90" s="13"/>
    </row>
    <row r="91" ht="21.6" customHeight="1" spans="1:6">
      <c r="A91" s="10">
        <v>7</v>
      </c>
      <c r="B91" s="11" t="s">
        <v>200</v>
      </c>
      <c r="C91" s="17" t="s">
        <v>70</v>
      </c>
      <c r="D91" s="15" t="s">
        <v>68</v>
      </c>
      <c r="E91" s="628">
        <v>68000</v>
      </c>
      <c r="F91" s="13"/>
    </row>
    <row r="92" ht="21.6" customHeight="1" spans="1:6">
      <c r="A92" s="10">
        <v>8</v>
      </c>
      <c r="B92" s="11" t="s">
        <v>201</v>
      </c>
      <c r="C92" s="17" t="s">
        <v>158</v>
      </c>
      <c r="D92" s="15" t="s">
        <v>159</v>
      </c>
      <c r="E92" s="628">
        <v>90000</v>
      </c>
      <c r="F92" s="13"/>
    </row>
    <row r="93" ht="21.6" customHeight="1" spans="1:6">
      <c r="A93" s="10">
        <v>9</v>
      </c>
      <c r="B93" s="11" t="s">
        <v>204</v>
      </c>
      <c r="C93" s="4" t="s">
        <v>205</v>
      </c>
      <c r="D93" s="10" t="s">
        <v>76</v>
      </c>
      <c r="E93" s="628">
        <v>68000</v>
      </c>
      <c r="F93" s="13"/>
    </row>
    <row r="94" ht="21.6" customHeight="1" spans="1:6">
      <c r="A94" s="10">
        <v>10</v>
      </c>
      <c r="B94" s="11" t="s">
        <v>206</v>
      </c>
      <c r="C94" s="17" t="s">
        <v>207</v>
      </c>
      <c r="D94" s="15" t="s">
        <v>102</v>
      </c>
      <c r="E94" s="628">
        <v>54000</v>
      </c>
      <c r="F94" s="13"/>
    </row>
    <row r="95" customHeight="1" spans="1:6">
      <c r="A95" s="10"/>
      <c r="B95" s="20" t="s">
        <v>111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209</v>
      </c>
      <c r="C97" s="21"/>
      <c r="D97" s="21"/>
      <c r="E97" s="631"/>
      <c r="F97" s="13"/>
    </row>
    <row r="98" customHeight="1" spans="1:6">
      <c r="A98" s="10">
        <v>1</v>
      </c>
      <c r="B98" s="14" t="s">
        <v>210</v>
      </c>
      <c r="C98" s="4" t="s">
        <v>211</v>
      </c>
      <c r="D98" s="16" t="s">
        <v>128</v>
      </c>
      <c r="E98" s="628">
        <v>270000</v>
      </c>
      <c r="F98" s="13"/>
    </row>
    <row r="99" customHeight="1" spans="1:6">
      <c r="A99" s="10">
        <v>2</v>
      </c>
      <c r="B99" s="11" t="s">
        <v>213</v>
      </c>
      <c r="C99" s="4" t="s">
        <v>214</v>
      </c>
      <c r="D99" s="15" t="s">
        <v>46</v>
      </c>
      <c r="E99" s="628">
        <v>90000</v>
      </c>
      <c r="F99" s="13"/>
    </row>
    <row r="100" customHeight="1" spans="1:6">
      <c r="A100" s="10">
        <v>3</v>
      </c>
      <c r="B100" s="11" t="s">
        <v>219</v>
      </c>
      <c r="C100" s="4" t="s">
        <v>220</v>
      </c>
      <c r="D100" s="15" t="s">
        <v>162</v>
      </c>
      <c r="E100" s="628">
        <v>68000</v>
      </c>
      <c r="F100" s="13"/>
    </row>
    <row r="101" customHeight="1" spans="1:6">
      <c r="A101" s="10">
        <v>4</v>
      </c>
      <c r="B101" s="11" t="s">
        <v>221</v>
      </c>
      <c r="C101" s="4" t="s">
        <v>222</v>
      </c>
      <c r="D101" s="15" t="s">
        <v>76</v>
      </c>
      <c r="E101" s="628">
        <v>68000</v>
      </c>
      <c r="F101" s="13"/>
    </row>
    <row r="102" customHeight="1" spans="1:6">
      <c r="A102" s="4"/>
      <c r="B102" s="20" t="s">
        <v>111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223</v>
      </c>
      <c r="C104" s="4"/>
      <c r="D104" s="4"/>
      <c r="E104" s="632"/>
      <c r="F104" s="13"/>
    </row>
    <row r="105" customHeight="1" spans="1:6">
      <c r="A105" s="4">
        <v>1</v>
      </c>
      <c r="B105" s="11" t="s">
        <v>224</v>
      </c>
      <c r="C105" s="12" t="s">
        <v>225</v>
      </c>
      <c r="D105" s="15" t="s">
        <v>115</v>
      </c>
      <c r="E105" s="628">
        <v>270000</v>
      </c>
      <c r="F105" s="13"/>
    </row>
    <row r="106" customHeight="1" spans="1:6">
      <c r="A106" s="4">
        <v>2</v>
      </c>
      <c r="B106" s="11" t="s">
        <v>226</v>
      </c>
      <c r="C106" s="4" t="s">
        <v>227</v>
      </c>
      <c r="D106" s="16" t="s">
        <v>154</v>
      </c>
      <c r="E106" s="628">
        <v>180000</v>
      </c>
      <c r="F106" s="13"/>
    </row>
    <row r="107" customHeight="1" spans="1:6">
      <c r="A107" s="4">
        <v>3</v>
      </c>
      <c r="B107" s="11" t="s">
        <v>228</v>
      </c>
      <c r="C107" s="4" t="s">
        <v>442</v>
      </c>
      <c r="D107" s="10" t="s">
        <v>52</v>
      </c>
      <c r="E107" s="628">
        <v>90000</v>
      </c>
      <c r="F107" s="13"/>
    </row>
    <row r="108" customHeight="1" spans="1:6">
      <c r="A108" s="4">
        <v>4</v>
      </c>
      <c r="B108" s="11" t="s">
        <v>231</v>
      </c>
      <c r="C108" s="4" t="s">
        <v>442</v>
      </c>
      <c r="D108" s="10" t="s">
        <v>52</v>
      </c>
      <c r="E108" s="628">
        <v>90000</v>
      </c>
      <c r="F108" s="13"/>
    </row>
    <row r="109" customHeight="1" spans="1:6">
      <c r="A109" s="4">
        <v>5</v>
      </c>
      <c r="B109" s="11" t="s">
        <v>232</v>
      </c>
      <c r="C109" s="4" t="s">
        <v>233</v>
      </c>
      <c r="D109" s="15" t="s">
        <v>557</v>
      </c>
      <c r="E109" s="628">
        <v>54000</v>
      </c>
      <c r="F109" s="13"/>
    </row>
    <row r="110" customHeight="1" spans="1:6">
      <c r="A110" s="4">
        <v>6</v>
      </c>
      <c r="B110" s="18" t="s">
        <v>235</v>
      </c>
      <c r="C110" s="4" t="s">
        <v>233</v>
      </c>
      <c r="D110" s="10" t="s">
        <v>558</v>
      </c>
      <c r="E110" s="628">
        <v>54000</v>
      </c>
      <c r="F110" s="13"/>
    </row>
    <row r="111" customHeight="1" spans="1:6">
      <c r="A111" s="4">
        <v>7</v>
      </c>
      <c r="B111" s="18" t="s">
        <v>236</v>
      </c>
      <c r="C111" s="4" t="s">
        <v>233</v>
      </c>
      <c r="D111" s="15" t="s">
        <v>102</v>
      </c>
      <c r="E111" s="628">
        <v>54000</v>
      </c>
      <c r="F111" s="13"/>
    </row>
    <row r="112" ht="25.5" customHeight="1" spans="1:6">
      <c r="A112" s="4"/>
      <c r="B112" s="20" t="s">
        <v>111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237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152</v>
      </c>
      <c r="C115" s="4" t="s">
        <v>130</v>
      </c>
      <c r="D115" s="10" t="s">
        <v>38</v>
      </c>
      <c r="E115" s="628">
        <v>126000</v>
      </c>
      <c r="F115" s="13"/>
    </row>
    <row r="116" ht="18.75" customHeight="1" spans="1:6">
      <c r="A116" s="10">
        <v>2</v>
      </c>
      <c r="B116" s="11" t="s">
        <v>238</v>
      </c>
      <c r="C116" s="4" t="s">
        <v>239</v>
      </c>
      <c r="D116" s="15" t="s">
        <v>162</v>
      </c>
      <c r="E116" s="628">
        <v>68000</v>
      </c>
      <c r="F116" s="13"/>
    </row>
    <row r="117" customHeight="1" spans="1:6">
      <c r="A117" s="10">
        <v>3</v>
      </c>
      <c r="B117" s="11" t="s">
        <v>179</v>
      </c>
      <c r="C117" s="12" t="s">
        <v>559</v>
      </c>
      <c r="D117" s="15" t="s">
        <v>65</v>
      </c>
      <c r="E117" s="628">
        <v>68000</v>
      </c>
      <c r="F117" s="13"/>
    </row>
    <row r="118" ht="24.75" customHeight="1" spans="1:6">
      <c r="A118" s="4"/>
      <c r="B118" s="20" t="s">
        <v>111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252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253</v>
      </c>
      <c r="C121" s="12" t="s">
        <v>254</v>
      </c>
      <c r="D121" s="15" t="s">
        <v>115</v>
      </c>
      <c r="E121" s="628">
        <v>270000</v>
      </c>
      <c r="F121" s="13"/>
    </row>
    <row r="122" customHeight="1" spans="1:6">
      <c r="A122" s="4">
        <v>2</v>
      </c>
      <c r="B122" s="11" t="s">
        <v>255</v>
      </c>
      <c r="C122" s="12" t="s">
        <v>256</v>
      </c>
      <c r="D122" s="15" t="s">
        <v>35</v>
      </c>
      <c r="E122" s="628">
        <v>180000</v>
      </c>
      <c r="F122" s="13"/>
    </row>
    <row r="123" customHeight="1" spans="1:6">
      <c r="A123" s="4">
        <v>3</v>
      </c>
      <c r="B123" s="14" t="s">
        <v>257</v>
      </c>
      <c r="C123" s="12" t="s">
        <v>258</v>
      </c>
      <c r="D123" s="15" t="s">
        <v>131</v>
      </c>
      <c r="E123" s="628">
        <v>126000</v>
      </c>
      <c r="F123" s="13"/>
    </row>
    <row r="124" customHeight="1" spans="1:6">
      <c r="A124" s="4">
        <v>4</v>
      </c>
      <c r="B124" s="14" t="s">
        <v>560</v>
      </c>
      <c r="C124" s="12" t="s">
        <v>258</v>
      </c>
      <c r="D124" s="15" t="s">
        <v>49</v>
      </c>
      <c r="E124" s="628">
        <v>126000</v>
      </c>
      <c r="F124" s="13"/>
    </row>
    <row r="125" customHeight="1" spans="1:6">
      <c r="A125" s="4">
        <v>5</v>
      </c>
      <c r="B125" s="11" t="s">
        <v>259</v>
      </c>
      <c r="C125" s="12" t="s">
        <v>260</v>
      </c>
      <c r="D125" s="15" t="s">
        <v>178</v>
      </c>
      <c r="E125" s="628">
        <v>90000</v>
      </c>
      <c r="F125" s="13"/>
    </row>
    <row r="126" customHeight="1" spans="1:6">
      <c r="A126" s="4">
        <v>6</v>
      </c>
      <c r="B126" s="11" t="s">
        <v>261</v>
      </c>
      <c r="C126" s="12" t="s">
        <v>495</v>
      </c>
      <c r="D126" s="15" t="s">
        <v>199</v>
      </c>
      <c r="E126" s="628">
        <v>90000</v>
      </c>
      <c r="F126" s="13"/>
    </row>
    <row r="127" customHeight="1" spans="1:6">
      <c r="A127" s="4">
        <v>7</v>
      </c>
      <c r="B127" s="11" t="s">
        <v>262</v>
      </c>
      <c r="C127" s="12" t="s">
        <v>260</v>
      </c>
      <c r="D127" s="15" t="s">
        <v>46</v>
      </c>
      <c r="E127" s="628">
        <v>90000</v>
      </c>
      <c r="F127" s="13"/>
    </row>
    <row r="128" customHeight="1" spans="1:6">
      <c r="A128" s="4">
        <v>8</v>
      </c>
      <c r="B128" s="11" t="s">
        <v>265</v>
      </c>
      <c r="C128" s="12" t="s">
        <v>266</v>
      </c>
      <c r="D128" s="10" t="s">
        <v>84</v>
      </c>
      <c r="E128" s="628">
        <v>54000</v>
      </c>
      <c r="F128" s="13"/>
    </row>
    <row r="129" customHeight="1" spans="1:6">
      <c r="A129" s="4">
        <v>9</v>
      </c>
      <c r="B129" s="18" t="s">
        <v>267</v>
      </c>
      <c r="C129" s="12" t="s">
        <v>268</v>
      </c>
      <c r="D129" s="15" t="s">
        <v>105</v>
      </c>
      <c r="E129" s="628">
        <v>54000</v>
      </c>
      <c r="F129" s="13"/>
    </row>
    <row r="130" customHeight="1" spans="1:6">
      <c r="A130" s="4">
        <v>10</v>
      </c>
      <c r="B130" s="18" t="s">
        <v>269</v>
      </c>
      <c r="C130" s="12" t="s">
        <v>264</v>
      </c>
      <c r="D130" s="15" t="s">
        <v>105</v>
      </c>
      <c r="E130" s="628">
        <v>54000</v>
      </c>
      <c r="F130" s="13"/>
    </row>
    <row r="131" ht="28.5" customHeight="1" spans="1:6">
      <c r="A131" s="4"/>
      <c r="B131" s="20" t="s">
        <v>111</v>
      </c>
      <c r="C131" s="26" t="s">
        <v>496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272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561</v>
      </c>
      <c r="C134" s="12" t="s">
        <v>562</v>
      </c>
      <c r="D134" s="15" t="s">
        <v>115</v>
      </c>
      <c r="E134" s="628">
        <v>270000</v>
      </c>
      <c r="F134" s="13"/>
    </row>
    <row r="135" customHeight="1" spans="1:6">
      <c r="A135" s="27">
        <v>2</v>
      </c>
      <c r="B135" s="11" t="s">
        <v>563</v>
      </c>
      <c r="C135" s="12" t="s">
        <v>564</v>
      </c>
      <c r="D135" s="15" t="s">
        <v>154</v>
      </c>
      <c r="E135" s="628">
        <v>180000</v>
      </c>
      <c r="F135" s="13"/>
    </row>
    <row r="136" customHeight="1" spans="1:6">
      <c r="A136" s="27">
        <v>3</v>
      </c>
      <c r="B136" s="14" t="s">
        <v>276</v>
      </c>
      <c r="C136" s="4" t="s">
        <v>277</v>
      </c>
      <c r="D136" s="16" t="s">
        <v>154</v>
      </c>
      <c r="E136" s="628">
        <v>180000</v>
      </c>
      <c r="F136" s="13"/>
    </row>
    <row r="137" customHeight="1" spans="1:6">
      <c r="A137" s="27">
        <v>4</v>
      </c>
      <c r="B137" s="11" t="s">
        <v>278</v>
      </c>
      <c r="C137" s="12" t="s">
        <v>565</v>
      </c>
      <c r="D137" s="15" t="s">
        <v>41</v>
      </c>
      <c r="E137" s="628">
        <v>90000</v>
      </c>
      <c r="F137" s="13"/>
    </row>
    <row r="138" customHeight="1" spans="1:6">
      <c r="A138" s="27">
        <v>5</v>
      </c>
      <c r="B138" s="11" t="s">
        <v>280</v>
      </c>
      <c r="C138" s="4" t="s">
        <v>566</v>
      </c>
      <c r="D138" s="15" t="s">
        <v>41</v>
      </c>
      <c r="E138" s="628">
        <v>90000</v>
      </c>
      <c r="F138" s="13"/>
    </row>
    <row r="139" customHeight="1" spans="1:6">
      <c r="A139" s="27">
        <v>6</v>
      </c>
      <c r="B139" s="11" t="s">
        <v>282</v>
      </c>
      <c r="C139" s="4" t="s">
        <v>566</v>
      </c>
      <c r="D139" s="15" t="s">
        <v>41</v>
      </c>
      <c r="E139" s="628">
        <v>90000</v>
      </c>
      <c r="F139" s="13"/>
    </row>
    <row r="140" customHeight="1" spans="1:6">
      <c r="A140" s="27">
        <v>7</v>
      </c>
      <c r="B140" s="11" t="s">
        <v>215</v>
      </c>
      <c r="C140" s="12" t="s">
        <v>567</v>
      </c>
      <c r="D140" s="15" t="s">
        <v>65</v>
      </c>
      <c r="E140" s="628">
        <v>68000</v>
      </c>
      <c r="F140" s="13"/>
    </row>
    <row r="141" customHeight="1" spans="1:6">
      <c r="A141" s="27">
        <v>8</v>
      </c>
      <c r="B141" s="11" t="s">
        <v>283</v>
      </c>
      <c r="C141" s="12" t="s">
        <v>567</v>
      </c>
      <c r="D141" s="15" t="s">
        <v>65</v>
      </c>
      <c r="E141" s="628">
        <v>68000</v>
      </c>
      <c r="F141" s="13"/>
    </row>
    <row r="142" customHeight="1" spans="1:6">
      <c r="A142" s="27">
        <v>9</v>
      </c>
      <c r="B142" s="11" t="s">
        <v>284</v>
      </c>
      <c r="C142" s="4" t="s">
        <v>568</v>
      </c>
      <c r="D142" s="15" t="s">
        <v>65</v>
      </c>
      <c r="E142" s="628">
        <v>68000</v>
      </c>
      <c r="F142" s="13"/>
    </row>
    <row r="143" customHeight="1" spans="1:6">
      <c r="A143" s="27">
        <v>10</v>
      </c>
      <c r="B143" s="11" t="s">
        <v>286</v>
      </c>
      <c r="C143" s="12" t="s">
        <v>287</v>
      </c>
      <c r="D143" s="15" t="s">
        <v>162</v>
      </c>
      <c r="E143" s="628">
        <v>68000</v>
      </c>
      <c r="F143" s="13"/>
    </row>
    <row r="144" customHeight="1" spans="1:6">
      <c r="A144" s="27">
        <v>11</v>
      </c>
      <c r="B144" s="11" t="s">
        <v>288</v>
      </c>
      <c r="C144" s="12" t="s">
        <v>289</v>
      </c>
      <c r="D144" s="15" t="s">
        <v>68</v>
      </c>
      <c r="E144" s="628">
        <v>68000</v>
      </c>
      <c r="F144" s="13"/>
    </row>
    <row r="145" customHeight="1" spans="1:6">
      <c r="A145" s="27">
        <v>12</v>
      </c>
      <c r="B145" s="11" t="s">
        <v>60</v>
      </c>
      <c r="C145" s="12" t="s">
        <v>569</v>
      </c>
      <c r="D145" s="15" t="s">
        <v>65</v>
      </c>
      <c r="E145" s="628">
        <v>68000</v>
      </c>
      <c r="F145" s="13"/>
    </row>
    <row r="146" customHeight="1" spans="1:6">
      <c r="A146" s="27">
        <v>13</v>
      </c>
      <c r="B146" s="18" t="s">
        <v>290</v>
      </c>
      <c r="C146" s="4" t="s">
        <v>291</v>
      </c>
      <c r="D146" s="15" t="s">
        <v>137</v>
      </c>
      <c r="E146" s="628">
        <v>68000</v>
      </c>
      <c r="F146" s="13"/>
    </row>
    <row r="147" customHeight="1" spans="1:6">
      <c r="A147" s="27">
        <v>14</v>
      </c>
      <c r="B147" s="11" t="s">
        <v>292</v>
      </c>
      <c r="C147" s="4" t="s">
        <v>570</v>
      </c>
      <c r="D147" s="15" t="s">
        <v>119</v>
      </c>
      <c r="E147" s="628">
        <v>68000</v>
      </c>
      <c r="F147" s="13"/>
    </row>
    <row r="148" customHeight="1" spans="1:6">
      <c r="A148" s="27">
        <v>15</v>
      </c>
      <c r="B148" s="11" t="s">
        <v>293</v>
      </c>
      <c r="C148" s="4" t="s">
        <v>570</v>
      </c>
      <c r="D148" s="15" t="s">
        <v>302</v>
      </c>
      <c r="E148" s="628">
        <v>68000</v>
      </c>
      <c r="F148" s="13"/>
    </row>
    <row r="149" customHeight="1" spans="1:6">
      <c r="A149" s="27">
        <v>16</v>
      </c>
      <c r="B149" s="11" t="s">
        <v>295</v>
      </c>
      <c r="C149" s="4" t="s">
        <v>570</v>
      </c>
      <c r="D149" s="15" t="s">
        <v>302</v>
      </c>
      <c r="E149" s="628">
        <v>68000</v>
      </c>
      <c r="F149" s="13"/>
    </row>
    <row r="150" customHeight="1" spans="1:6">
      <c r="A150" s="27">
        <v>17</v>
      </c>
      <c r="B150" s="11" t="s">
        <v>296</v>
      </c>
      <c r="C150" s="12" t="s">
        <v>297</v>
      </c>
      <c r="D150" s="15" t="s">
        <v>76</v>
      </c>
      <c r="E150" s="628">
        <v>68000</v>
      </c>
      <c r="F150" s="13"/>
    </row>
    <row r="151" customHeight="1" spans="1:6">
      <c r="A151" s="27">
        <v>18</v>
      </c>
      <c r="B151" s="11" t="s">
        <v>298</v>
      </c>
      <c r="C151" s="12" t="s">
        <v>299</v>
      </c>
      <c r="D151" s="10" t="s">
        <v>87</v>
      </c>
      <c r="E151" s="628">
        <v>54000</v>
      </c>
      <c r="F151" s="13"/>
    </row>
    <row r="152" customHeight="1" spans="1:6">
      <c r="A152" s="27">
        <v>19</v>
      </c>
      <c r="B152" s="11" t="s">
        <v>300</v>
      </c>
      <c r="C152" s="12" t="s">
        <v>301</v>
      </c>
      <c r="D152" s="15" t="s">
        <v>119</v>
      </c>
      <c r="E152" s="628">
        <v>68000</v>
      </c>
      <c r="F152" s="13"/>
    </row>
    <row r="153" customHeight="1" spans="1:6">
      <c r="A153" s="27">
        <v>20</v>
      </c>
      <c r="B153" s="11" t="s">
        <v>303</v>
      </c>
      <c r="C153" s="12" t="s">
        <v>304</v>
      </c>
      <c r="D153" s="15" t="s">
        <v>84</v>
      </c>
      <c r="E153" s="628">
        <v>54000</v>
      </c>
      <c r="F153" s="13"/>
    </row>
    <row r="154" customHeight="1" spans="1:6">
      <c r="A154" s="27">
        <v>21</v>
      </c>
      <c r="B154" s="11" t="s">
        <v>305</v>
      </c>
      <c r="C154" s="12" t="s">
        <v>306</v>
      </c>
      <c r="D154" s="15" t="s">
        <v>119</v>
      </c>
      <c r="E154" s="628">
        <v>68000</v>
      </c>
      <c r="F154" s="13"/>
    </row>
    <row r="155" customHeight="1" spans="1:6">
      <c r="A155" s="27">
        <v>22</v>
      </c>
      <c r="B155" s="11" t="s">
        <v>307</v>
      </c>
      <c r="C155" s="12" t="s">
        <v>308</v>
      </c>
      <c r="D155" s="15" t="s">
        <v>84</v>
      </c>
      <c r="E155" s="628">
        <v>54000</v>
      </c>
      <c r="F155" s="13"/>
    </row>
    <row r="156" customHeight="1" spans="1:6">
      <c r="A156" s="27">
        <v>23</v>
      </c>
      <c r="B156" s="18" t="s">
        <v>309</v>
      </c>
      <c r="C156" s="12" t="s">
        <v>310</v>
      </c>
      <c r="D156" s="15" t="s">
        <v>96</v>
      </c>
      <c r="E156" s="628">
        <v>54000</v>
      </c>
      <c r="F156" s="13"/>
    </row>
    <row r="157" customHeight="1" spans="1:6">
      <c r="A157" s="27">
        <v>24</v>
      </c>
      <c r="B157" s="18" t="s">
        <v>314</v>
      </c>
      <c r="C157" s="12" t="s">
        <v>315</v>
      </c>
      <c r="D157" s="15" t="s">
        <v>105</v>
      </c>
      <c r="E157" s="628">
        <v>54000</v>
      </c>
      <c r="F157" s="13"/>
    </row>
    <row r="158" customHeight="1" spans="1:6">
      <c r="A158" s="27">
        <v>25</v>
      </c>
      <c r="B158" s="18" t="s">
        <v>316</v>
      </c>
      <c r="C158" s="12" t="s">
        <v>317</v>
      </c>
      <c r="D158" s="15" t="s">
        <v>105</v>
      </c>
      <c r="E158" s="628">
        <v>54000</v>
      </c>
      <c r="F158" s="13"/>
    </row>
    <row r="159" customHeight="1" spans="1:6">
      <c r="A159" s="27">
        <v>26</v>
      </c>
      <c r="B159" s="18" t="s">
        <v>318</v>
      </c>
      <c r="C159" s="12" t="s">
        <v>319</v>
      </c>
      <c r="D159" s="15" t="s">
        <v>105</v>
      </c>
      <c r="E159" s="628">
        <v>54000</v>
      </c>
      <c r="F159" s="13"/>
    </row>
    <row r="160" customHeight="1" spans="1:6">
      <c r="A160" s="27">
        <v>27</v>
      </c>
      <c r="B160" s="18" t="s">
        <v>320</v>
      </c>
      <c r="C160" s="12" t="s">
        <v>321</v>
      </c>
      <c r="D160" s="15" t="s">
        <v>102</v>
      </c>
      <c r="E160" s="628">
        <v>54000</v>
      </c>
      <c r="F160" s="13"/>
    </row>
    <row r="161" customHeight="1" spans="1:6">
      <c r="A161" s="27">
        <v>28</v>
      </c>
      <c r="B161" s="18" t="s">
        <v>322</v>
      </c>
      <c r="C161" s="12" t="s">
        <v>317</v>
      </c>
      <c r="D161" s="15" t="s">
        <v>105</v>
      </c>
      <c r="E161" s="628">
        <v>54000</v>
      </c>
      <c r="F161" s="13"/>
    </row>
    <row r="162" customHeight="1" spans="1:6">
      <c r="A162" s="27">
        <v>29</v>
      </c>
      <c r="B162" s="11" t="s">
        <v>331</v>
      </c>
      <c r="C162" s="12" t="s">
        <v>332</v>
      </c>
      <c r="D162" s="15" t="s">
        <v>339</v>
      </c>
      <c r="E162" s="628">
        <v>36000</v>
      </c>
      <c r="F162" s="13"/>
    </row>
    <row r="163" customHeight="1" spans="1:6">
      <c r="A163" s="27">
        <v>30</v>
      </c>
      <c r="B163" s="11" t="s">
        <v>334</v>
      </c>
      <c r="C163" s="12" t="s">
        <v>332</v>
      </c>
      <c r="D163" s="15" t="s">
        <v>339</v>
      </c>
      <c r="E163" s="628">
        <v>36000</v>
      </c>
      <c r="F163" s="13"/>
    </row>
    <row r="164" customHeight="1" spans="1:6">
      <c r="A164" s="27">
        <v>31</v>
      </c>
      <c r="B164" s="11" t="s">
        <v>335</v>
      </c>
      <c r="C164" s="12" t="s">
        <v>332</v>
      </c>
      <c r="D164" s="15" t="s">
        <v>339</v>
      </c>
      <c r="E164" s="628">
        <v>36000</v>
      </c>
      <c r="F164" s="13"/>
    </row>
    <row r="165" customHeight="1" spans="1:6">
      <c r="A165" s="27">
        <v>32</v>
      </c>
      <c r="B165" s="11" t="s">
        <v>336</v>
      </c>
      <c r="C165" s="12" t="s">
        <v>332</v>
      </c>
      <c r="D165" s="15" t="s">
        <v>339</v>
      </c>
      <c r="E165" s="628">
        <v>36000</v>
      </c>
      <c r="F165" s="13"/>
    </row>
    <row r="166" customHeight="1" spans="1:6">
      <c r="A166" s="27">
        <v>33</v>
      </c>
      <c r="B166" s="11" t="s">
        <v>337</v>
      </c>
      <c r="C166" s="12" t="s">
        <v>332</v>
      </c>
      <c r="D166" s="15" t="s">
        <v>339</v>
      </c>
      <c r="E166" s="628">
        <v>36000</v>
      </c>
      <c r="F166" s="13"/>
    </row>
    <row r="167" customHeight="1" spans="1:6">
      <c r="A167" s="27">
        <v>34</v>
      </c>
      <c r="B167" s="11" t="s">
        <v>338</v>
      </c>
      <c r="C167" s="12" t="s">
        <v>332</v>
      </c>
      <c r="D167" s="15" t="s">
        <v>350</v>
      </c>
      <c r="E167" s="628">
        <v>36000</v>
      </c>
      <c r="F167" s="13"/>
    </row>
    <row r="168" customHeight="1" spans="1:6">
      <c r="A168" s="27">
        <v>35</v>
      </c>
      <c r="B168" s="11" t="s">
        <v>340</v>
      </c>
      <c r="C168" s="12" t="s">
        <v>332</v>
      </c>
      <c r="D168" s="15" t="s">
        <v>350</v>
      </c>
      <c r="E168" s="628">
        <v>36000</v>
      </c>
      <c r="F168" s="13"/>
    </row>
    <row r="169" customHeight="1" spans="1:6">
      <c r="A169" s="27">
        <v>36</v>
      </c>
      <c r="B169" s="14" t="s">
        <v>341</v>
      </c>
      <c r="C169" s="12" t="s">
        <v>332</v>
      </c>
      <c r="D169" s="15" t="s">
        <v>350</v>
      </c>
      <c r="E169" s="628">
        <v>36000</v>
      </c>
      <c r="F169" s="13"/>
    </row>
    <row r="170" customHeight="1" spans="1:6">
      <c r="A170" s="27">
        <v>37</v>
      </c>
      <c r="B170" s="11" t="s">
        <v>342</v>
      </c>
      <c r="C170" s="12" t="s">
        <v>332</v>
      </c>
      <c r="D170" s="15" t="s">
        <v>350</v>
      </c>
      <c r="E170" s="628">
        <v>36000</v>
      </c>
      <c r="F170" s="13"/>
    </row>
    <row r="171" customHeight="1" spans="1:6">
      <c r="A171" s="27">
        <v>38</v>
      </c>
      <c r="B171" s="18" t="s">
        <v>343</v>
      </c>
      <c r="C171" s="12" t="s">
        <v>332</v>
      </c>
      <c r="D171" s="15" t="s">
        <v>350</v>
      </c>
      <c r="E171" s="628">
        <v>36000</v>
      </c>
      <c r="F171" s="13"/>
    </row>
    <row r="172" customHeight="1" spans="1:6">
      <c r="A172" s="27">
        <v>39</v>
      </c>
      <c r="B172" s="18" t="s">
        <v>344</v>
      </c>
      <c r="C172" s="12" t="s">
        <v>332</v>
      </c>
      <c r="D172" s="15" t="s">
        <v>350</v>
      </c>
      <c r="E172" s="628">
        <v>36000</v>
      </c>
      <c r="F172" s="13"/>
    </row>
    <row r="173" customHeight="1" spans="1:6">
      <c r="A173" s="27">
        <v>40</v>
      </c>
      <c r="B173" s="11" t="s">
        <v>345</v>
      </c>
      <c r="C173" s="12" t="s">
        <v>346</v>
      </c>
      <c r="D173" s="15" t="s">
        <v>353</v>
      </c>
      <c r="E173" s="628">
        <v>36000</v>
      </c>
      <c r="F173" s="13"/>
    </row>
    <row r="174" customHeight="1" spans="1:6">
      <c r="A174" s="27">
        <v>41</v>
      </c>
      <c r="B174" s="11" t="s">
        <v>348</v>
      </c>
      <c r="C174" s="12" t="s">
        <v>346</v>
      </c>
      <c r="D174" s="15" t="s">
        <v>353</v>
      </c>
      <c r="E174" s="628">
        <v>36000</v>
      </c>
      <c r="F174" s="13"/>
    </row>
    <row r="175" customHeight="1" spans="1:6">
      <c r="A175" s="27">
        <v>42</v>
      </c>
      <c r="B175" s="18" t="s">
        <v>349</v>
      </c>
      <c r="C175" s="12" t="s">
        <v>346</v>
      </c>
      <c r="D175" s="15" t="s">
        <v>347</v>
      </c>
      <c r="E175" s="628">
        <v>36000</v>
      </c>
      <c r="F175" s="13"/>
    </row>
    <row r="176" customHeight="1" spans="1:6">
      <c r="A176" s="27">
        <v>43</v>
      </c>
      <c r="B176" s="11" t="s">
        <v>351</v>
      </c>
      <c r="C176" s="12" t="s">
        <v>352</v>
      </c>
      <c r="D176" s="15" t="s">
        <v>356</v>
      </c>
      <c r="E176" s="628">
        <v>36000</v>
      </c>
      <c r="F176" s="13"/>
    </row>
    <row r="177" customHeight="1" spans="1:6">
      <c r="A177" s="27">
        <v>44</v>
      </c>
      <c r="B177" s="11" t="s">
        <v>354</v>
      </c>
      <c r="C177" s="12" t="s">
        <v>355</v>
      </c>
      <c r="D177" s="15" t="s">
        <v>366</v>
      </c>
      <c r="E177" s="628">
        <v>36000</v>
      </c>
      <c r="F177" s="13"/>
    </row>
    <row r="178" customHeight="1" spans="1:6">
      <c r="A178" s="27">
        <v>45</v>
      </c>
      <c r="B178" s="11" t="s">
        <v>357</v>
      </c>
      <c r="C178" s="12" t="s">
        <v>355</v>
      </c>
      <c r="D178" s="15" t="s">
        <v>366</v>
      </c>
      <c r="E178" s="628">
        <v>36000</v>
      </c>
      <c r="F178" s="13"/>
    </row>
    <row r="179" customHeight="1" spans="1:6">
      <c r="A179" s="27">
        <v>46</v>
      </c>
      <c r="B179" s="11" t="s">
        <v>358</v>
      </c>
      <c r="C179" s="12" t="s">
        <v>355</v>
      </c>
      <c r="D179" s="15" t="s">
        <v>366</v>
      </c>
      <c r="E179" s="628">
        <v>36000</v>
      </c>
      <c r="F179" s="13"/>
    </row>
    <row r="180" customHeight="1" spans="1:6">
      <c r="A180" s="27">
        <v>47</v>
      </c>
      <c r="B180" s="11" t="s">
        <v>359</v>
      </c>
      <c r="C180" s="12" t="s">
        <v>355</v>
      </c>
      <c r="D180" s="15" t="s">
        <v>366</v>
      </c>
      <c r="E180" s="628">
        <v>36000</v>
      </c>
      <c r="F180" s="13"/>
    </row>
    <row r="181" customHeight="1" spans="1:6">
      <c r="A181" s="27">
        <v>48</v>
      </c>
      <c r="B181" s="11" t="s">
        <v>360</v>
      </c>
      <c r="C181" s="12" t="s">
        <v>355</v>
      </c>
      <c r="D181" s="15" t="s">
        <v>366</v>
      </c>
      <c r="E181" s="628">
        <v>36000</v>
      </c>
      <c r="F181" s="13"/>
    </row>
    <row r="182" customHeight="1" spans="1:6">
      <c r="A182" s="27">
        <v>49</v>
      </c>
      <c r="B182" s="18" t="s">
        <v>361</v>
      </c>
      <c r="C182" s="12" t="s">
        <v>355</v>
      </c>
      <c r="D182" s="15" t="s">
        <v>366</v>
      </c>
      <c r="E182" s="628">
        <v>36000</v>
      </c>
      <c r="F182" s="13"/>
    </row>
    <row r="183" customHeight="1" spans="1:6">
      <c r="A183" s="27">
        <v>50</v>
      </c>
      <c r="B183" s="18" t="s">
        <v>362</v>
      </c>
      <c r="C183" s="12" t="s">
        <v>355</v>
      </c>
      <c r="D183" s="15" t="s">
        <v>366</v>
      </c>
      <c r="E183" s="628">
        <v>36000</v>
      </c>
      <c r="F183" s="13"/>
    </row>
    <row r="184" customHeight="1" spans="1:6">
      <c r="A184" s="27">
        <v>51</v>
      </c>
      <c r="B184" s="11" t="s">
        <v>499</v>
      </c>
      <c r="C184" s="12" t="s">
        <v>352</v>
      </c>
      <c r="D184" s="15" t="s">
        <v>366</v>
      </c>
      <c r="E184" s="628">
        <v>36000</v>
      </c>
      <c r="F184" s="13"/>
    </row>
    <row r="185" customHeight="1" spans="1:6">
      <c r="A185" s="27">
        <v>52</v>
      </c>
      <c r="B185" s="11" t="s">
        <v>363</v>
      </c>
      <c r="C185" s="12" t="s">
        <v>352</v>
      </c>
      <c r="D185" s="15" t="s">
        <v>366</v>
      </c>
      <c r="E185" s="628">
        <v>36000</v>
      </c>
      <c r="F185" s="13"/>
    </row>
    <row r="186" customHeight="1" spans="1:6">
      <c r="A186" s="27">
        <v>53</v>
      </c>
      <c r="B186" s="18" t="s">
        <v>364</v>
      </c>
      <c r="C186" s="12" t="s">
        <v>365</v>
      </c>
      <c r="D186" s="15" t="s">
        <v>378</v>
      </c>
      <c r="E186" s="628">
        <v>36000</v>
      </c>
      <c r="F186" s="13"/>
    </row>
    <row r="187" customHeight="1" spans="1:6">
      <c r="A187" s="27">
        <v>54</v>
      </c>
      <c r="B187" s="18" t="s">
        <v>369</v>
      </c>
      <c r="C187" s="12" t="s">
        <v>355</v>
      </c>
      <c r="D187" s="15" t="s">
        <v>571</v>
      </c>
      <c r="E187" s="628">
        <v>36000</v>
      </c>
      <c r="F187" s="13"/>
    </row>
    <row r="188" customHeight="1" spans="1:6">
      <c r="A188" s="27">
        <v>55</v>
      </c>
      <c r="B188" s="18" t="s">
        <v>371</v>
      </c>
      <c r="C188" s="12" t="s">
        <v>372</v>
      </c>
      <c r="D188" s="15" t="s">
        <v>572</v>
      </c>
      <c r="E188" s="628">
        <v>36000</v>
      </c>
      <c r="F188" s="13"/>
    </row>
    <row r="189" customHeight="1" spans="1:6">
      <c r="A189" s="27">
        <v>56</v>
      </c>
      <c r="B189" s="18" t="s">
        <v>374</v>
      </c>
      <c r="C189" s="12" t="s">
        <v>372</v>
      </c>
      <c r="D189" s="15" t="s">
        <v>572</v>
      </c>
      <c r="E189" s="628">
        <v>36000</v>
      </c>
      <c r="F189" s="13"/>
    </row>
    <row r="190" customHeight="1" spans="1:6">
      <c r="A190" s="27">
        <v>57</v>
      </c>
      <c r="B190" s="18" t="s">
        <v>375</v>
      </c>
      <c r="C190" s="12" t="s">
        <v>372</v>
      </c>
      <c r="D190" s="15" t="s">
        <v>572</v>
      </c>
      <c r="E190" s="628">
        <v>36000</v>
      </c>
      <c r="F190" s="13"/>
    </row>
    <row r="191" customHeight="1" spans="1:6">
      <c r="A191" s="27">
        <v>58</v>
      </c>
      <c r="B191" s="18" t="s">
        <v>376</v>
      </c>
      <c r="C191" s="12" t="s">
        <v>377</v>
      </c>
      <c r="D191" s="15" t="s">
        <v>368</v>
      </c>
      <c r="E191" s="628">
        <v>36000</v>
      </c>
      <c r="F191" s="13"/>
    </row>
    <row r="192" customHeight="1" spans="1:6">
      <c r="A192" s="27">
        <v>59</v>
      </c>
      <c r="B192" s="18" t="s">
        <v>379</v>
      </c>
      <c r="C192" s="12" t="s">
        <v>377</v>
      </c>
      <c r="D192" s="15" t="s">
        <v>368</v>
      </c>
      <c r="E192" s="628">
        <v>36000</v>
      </c>
      <c r="F192" s="13"/>
    </row>
    <row r="193" ht="30.75" customHeight="1" spans="1:6">
      <c r="A193" s="27"/>
      <c r="B193" s="8" t="s">
        <v>111</v>
      </c>
      <c r="C193" s="28" t="s">
        <v>573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381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644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646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648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732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778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779</v>
      </c>
      <c r="E1" s="624" t="s">
        <v>780</v>
      </c>
      <c r="F1" s="624" t="s">
        <v>781</v>
      </c>
      <c r="G1" s="624" t="s">
        <v>782</v>
      </c>
      <c r="H1" s="624" t="s">
        <v>783</v>
      </c>
      <c r="I1" s="624" t="s">
        <v>784</v>
      </c>
    </row>
    <row r="2" s="1" customFormat="1" ht="33" customHeight="1" spans="1:9">
      <c r="A2" s="18" t="s">
        <v>172</v>
      </c>
      <c r="B2" s="18" t="s">
        <v>555</v>
      </c>
      <c r="C2" s="10" t="s">
        <v>150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785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449</v>
      </c>
      <c r="M4" s="218" t="s">
        <v>12</v>
      </c>
      <c r="N4" s="218" t="s">
        <v>14</v>
      </c>
      <c r="O4" s="24" t="s">
        <v>15</v>
      </c>
      <c r="P4" s="24" t="s">
        <v>709</v>
      </c>
      <c r="Q4" s="24" t="s">
        <v>781</v>
      </c>
      <c r="R4" s="218" t="s">
        <v>16</v>
      </c>
      <c r="S4" s="347" t="s">
        <v>17</v>
      </c>
      <c r="T4" s="80" t="s">
        <v>786</v>
      </c>
      <c r="U4" s="321" t="s">
        <v>787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26</v>
      </c>
      <c r="C7" s="12" t="s">
        <v>27</v>
      </c>
      <c r="D7" s="10" t="s">
        <v>28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29</v>
      </c>
      <c r="C8" s="4" t="s">
        <v>30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273</v>
      </c>
      <c r="C9" s="4" t="s">
        <v>535</v>
      </c>
      <c r="D9" s="10" t="s">
        <v>28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536</v>
      </c>
      <c r="C10" s="10" t="s">
        <v>537</v>
      </c>
      <c r="D10" s="10" t="s">
        <v>28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192</v>
      </c>
      <c r="C11" s="4" t="s">
        <v>130</v>
      </c>
      <c r="D11" s="10" t="s">
        <v>131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36</v>
      </c>
      <c r="C12" s="4" t="s">
        <v>37</v>
      </c>
      <c r="D12" s="10" t="s">
        <v>49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44</v>
      </c>
      <c r="C13" s="4" t="s">
        <v>45</v>
      </c>
      <c r="D13" s="10" t="s">
        <v>199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53</v>
      </c>
      <c r="C14" s="4" t="s">
        <v>54</v>
      </c>
      <c r="D14" s="15" t="s">
        <v>540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66</v>
      </c>
      <c r="C15" s="17" t="s">
        <v>67</v>
      </c>
      <c r="D15" s="10" t="s">
        <v>137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71</v>
      </c>
      <c r="C16" s="17" t="s">
        <v>72</v>
      </c>
      <c r="D16" s="10" t="s">
        <v>73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111</v>
      </c>
      <c r="C17" s="28" t="s">
        <v>496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788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63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536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543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544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546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548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550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551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552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652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444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560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561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563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314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316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318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320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322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371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374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375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376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379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653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654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789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449</v>
      </c>
      <c r="M4" s="218" t="s">
        <v>12</v>
      </c>
      <c r="N4" s="218" t="s">
        <v>14</v>
      </c>
      <c r="O4" s="24" t="s">
        <v>15</v>
      </c>
      <c r="P4" s="218" t="s">
        <v>16</v>
      </c>
      <c r="Q4" s="347" t="s">
        <v>17</v>
      </c>
      <c r="R4" s="80" t="s">
        <v>786</v>
      </c>
      <c r="S4" s="321" t="s">
        <v>787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209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210</v>
      </c>
      <c r="C7" s="4" t="s">
        <v>211</v>
      </c>
      <c r="D7" s="16" t="s">
        <v>154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210</v>
      </c>
      <c r="C8" s="4" t="s">
        <v>211</v>
      </c>
      <c r="D8" s="15" t="s">
        <v>128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781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790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791</v>
      </c>
      <c r="F5" s="218" t="s">
        <v>792</v>
      </c>
      <c r="G5" s="218" t="s">
        <v>793</v>
      </c>
      <c r="H5" s="218" t="s">
        <v>794</v>
      </c>
      <c r="I5" s="218" t="s">
        <v>781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21</v>
      </c>
      <c r="B7" s="8" t="s">
        <v>22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</v>
      </c>
      <c r="C8" s="12" t="s">
        <v>24</v>
      </c>
      <c r="D8" s="12" t="s">
        <v>25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26</v>
      </c>
      <c r="C9" s="12" t="s">
        <v>27</v>
      </c>
      <c r="D9" s="10" t="s">
        <v>28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29</v>
      </c>
      <c r="C10" s="4" t="s">
        <v>30</v>
      </c>
      <c r="D10" s="10" t="s">
        <v>28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31</v>
      </c>
      <c r="C11" s="17" t="s">
        <v>32</v>
      </c>
      <c r="D11" s="10" t="s">
        <v>28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273</v>
      </c>
      <c r="C12" s="4" t="s">
        <v>795</v>
      </c>
      <c r="D12" s="10" t="s">
        <v>28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536</v>
      </c>
      <c r="C13" s="10" t="s">
        <v>537</v>
      </c>
      <c r="D13" s="10" t="s">
        <v>28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33</v>
      </c>
      <c r="C14" s="12" t="s">
        <v>538</v>
      </c>
      <c r="D14" s="15" t="s">
        <v>131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36</v>
      </c>
      <c r="C15" s="4" t="s">
        <v>37</v>
      </c>
      <c r="D15" s="10" t="s">
        <v>49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39</v>
      </c>
      <c r="C16" s="4" t="s">
        <v>40</v>
      </c>
      <c r="D16" s="15" t="s">
        <v>41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42</v>
      </c>
      <c r="C17" s="17" t="s">
        <v>156</v>
      </c>
      <c r="D17" s="15" t="s">
        <v>178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44</v>
      </c>
      <c r="C18" s="4" t="s">
        <v>45</v>
      </c>
      <c r="D18" s="10" t="s">
        <v>199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47</v>
      </c>
      <c r="C19" s="4" t="s">
        <v>539</v>
      </c>
      <c r="D19" s="10" t="s">
        <v>52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50</v>
      </c>
      <c r="C20" s="12" t="s">
        <v>51</v>
      </c>
      <c r="D20" s="15" t="s">
        <v>460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53</v>
      </c>
      <c r="C21" s="4" t="s">
        <v>796</v>
      </c>
      <c r="D21" s="15" t="s">
        <v>540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63</v>
      </c>
      <c r="C22" s="12" t="s">
        <v>64</v>
      </c>
      <c r="D22" s="15" t="s">
        <v>162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66</v>
      </c>
      <c r="C23" s="17" t="s">
        <v>797</v>
      </c>
      <c r="D23" s="10" t="s">
        <v>137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69</v>
      </c>
      <c r="C24" s="17" t="s">
        <v>70</v>
      </c>
      <c r="D24" s="15" t="s">
        <v>137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71</v>
      </c>
      <c r="C25" s="17" t="s">
        <v>72</v>
      </c>
      <c r="D25" s="10" t="s">
        <v>73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77</v>
      </c>
      <c r="C26" s="4" t="s">
        <v>78</v>
      </c>
      <c r="D26" s="10" t="s">
        <v>84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80</v>
      </c>
      <c r="C27" s="12" t="s">
        <v>78</v>
      </c>
      <c r="D27" s="15" t="s">
        <v>84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81</v>
      </c>
      <c r="C28" s="17" t="s">
        <v>67</v>
      </c>
      <c r="D28" s="10" t="s">
        <v>84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82</v>
      </c>
      <c r="C29" s="12" t="s">
        <v>83</v>
      </c>
      <c r="D29" s="15" t="s">
        <v>87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85</v>
      </c>
      <c r="C30" s="4" t="s">
        <v>86</v>
      </c>
      <c r="D30" s="10" t="s">
        <v>96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88</v>
      </c>
      <c r="C31" s="4" t="s">
        <v>86</v>
      </c>
      <c r="D31" s="10" t="s">
        <v>96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89</v>
      </c>
      <c r="C32" s="17" t="s">
        <v>90</v>
      </c>
      <c r="D32" s="15" t="s">
        <v>84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92</v>
      </c>
      <c r="C33" s="4" t="s">
        <v>93</v>
      </c>
      <c r="D33" s="10" t="s">
        <v>102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100</v>
      </c>
      <c r="C34" s="12" t="s">
        <v>101</v>
      </c>
      <c r="D34" s="15" t="s">
        <v>105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111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112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113</v>
      </c>
      <c r="C38" s="4" t="s">
        <v>114</v>
      </c>
      <c r="D38" s="10" t="s">
        <v>115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116</v>
      </c>
      <c r="C39" s="4" t="s">
        <v>798</v>
      </c>
      <c r="D39" s="10" t="s">
        <v>73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118</v>
      </c>
      <c r="C40" s="12" t="s">
        <v>799</v>
      </c>
      <c r="D40" s="15" t="s">
        <v>76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125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541</v>
      </c>
      <c r="C44" s="4" t="s">
        <v>542</v>
      </c>
      <c r="D44" s="10" t="s">
        <v>115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543</v>
      </c>
      <c r="C45" s="4" t="s">
        <v>43</v>
      </c>
      <c r="D45" s="10" t="s">
        <v>131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126</v>
      </c>
      <c r="C46" s="4" t="s">
        <v>127</v>
      </c>
      <c r="D46" s="10" t="s">
        <v>35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129</v>
      </c>
      <c r="C47" s="4" t="s">
        <v>130</v>
      </c>
      <c r="D47" s="10" t="s">
        <v>131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132</v>
      </c>
      <c r="C48" s="4" t="s">
        <v>130</v>
      </c>
      <c r="D48" s="10" t="s">
        <v>131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133</v>
      </c>
      <c r="C49" s="4" t="s">
        <v>130</v>
      </c>
      <c r="D49" s="10" t="s">
        <v>49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134</v>
      </c>
      <c r="C50" s="4" t="s">
        <v>156</v>
      </c>
      <c r="D50" s="16" t="s">
        <v>178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138</v>
      </c>
      <c r="C51" s="4" t="s">
        <v>139</v>
      </c>
      <c r="D51" s="10" t="s">
        <v>76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142</v>
      </c>
      <c r="C52" s="4" t="s">
        <v>139</v>
      </c>
      <c r="D52" s="10" t="s">
        <v>87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544</v>
      </c>
      <c r="C53" s="4" t="s">
        <v>139</v>
      </c>
      <c r="D53" s="10" t="s">
        <v>87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143</v>
      </c>
      <c r="C54" s="4" t="s">
        <v>139</v>
      </c>
      <c r="D54" s="10" t="s">
        <v>87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111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145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545</v>
      </c>
      <c r="C58" s="12" t="s">
        <v>147</v>
      </c>
      <c r="D58" s="15" t="s">
        <v>115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148</v>
      </c>
      <c r="C59" s="12" t="s">
        <v>149</v>
      </c>
      <c r="D59" s="15" t="s">
        <v>150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111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151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546</v>
      </c>
      <c r="C63" s="17" t="s">
        <v>547</v>
      </c>
      <c r="D63" s="10" t="s">
        <v>115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548</v>
      </c>
      <c r="C64" s="17" t="s">
        <v>549</v>
      </c>
      <c r="D64" s="15" t="s">
        <v>38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155</v>
      </c>
      <c r="C65" s="4" t="s">
        <v>156</v>
      </c>
      <c r="D65" s="10" t="s">
        <v>199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550</v>
      </c>
      <c r="C66" s="17" t="s">
        <v>158</v>
      </c>
      <c r="D66" s="15" t="s">
        <v>460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551</v>
      </c>
      <c r="C67" s="17" t="s">
        <v>156</v>
      </c>
      <c r="D67" s="15" t="s">
        <v>41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161</v>
      </c>
      <c r="C68" s="4" t="s">
        <v>139</v>
      </c>
      <c r="D68" s="10" t="s">
        <v>68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163</v>
      </c>
      <c r="C69" s="17" t="s">
        <v>70</v>
      </c>
      <c r="D69" s="10" t="s">
        <v>68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164</v>
      </c>
      <c r="C70" s="17" t="s">
        <v>70</v>
      </c>
      <c r="D70" s="10" t="s">
        <v>68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165</v>
      </c>
      <c r="C71" s="4" t="s">
        <v>166</v>
      </c>
      <c r="D71" s="10" t="s">
        <v>162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168</v>
      </c>
      <c r="C72" s="4" t="s">
        <v>139</v>
      </c>
      <c r="D72" s="10" t="s">
        <v>76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111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169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170</v>
      </c>
      <c r="C76" s="4" t="s">
        <v>171</v>
      </c>
      <c r="D76" s="10" t="s">
        <v>115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552</v>
      </c>
      <c r="C77" s="4" t="s">
        <v>553</v>
      </c>
      <c r="D77" s="15" t="s">
        <v>554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172</v>
      </c>
      <c r="C78" s="12" t="s">
        <v>555</v>
      </c>
      <c r="D78" s="10" t="s">
        <v>150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176</v>
      </c>
      <c r="C79" s="4" t="s">
        <v>177</v>
      </c>
      <c r="D79" s="15" t="s">
        <v>46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183</v>
      </c>
      <c r="C80" s="4" t="s">
        <v>186</v>
      </c>
      <c r="D80" s="10" t="s">
        <v>119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185</v>
      </c>
      <c r="C81" s="4" t="s">
        <v>186</v>
      </c>
      <c r="D81" s="10" t="s">
        <v>87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187</v>
      </c>
      <c r="C82" s="4" t="s">
        <v>188</v>
      </c>
      <c r="D82" s="10" t="s">
        <v>105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111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189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192</v>
      </c>
      <c r="C86" s="4" t="s">
        <v>130</v>
      </c>
      <c r="D86" s="10" t="s">
        <v>131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190</v>
      </c>
      <c r="C87" s="4" t="s">
        <v>130</v>
      </c>
      <c r="D87" s="10" t="s">
        <v>131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195</v>
      </c>
      <c r="C88" s="4" t="s">
        <v>130</v>
      </c>
      <c r="D88" s="10" t="s">
        <v>49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196</v>
      </c>
      <c r="C89" s="4" t="s">
        <v>556</v>
      </c>
      <c r="D89" s="15" t="s">
        <v>52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197</v>
      </c>
      <c r="C90" s="12" t="s">
        <v>158</v>
      </c>
      <c r="D90" s="15" t="s">
        <v>460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198</v>
      </c>
      <c r="C91" s="12" t="s">
        <v>156</v>
      </c>
      <c r="D91" s="15" t="s">
        <v>230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200</v>
      </c>
      <c r="C92" s="17" t="s">
        <v>70</v>
      </c>
      <c r="D92" s="15" t="s">
        <v>68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201</v>
      </c>
      <c r="C93" s="17" t="s">
        <v>158</v>
      </c>
      <c r="D93" s="15" t="s">
        <v>159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204</v>
      </c>
      <c r="C94" s="4" t="s">
        <v>205</v>
      </c>
      <c r="D94" s="10" t="s">
        <v>76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206</v>
      </c>
      <c r="C95" s="17" t="s">
        <v>207</v>
      </c>
      <c r="D95" s="15" t="s">
        <v>102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111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209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210</v>
      </c>
      <c r="C99" s="4" t="s">
        <v>211</v>
      </c>
      <c r="D99" s="16" t="s">
        <v>154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213</v>
      </c>
      <c r="C100" s="4" t="s">
        <v>214</v>
      </c>
      <c r="D100" s="15" t="s">
        <v>46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219</v>
      </c>
      <c r="C101" s="4" t="s">
        <v>220</v>
      </c>
      <c r="D101" s="15" t="s">
        <v>162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221</v>
      </c>
      <c r="C102" s="4" t="s">
        <v>222</v>
      </c>
      <c r="D102" s="15" t="s">
        <v>76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111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223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224</v>
      </c>
      <c r="C106" s="12" t="s">
        <v>225</v>
      </c>
      <c r="D106" s="15" t="s">
        <v>115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226</v>
      </c>
      <c r="C107" s="4" t="s">
        <v>227</v>
      </c>
      <c r="D107" s="16" t="s">
        <v>154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228</v>
      </c>
      <c r="C108" s="4" t="s">
        <v>442</v>
      </c>
      <c r="D108" s="10" t="s">
        <v>52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231</v>
      </c>
      <c r="C109" s="4" t="s">
        <v>442</v>
      </c>
      <c r="D109" s="10" t="s">
        <v>52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232</v>
      </c>
      <c r="C110" s="4" t="s">
        <v>233</v>
      </c>
      <c r="D110" s="15" t="s">
        <v>557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235</v>
      </c>
      <c r="C111" s="4" t="s">
        <v>233</v>
      </c>
      <c r="D111" s="10" t="s">
        <v>558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236</v>
      </c>
      <c r="C112" s="4" t="s">
        <v>233</v>
      </c>
      <c r="D112" s="15" t="s">
        <v>102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111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237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152</v>
      </c>
      <c r="C116" s="4" t="s">
        <v>130</v>
      </c>
      <c r="D116" s="10" t="s">
        <v>38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238</v>
      </c>
      <c r="C117" s="4" t="s">
        <v>239</v>
      </c>
      <c r="D117" s="15" t="s">
        <v>162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179</v>
      </c>
      <c r="C118" s="12" t="s">
        <v>559</v>
      </c>
      <c r="D118" s="15" t="s">
        <v>65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111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252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253</v>
      </c>
      <c r="C122" s="12" t="s">
        <v>254</v>
      </c>
      <c r="D122" s="15" t="s">
        <v>115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255</v>
      </c>
      <c r="C123" s="12" t="s">
        <v>256</v>
      </c>
      <c r="D123" s="15" t="s">
        <v>35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257</v>
      </c>
      <c r="C124" s="12" t="s">
        <v>258</v>
      </c>
      <c r="D124" s="15" t="s">
        <v>131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560</v>
      </c>
      <c r="C125" s="12" t="s">
        <v>258</v>
      </c>
      <c r="D125" s="15" t="s">
        <v>49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259</v>
      </c>
      <c r="C126" s="12" t="s">
        <v>260</v>
      </c>
      <c r="D126" s="15" t="s">
        <v>178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261</v>
      </c>
      <c r="C127" s="12" t="s">
        <v>495</v>
      </c>
      <c r="D127" s="15" t="s">
        <v>199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262</v>
      </c>
      <c r="C128" s="12" t="s">
        <v>260</v>
      </c>
      <c r="D128" s="15" t="s">
        <v>46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265</v>
      </c>
      <c r="C129" s="12" t="s">
        <v>266</v>
      </c>
      <c r="D129" s="10" t="s">
        <v>84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267</v>
      </c>
      <c r="C130" s="12" t="s">
        <v>268</v>
      </c>
      <c r="D130" s="15" t="s">
        <v>105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269</v>
      </c>
      <c r="C131" s="12" t="s">
        <v>264</v>
      </c>
      <c r="D131" s="15" t="s">
        <v>105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111</v>
      </c>
      <c r="C132" s="26" t="s">
        <v>496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272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561</v>
      </c>
      <c r="C135" s="12" t="s">
        <v>562</v>
      </c>
      <c r="D135" s="15" t="s">
        <v>115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563</v>
      </c>
      <c r="C136" s="12" t="s">
        <v>564</v>
      </c>
      <c r="D136" s="15" t="s">
        <v>154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276</v>
      </c>
      <c r="C137" s="4" t="s">
        <v>277</v>
      </c>
      <c r="D137" s="16" t="s">
        <v>154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278</v>
      </c>
      <c r="C138" s="12" t="s">
        <v>565</v>
      </c>
      <c r="D138" s="15" t="s">
        <v>41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280</v>
      </c>
      <c r="C139" s="4" t="s">
        <v>566</v>
      </c>
      <c r="D139" s="15" t="s">
        <v>41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282</v>
      </c>
      <c r="C140" s="4" t="s">
        <v>566</v>
      </c>
      <c r="D140" s="15" t="s">
        <v>41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215</v>
      </c>
      <c r="C141" s="12" t="s">
        <v>567</v>
      </c>
      <c r="D141" s="15" t="s">
        <v>65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283</v>
      </c>
      <c r="C142" s="12" t="s">
        <v>567</v>
      </c>
      <c r="D142" s="15" t="s">
        <v>65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284</v>
      </c>
      <c r="C143" s="4" t="s">
        <v>568</v>
      </c>
      <c r="D143" s="15" t="s">
        <v>65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286</v>
      </c>
      <c r="C144" s="12" t="s">
        <v>287</v>
      </c>
      <c r="D144" s="15" t="s">
        <v>162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288</v>
      </c>
      <c r="C145" s="12" t="s">
        <v>289</v>
      </c>
      <c r="D145" s="15" t="s">
        <v>68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60</v>
      </c>
      <c r="C146" s="12" t="s">
        <v>569</v>
      </c>
      <c r="D146" s="15" t="s">
        <v>65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290</v>
      </c>
      <c r="C147" s="4" t="s">
        <v>291</v>
      </c>
      <c r="D147" s="15" t="s">
        <v>137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292</v>
      </c>
      <c r="C148" s="4" t="s">
        <v>570</v>
      </c>
      <c r="D148" s="15" t="s">
        <v>119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293</v>
      </c>
      <c r="C149" s="4" t="s">
        <v>570</v>
      </c>
      <c r="D149" s="15" t="s">
        <v>302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295</v>
      </c>
      <c r="C150" s="4" t="s">
        <v>570</v>
      </c>
      <c r="D150" s="15" t="s">
        <v>302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296</v>
      </c>
      <c r="C151" s="12" t="s">
        <v>297</v>
      </c>
      <c r="D151" s="15" t="s">
        <v>76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298</v>
      </c>
      <c r="C152" s="12" t="s">
        <v>299</v>
      </c>
      <c r="D152" s="10" t="s">
        <v>87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300</v>
      </c>
      <c r="C153" s="12" t="s">
        <v>301</v>
      </c>
      <c r="D153" s="15" t="s">
        <v>119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303</v>
      </c>
      <c r="C154" s="12" t="s">
        <v>304</v>
      </c>
      <c r="D154" s="15" t="s">
        <v>84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305</v>
      </c>
      <c r="C155" s="12" t="s">
        <v>306</v>
      </c>
      <c r="D155" s="15" t="s">
        <v>119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307</v>
      </c>
      <c r="C156" s="12" t="s">
        <v>308</v>
      </c>
      <c r="D156" s="15" t="s">
        <v>84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309</v>
      </c>
      <c r="C157" s="12" t="s">
        <v>310</v>
      </c>
      <c r="D157" s="15" t="s">
        <v>96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314</v>
      </c>
      <c r="C158" s="12" t="s">
        <v>315</v>
      </c>
      <c r="D158" s="15" t="s">
        <v>105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316</v>
      </c>
      <c r="C159" s="12" t="s">
        <v>317</v>
      </c>
      <c r="D159" s="15" t="s">
        <v>105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318</v>
      </c>
      <c r="C160" s="12" t="s">
        <v>319</v>
      </c>
      <c r="D160" s="15" t="s">
        <v>105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320</v>
      </c>
      <c r="C161" s="12" t="s">
        <v>321</v>
      </c>
      <c r="D161" s="15" t="s">
        <v>102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322</v>
      </c>
      <c r="C162" s="12" t="s">
        <v>317</v>
      </c>
      <c r="D162" s="15" t="s">
        <v>105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331</v>
      </c>
      <c r="C163" s="12" t="s">
        <v>332</v>
      </c>
      <c r="D163" s="15" t="s">
        <v>339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334</v>
      </c>
      <c r="C164" s="12" t="s">
        <v>332</v>
      </c>
      <c r="D164" s="15" t="s">
        <v>339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335</v>
      </c>
      <c r="C165" s="12" t="s">
        <v>332</v>
      </c>
      <c r="D165" s="15" t="s">
        <v>339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336</v>
      </c>
      <c r="C166" s="12" t="s">
        <v>332</v>
      </c>
      <c r="D166" s="15" t="s">
        <v>339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337</v>
      </c>
      <c r="C167" s="12" t="s">
        <v>332</v>
      </c>
      <c r="D167" s="15" t="s">
        <v>339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338</v>
      </c>
      <c r="C168" s="12" t="s">
        <v>332</v>
      </c>
      <c r="D168" s="15" t="s">
        <v>350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340</v>
      </c>
      <c r="C169" s="12" t="s">
        <v>332</v>
      </c>
      <c r="D169" s="15" t="s">
        <v>350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341</v>
      </c>
      <c r="C170" s="12" t="s">
        <v>332</v>
      </c>
      <c r="D170" s="15" t="s">
        <v>350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342</v>
      </c>
      <c r="C171" s="12" t="s">
        <v>332</v>
      </c>
      <c r="D171" s="15" t="s">
        <v>350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343</v>
      </c>
      <c r="C172" s="12" t="s">
        <v>332</v>
      </c>
      <c r="D172" s="15" t="s">
        <v>350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344</v>
      </c>
      <c r="C173" s="12" t="s">
        <v>332</v>
      </c>
      <c r="D173" s="15" t="s">
        <v>350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345</v>
      </c>
      <c r="C174" s="12" t="s">
        <v>346</v>
      </c>
      <c r="D174" s="15" t="s">
        <v>353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348</v>
      </c>
      <c r="C175" s="12" t="s">
        <v>346</v>
      </c>
      <c r="D175" s="15" t="s">
        <v>353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349</v>
      </c>
      <c r="C176" s="12" t="s">
        <v>346</v>
      </c>
      <c r="D176" s="15" t="s">
        <v>347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351</v>
      </c>
      <c r="C177" s="12" t="s">
        <v>352</v>
      </c>
      <c r="D177" s="15" t="s">
        <v>356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354</v>
      </c>
      <c r="C178" s="12" t="s">
        <v>355</v>
      </c>
      <c r="D178" s="15" t="s">
        <v>366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357</v>
      </c>
      <c r="C179" s="12" t="s">
        <v>355</v>
      </c>
      <c r="D179" s="15" t="s">
        <v>366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358</v>
      </c>
      <c r="C180" s="12" t="s">
        <v>355</v>
      </c>
      <c r="D180" s="15" t="s">
        <v>366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359</v>
      </c>
      <c r="C181" s="12" t="s">
        <v>355</v>
      </c>
      <c r="D181" s="15" t="s">
        <v>366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360</v>
      </c>
      <c r="C182" s="12" t="s">
        <v>355</v>
      </c>
      <c r="D182" s="15" t="s">
        <v>366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361</v>
      </c>
      <c r="C183" s="12" t="s">
        <v>355</v>
      </c>
      <c r="D183" s="15" t="s">
        <v>366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362</v>
      </c>
      <c r="C184" s="12" t="s">
        <v>355</v>
      </c>
      <c r="D184" s="15" t="s">
        <v>366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499</v>
      </c>
      <c r="C185" s="12" t="s">
        <v>352</v>
      </c>
      <c r="D185" s="15" t="s">
        <v>366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363</v>
      </c>
      <c r="C186" s="12" t="s">
        <v>352</v>
      </c>
      <c r="D186" s="15" t="s">
        <v>366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364</v>
      </c>
      <c r="C187" s="12" t="s">
        <v>365</v>
      </c>
      <c r="D187" s="15" t="s">
        <v>378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369</v>
      </c>
      <c r="C188" s="12" t="s">
        <v>355</v>
      </c>
      <c r="D188" s="15" t="s">
        <v>571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371</v>
      </c>
      <c r="C189" s="12" t="s">
        <v>372</v>
      </c>
      <c r="D189" s="15" t="s">
        <v>572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374</v>
      </c>
      <c r="C190" s="12" t="s">
        <v>372</v>
      </c>
      <c r="D190" s="15" t="s">
        <v>572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375</v>
      </c>
      <c r="C191" s="12" t="s">
        <v>372</v>
      </c>
      <c r="D191" s="15" t="s">
        <v>572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376</v>
      </c>
      <c r="C192" s="12" t="s">
        <v>377</v>
      </c>
      <c r="D192" s="15" t="s">
        <v>368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379</v>
      </c>
      <c r="C193" s="12" t="s">
        <v>377</v>
      </c>
      <c r="D193" s="15" t="s">
        <v>368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111</v>
      </c>
      <c r="C194" s="28" t="s">
        <v>573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381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800</v>
      </c>
      <c r="E1" s="610" t="s">
        <v>15</v>
      </c>
      <c r="F1" s="611"/>
      <c r="G1" s="611"/>
    </row>
    <row r="2" ht="36" customHeight="1" spans="1:7">
      <c r="A2" s="18" t="s">
        <v>100</v>
      </c>
      <c r="B2" s="12" t="s">
        <v>101</v>
      </c>
      <c r="C2" s="612" t="s">
        <v>108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100</v>
      </c>
      <c r="B3" s="12" t="s">
        <v>101</v>
      </c>
      <c r="C3" s="612" t="s">
        <v>105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444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801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642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180000</v>
      </c>
    </row>
    <row r="11" customHeight="1" spans="1:5">
      <c r="A11" s="10">
        <v>5</v>
      </c>
      <c r="B11" s="14" t="s">
        <v>273</v>
      </c>
      <c r="C11" s="4" t="s">
        <v>535</v>
      </c>
      <c r="D11" s="10" t="s">
        <v>28</v>
      </c>
      <c r="E11" s="85">
        <v>180000</v>
      </c>
    </row>
    <row r="12" customHeight="1" spans="1:5">
      <c r="A12" s="10">
        <v>6</v>
      </c>
      <c r="B12" s="18" t="s">
        <v>536</v>
      </c>
      <c r="C12" s="10" t="s">
        <v>537</v>
      </c>
      <c r="D12" s="10" t="s">
        <v>28</v>
      </c>
      <c r="E12" s="85">
        <v>180000</v>
      </c>
    </row>
    <row r="13" customHeight="1" spans="1:5">
      <c r="A13" s="10">
        <v>7</v>
      </c>
      <c r="B13" s="11" t="s">
        <v>33</v>
      </c>
      <c r="C13" s="12" t="s">
        <v>538</v>
      </c>
      <c r="D13" s="15" t="s">
        <v>131</v>
      </c>
      <c r="E13" s="85">
        <v>126000</v>
      </c>
    </row>
    <row r="14" customHeight="1" spans="1:5">
      <c r="A14" s="10">
        <v>8</v>
      </c>
      <c r="B14" s="11" t="s">
        <v>36</v>
      </c>
      <c r="C14" s="4" t="s">
        <v>37</v>
      </c>
      <c r="D14" s="10" t="s">
        <v>49</v>
      </c>
      <c r="E14" s="85">
        <v>126000</v>
      </c>
    </row>
    <row r="15" customHeight="1" spans="1:5">
      <c r="A15" s="10">
        <v>9</v>
      </c>
      <c r="B15" s="11" t="s">
        <v>39</v>
      </c>
      <c r="C15" s="4" t="s">
        <v>40</v>
      </c>
      <c r="D15" s="15" t="s">
        <v>41</v>
      </c>
      <c r="E15" s="85">
        <v>90000</v>
      </c>
    </row>
    <row r="16" customHeight="1" spans="1:5">
      <c r="A16" s="10">
        <v>10</v>
      </c>
      <c r="B16" s="14" t="s">
        <v>42</v>
      </c>
      <c r="C16" s="17" t="s">
        <v>156</v>
      </c>
      <c r="D16" s="15" t="s">
        <v>178</v>
      </c>
      <c r="E16" s="85">
        <v>90000</v>
      </c>
    </row>
    <row r="17" customHeight="1" spans="1:5">
      <c r="A17" s="10">
        <v>11</v>
      </c>
      <c r="B17" s="11" t="s">
        <v>44</v>
      </c>
      <c r="C17" s="4" t="s">
        <v>45</v>
      </c>
      <c r="D17" s="10" t="s">
        <v>199</v>
      </c>
      <c r="E17" s="85">
        <v>90000</v>
      </c>
    </row>
    <row r="18" customHeight="1" spans="1:5">
      <c r="A18" s="10">
        <v>12</v>
      </c>
      <c r="B18" s="11" t="s">
        <v>47</v>
      </c>
      <c r="C18" s="4" t="s">
        <v>539</v>
      </c>
      <c r="D18" s="10" t="s">
        <v>52</v>
      </c>
      <c r="E18" s="85">
        <v>90000</v>
      </c>
    </row>
    <row r="19" customHeight="1" spans="1:5">
      <c r="A19" s="10">
        <v>13</v>
      </c>
      <c r="B19" s="11" t="s">
        <v>50</v>
      </c>
      <c r="C19" s="12" t="s">
        <v>51</v>
      </c>
      <c r="D19" s="15" t="s">
        <v>460</v>
      </c>
      <c r="E19" s="85">
        <v>90000</v>
      </c>
    </row>
    <row r="20" customHeight="1" spans="1:5">
      <c r="A20" s="10">
        <v>14</v>
      </c>
      <c r="B20" s="18" t="s">
        <v>53</v>
      </c>
      <c r="C20" s="4" t="s">
        <v>54</v>
      </c>
      <c r="D20" s="15" t="s">
        <v>540</v>
      </c>
      <c r="E20" s="85">
        <v>90000</v>
      </c>
    </row>
    <row r="21" ht="18.75" customHeight="1" spans="1:5">
      <c r="A21" s="10">
        <v>15</v>
      </c>
      <c r="B21" s="11" t="s">
        <v>63</v>
      </c>
      <c r="C21" s="12" t="s">
        <v>64</v>
      </c>
      <c r="D21" s="15" t="s">
        <v>162</v>
      </c>
      <c r="E21" s="85">
        <v>68000</v>
      </c>
    </row>
    <row r="22" customHeight="1" spans="1:5">
      <c r="A22" s="10">
        <v>16</v>
      </c>
      <c r="B22" s="14" t="s">
        <v>66</v>
      </c>
      <c r="C22" s="17" t="s">
        <v>67</v>
      </c>
      <c r="D22" s="10" t="s">
        <v>137</v>
      </c>
      <c r="E22" s="85">
        <v>68000</v>
      </c>
    </row>
    <row r="23" ht="21.6" customHeight="1" spans="1:5">
      <c r="A23" s="10">
        <v>17</v>
      </c>
      <c r="B23" s="11" t="s">
        <v>69</v>
      </c>
      <c r="C23" s="17" t="s">
        <v>70</v>
      </c>
      <c r="D23" s="15" t="s">
        <v>137</v>
      </c>
      <c r="E23" s="85">
        <v>68000</v>
      </c>
    </row>
    <row r="24" customHeight="1" spans="1:5">
      <c r="A24" s="10">
        <v>18</v>
      </c>
      <c r="B24" s="14" t="s">
        <v>71</v>
      </c>
      <c r="C24" s="17" t="s">
        <v>72</v>
      </c>
      <c r="D24" s="10" t="s">
        <v>73</v>
      </c>
      <c r="E24" s="85">
        <v>68000</v>
      </c>
    </row>
    <row r="25" ht="18.75" customHeight="1" spans="1:5">
      <c r="A25" s="10">
        <v>19</v>
      </c>
      <c r="B25" s="4" t="s">
        <v>77</v>
      </c>
      <c r="C25" s="4" t="s">
        <v>78</v>
      </c>
      <c r="D25" s="10" t="s">
        <v>84</v>
      </c>
      <c r="E25" s="85">
        <v>54000</v>
      </c>
    </row>
    <row r="26" ht="18.75" customHeight="1" spans="1:5">
      <c r="A26" s="10">
        <v>20</v>
      </c>
      <c r="B26" s="18" t="s">
        <v>80</v>
      </c>
      <c r="C26" s="12" t="s">
        <v>78</v>
      </c>
      <c r="D26" s="15" t="s">
        <v>84</v>
      </c>
      <c r="E26" s="85">
        <v>54000</v>
      </c>
    </row>
    <row r="27" customHeight="1" spans="1:5">
      <c r="A27" s="10">
        <v>21</v>
      </c>
      <c r="B27" s="11" t="s">
        <v>81</v>
      </c>
      <c r="C27" s="17" t="s">
        <v>67</v>
      </c>
      <c r="D27" s="10" t="s">
        <v>84</v>
      </c>
      <c r="E27" s="85">
        <v>54000</v>
      </c>
    </row>
    <row r="28" ht="18.75" customHeight="1" spans="1:5">
      <c r="A28" s="10">
        <v>22</v>
      </c>
      <c r="B28" s="18" t="s">
        <v>82</v>
      </c>
      <c r="C28" s="12" t="s">
        <v>83</v>
      </c>
      <c r="D28" s="15" t="s">
        <v>87</v>
      </c>
      <c r="E28" s="85">
        <v>54000</v>
      </c>
    </row>
    <row r="29" ht="18.75" customHeight="1" spans="1:5">
      <c r="A29" s="10">
        <v>23</v>
      </c>
      <c r="B29" s="18" t="s">
        <v>85</v>
      </c>
      <c r="C29" s="4" t="s">
        <v>86</v>
      </c>
      <c r="D29" s="10" t="s">
        <v>96</v>
      </c>
      <c r="E29" s="85">
        <v>54000</v>
      </c>
    </row>
    <row r="30" ht="18.75" customHeight="1" spans="1:5">
      <c r="A30" s="10">
        <v>24</v>
      </c>
      <c r="B30" s="18" t="s">
        <v>88</v>
      </c>
      <c r="C30" s="4" t="s">
        <v>86</v>
      </c>
      <c r="D30" s="10" t="s">
        <v>96</v>
      </c>
      <c r="E30" s="85">
        <v>54000</v>
      </c>
    </row>
    <row r="31" ht="18.75" customHeight="1" spans="1:5">
      <c r="A31" s="10">
        <v>25</v>
      </c>
      <c r="B31" s="18" t="s">
        <v>89</v>
      </c>
      <c r="C31" s="17" t="s">
        <v>90</v>
      </c>
      <c r="D31" s="15" t="s">
        <v>84</v>
      </c>
      <c r="E31" s="85">
        <v>54000</v>
      </c>
    </row>
    <row r="32" ht="18.75" customHeight="1" spans="1:5">
      <c r="A32" s="10">
        <v>26</v>
      </c>
      <c r="B32" s="18" t="s">
        <v>92</v>
      </c>
      <c r="C32" s="4" t="s">
        <v>93</v>
      </c>
      <c r="D32" s="10" t="s">
        <v>102</v>
      </c>
      <c r="E32" s="85">
        <v>54000</v>
      </c>
    </row>
    <row r="33" ht="18.75" customHeight="1" spans="1:5">
      <c r="A33" s="10">
        <v>27</v>
      </c>
      <c r="B33" s="18" t="s">
        <v>100</v>
      </c>
      <c r="C33" s="12" t="s">
        <v>101</v>
      </c>
      <c r="D33" s="15" t="s">
        <v>105</v>
      </c>
      <c r="E33" s="85">
        <v>54000</v>
      </c>
    </row>
    <row r="34" ht="26.25" customHeight="1" spans="1:5">
      <c r="A34" s="10"/>
      <c r="B34" s="20" t="s">
        <v>111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112</v>
      </c>
      <c r="C36" s="4"/>
      <c r="D36" s="15"/>
      <c r="E36" s="85"/>
    </row>
    <row r="37" ht="18.75" customHeight="1" spans="1:5">
      <c r="A37" s="10">
        <v>1</v>
      </c>
      <c r="B37" s="18" t="s">
        <v>113</v>
      </c>
      <c r="C37" s="4" t="s">
        <v>114</v>
      </c>
      <c r="D37" s="10" t="s">
        <v>115</v>
      </c>
      <c r="E37" s="85">
        <v>270000</v>
      </c>
    </row>
    <row r="38" ht="18.75" customHeight="1" spans="1:5">
      <c r="A38" s="10">
        <v>2</v>
      </c>
      <c r="B38" s="18" t="s">
        <v>116</v>
      </c>
      <c r="C38" s="4" t="s">
        <v>802</v>
      </c>
      <c r="D38" s="10" t="s">
        <v>73</v>
      </c>
      <c r="E38" s="85">
        <v>68000</v>
      </c>
    </row>
    <row r="39" ht="18.75" customHeight="1" spans="1:5">
      <c r="A39" s="10">
        <v>3</v>
      </c>
      <c r="B39" s="11" t="s">
        <v>118</v>
      </c>
      <c r="C39" s="12" t="s">
        <v>799</v>
      </c>
      <c r="D39" s="15" t="s">
        <v>76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125</v>
      </c>
      <c r="C42" s="5"/>
      <c r="D42" s="24"/>
      <c r="E42" s="221"/>
    </row>
    <row r="43" customHeight="1" spans="1:5">
      <c r="A43" s="10">
        <v>1</v>
      </c>
      <c r="B43" s="11" t="s">
        <v>541</v>
      </c>
      <c r="C43" s="4" t="s">
        <v>542</v>
      </c>
      <c r="D43" s="10" t="s">
        <v>115</v>
      </c>
      <c r="E43" s="85">
        <v>270000</v>
      </c>
    </row>
    <row r="44" customHeight="1" spans="1:5">
      <c r="A44" s="10">
        <v>2</v>
      </c>
      <c r="B44" s="11" t="s">
        <v>543</v>
      </c>
      <c r="C44" s="4" t="s">
        <v>43</v>
      </c>
      <c r="D44" s="10" t="s">
        <v>131</v>
      </c>
      <c r="E44" s="85">
        <v>126000</v>
      </c>
    </row>
    <row r="45" customHeight="1" spans="1:5">
      <c r="A45" s="10">
        <v>3</v>
      </c>
      <c r="B45" s="11" t="s">
        <v>126</v>
      </c>
      <c r="C45" s="4" t="s">
        <v>127</v>
      </c>
      <c r="D45" s="10" t="s">
        <v>35</v>
      </c>
      <c r="E45" s="85">
        <v>180000</v>
      </c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85">
        <v>126000</v>
      </c>
    </row>
    <row r="47" customHeight="1" spans="1:5">
      <c r="A47" s="10">
        <v>5</v>
      </c>
      <c r="B47" s="11" t="s">
        <v>132</v>
      </c>
      <c r="C47" s="4" t="s">
        <v>130</v>
      </c>
      <c r="D47" s="10" t="s">
        <v>131</v>
      </c>
      <c r="E47" s="85">
        <v>126000</v>
      </c>
    </row>
    <row r="48" customHeight="1" spans="1:5">
      <c r="A48" s="10">
        <v>6</v>
      </c>
      <c r="B48" s="11" t="s">
        <v>133</v>
      </c>
      <c r="C48" s="4" t="s">
        <v>130</v>
      </c>
      <c r="D48" s="10" t="s">
        <v>49</v>
      </c>
      <c r="E48" s="85">
        <v>126000</v>
      </c>
    </row>
    <row r="49" customHeight="1" spans="1:5">
      <c r="A49" s="10">
        <v>7</v>
      </c>
      <c r="B49" s="14" t="s">
        <v>134</v>
      </c>
      <c r="C49" s="4" t="s">
        <v>156</v>
      </c>
      <c r="D49" s="16" t="s">
        <v>178</v>
      </c>
      <c r="E49" s="85">
        <v>90000</v>
      </c>
    </row>
    <row r="50" customHeight="1" spans="1:5">
      <c r="A50" s="10">
        <v>8</v>
      </c>
      <c r="B50" s="11" t="s">
        <v>138</v>
      </c>
      <c r="C50" s="4" t="s">
        <v>139</v>
      </c>
      <c r="D50" s="10" t="s">
        <v>76</v>
      </c>
      <c r="E50" s="85">
        <v>68000</v>
      </c>
    </row>
    <row r="51" customHeight="1" spans="1:5">
      <c r="A51" s="10">
        <v>9</v>
      </c>
      <c r="B51" s="11" t="s">
        <v>142</v>
      </c>
      <c r="C51" s="4" t="s">
        <v>139</v>
      </c>
      <c r="D51" s="10" t="s">
        <v>87</v>
      </c>
      <c r="E51" s="85">
        <v>54000</v>
      </c>
    </row>
    <row r="52" customHeight="1" spans="1:5">
      <c r="A52" s="10">
        <v>10</v>
      </c>
      <c r="B52" s="11" t="s">
        <v>544</v>
      </c>
      <c r="C52" s="4" t="s">
        <v>139</v>
      </c>
      <c r="D52" s="10" t="s">
        <v>87</v>
      </c>
      <c r="E52" s="85">
        <v>54000</v>
      </c>
    </row>
    <row r="53" customHeight="1" spans="1:5">
      <c r="A53" s="10">
        <v>11</v>
      </c>
      <c r="B53" s="11" t="s">
        <v>143</v>
      </c>
      <c r="C53" s="4" t="s">
        <v>139</v>
      </c>
      <c r="D53" s="10" t="s">
        <v>87</v>
      </c>
      <c r="E53" s="85">
        <v>54000</v>
      </c>
    </row>
    <row r="54" ht="25.5" customHeight="1" spans="1:5">
      <c r="A54" s="10"/>
      <c r="B54" s="20" t="s">
        <v>111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145</v>
      </c>
      <c r="C56" s="21"/>
      <c r="D56" s="21"/>
      <c r="E56" s="146"/>
    </row>
    <row r="57" customHeight="1" spans="1:5">
      <c r="A57" s="10">
        <v>1</v>
      </c>
      <c r="B57" s="11" t="s">
        <v>545</v>
      </c>
      <c r="C57" s="12" t="s">
        <v>147</v>
      </c>
      <c r="D57" s="15" t="s">
        <v>115</v>
      </c>
      <c r="E57" s="85">
        <v>270000</v>
      </c>
    </row>
    <row r="58" customHeight="1" spans="1:5">
      <c r="A58" s="10">
        <v>2</v>
      </c>
      <c r="B58" s="11" t="s">
        <v>148</v>
      </c>
      <c r="C58" s="12" t="s">
        <v>149</v>
      </c>
      <c r="D58" s="15" t="s">
        <v>150</v>
      </c>
      <c r="E58" s="85">
        <v>126000</v>
      </c>
    </row>
    <row r="59" customHeight="1" spans="1:5">
      <c r="A59" s="10"/>
      <c r="B59" s="20" t="s">
        <v>111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151</v>
      </c>
      <c r="C61" s="21"/>
      <c r="D61" s="21"/>
      <c r="E61" s="146"/>
    </row>
    <row r="62" customHeight="1" spans="1:5">
      <c r="A62" s="10">
        <v>1</v>
      </c>
      <c r="B62" s="11" t="s">
        <v>546</v>
      </c>
      <c r="C62" s="17" t="s">
        <v>547</v>
      </c>
      <c r="D62" s="10" t="s">
        <v>115</v>
      </c>
      <c r="E62" s="85">
        <v>270000</v>
      </c>
    </row>
    <row r="63" customHeight="1" spans="1:5">
      <c r="A63" s="10">
        <v>2</v>
      </c>
      <c r="B63" s="351" t="s">
        <v>548</v>
      </c>
      <c r="C63" s="17" t="s">
        <v>549</v>
      </c>
      <c r="D63" s="15" t="s">
        <v>38</v>
      </c>
      <c r="E63" s="85">
        <v>126000</v>
      </c>
    </row>
    <row r="64" customHeight="1" spans="1:5">
      <c r="A64" s="10">
        <v>3</v>
      </c>
      <c r="B64" s="11" t="s">
        <v>155</v>
      </c>
      <c r="C64" s="4" t="s">
        <v>156</v>
      </c>
      <c r="D64" s="10" t="s">
        <v>199</v>
      </c>
      <c r="E64" s="85">
        <v>90000</v>
      </c>
    </row>
    <row r="65" customHeight="1" spans="1:5">
      <c r="A65" s="10">
        <v>4</v>
      </c>
      <c r="B65" s="18" t="s">
        <v>550</v>
      </c>
      <c r="C65" s="17" t="s">
        <v>158</v>
      </c>
      <c r="D65" s="15" t="s">
        <v>460</v>
      </c>
      <c r="E65" s="85">
        <v>90000</v>
      </c>
    </row>
    <row r="66" customHeight="1" spans="1:5">
      <c r="A66" s="10">
        <v>5</v>
      </c>
      <c r="B66" s="14" t="s">
        <v>551</v>
      </c>
      <c r="C66" s="17" t="s">
        <v>156</v>
      </c>
      <c r="D66" s="15" t="s">
        <v>41</v>
      </c>
      <c r="E66" s="85">
        <v>90000</v>
      </c>
    </row>
    <row r="67" customHeight="1" spans="1:5">
      <c r="A67" s="10">
        <v>7</v>
      </c>
      <c r="B67" s="11" t="s">
        <v>161</v>
      </c>
      <c r="C67" s="4" t="s">
        <v>139</v>
      </c>
      <c r="D67" s="10" t="s">
        <v>68</v>
      </c>
      <c r="E67" s="85">
        <v>68000</v>
      </c>
    </row>
    <row r="68" customHeight="1" spans="1:5">
      <c r="A68" s="10">
        <v>8</v>
      </c>
      <c r="B68" s="11" t="s">
        <v>163</v>
      </c>
      <c r="C68" s="17" t="s">
        <v>70</v>
      </c>
      <c r="D68" s="10" t="s">
        <v>68</v>
      </c>
      <c r="E68" s="85">
        <v>68000</v>
      </c>
    </row>
    <row r="69" customHeight="1" spans="1:5">
      <c r="A69" s="10">
        <v>9</v>
      </c>
      <c r="B69" s="11" t="s">
        <v>164</v>
      </c>
      <c r="C69" s="17" t="s">
        <v>70</v>
      </c>
      <c r="D69" s="10" t="s">
        <v>68</v>
      </c>
      <c r="E69" s="85">
        <v>68000</v>
      </c>
    </row>
    <row r="70" customHeight="1" spans="1:5">
      <c r="A70" s="10">
        <v>10</v>
      </c>
      <c r="B70" s="11" t="s">
        <v>165</v>
      </c>
      <c r="C70" s="4" t="s">
        <v>166</v>
      </c>
      <c r="D70" s="10" t="s">
        <v>162</v>
      </c>
      <c r="E70" s="85">
        <v>68000</v>
      </c>
    </row>
    <row r="71" ht="21.6" customHeight="1" spans="1:5">
      <c r="A71" s="10">
        <v>11</v>
      </c>
      <c r="B71" s="11" t="s">
        <v>168</v>
      </c>
      <c r="C71" s="4" t="s">
        <v>139</v>
      </c>
      <c r="D71" s="10" t="s">
        <v>76</v>
      </c>
      <c r="E71" s="85">
        <v>68000</v>
      </c>
    </row>
    <row r="72" ht="27" customHeight="1" spans="1:5">
      <c r="A72" s="10"/>
      <c r="B72" s="20" t="s">
        <v>111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169</v>
      </c>
      <c r="C74" s="21"/>
      <c r="D74" s="21"/>
      <c r="E74" s="146"/>
    </row>
    <row r="75" customHeight="1" spans="1:5">
      <c r="A75" s="10">
        <v>1</v>
      </c>
      <c r="B75" s="11" t="s">
        <v>170</v>
      </c>
      <c r="C75" s="4" t="s">
        <v>171</v>
      </c>
      <c r="D75" s="10" t="s">
        <v>115</v>
      </c>
      <c r="E75" s="85">
        <v>270000</v>
      </c>
    </row>
    <row r="76" customHeight="1" spans="1:5">
      <c r="A76" s="10">
        <v>2</v>
      </c>
      <c r="B76" s="14" t="s">
        <v>552</v>
      </c>
      <c r="C76" s="4" t="s">
        <v>553</v>
      </c>
      <c r="D76" s="15" t="s">
        <v>554</v>
      </c>
      <c r="E76" s="85">
        <v>126000</v>
      </c>
    </row>
    <row r="77" customHeight="1" spans="1:5">
      <c r="A77" s="10">
        <v>3</v>
      </c>
      <c r="B77" s="18" t="s">
        <v>172</v>
      </c>
      <c r="C77" s="12" t="s">
        <v>555</v>
      </c>
      <c r="D77" s="10" t="s">
        <v>150</v>
      </c>
      <c r="E77" s="85">
        <v>126000</v>
      </c>
    </row>
    <row r="78" customHeight="1" spans="1:5">
      <c r="A78" s="10">
        <v>4</v>
      </c>
      <c r="B78" s="11" t="s">
        <v>176</v>
      </c>
      <c r="C78" s="4" t="s">
        <v>177</v>
      </c>
      <c r="D78" s="15" t="s">
        <v>46</v>
      </c>
      <c r="E78" s="85">
        <v>90000</v>
      </c>
    </row>
    <row r="79" customHeight="1" spans="1:5">
      <c r="A79" s="10">
        <v>5</v>
      </c>
      <c r="B79" s="11" t="s">
        <v>183</v>
      </c>
      <c r="C79" s="4" t="s">
        <v>186</v>
      </c>
      <c r="D79" s="10" t="s">
        <v>119</v>
      </c>
      <c r="E79" s="85">
        <v>68000</v>
      </c>
    </row>
    <row r="80" customHeight="1" spans="1:5">
      <c r="A80" s="10">
        <v>6</v>
      </c>
      <c r="B80" s="11" t="s">
        <v>185</v>
      </c>
      <c r="C80" s="4" t="s">
        <v>186</v>
      </c>
      <c r="D80" s="10" t="s">
        <v>87</v>
      </c>
      <c r="E80" s="85">
        <v>54000</v>
      </c>
    </row>
    <row r="81" customHeight="1" spans="1:5">
      <c r="A81" s="10">
        <v>7</v>
      </c>
      <c r="B81" s="11" t="s">
        <v>187</v>
      </c>
      <c r="C81" s="4" t="s">
        <v>188</v>
      </c>
      <c r="D81" s="10" t="s">
        <v>105</v>
      </c>
      <c r="E81" s="85">
        <v>54000</v>
      </c>
    </row>
    <row r="82" customHeight="1" spans="1:5">
      <c r="A82" s="10"/>
      <c r="B82" s="20" t="s">
        <v>111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189</v>
      </c>
      <c r="C84" s="25"/>
      <c r="D84" s="21"/>
      <c r="E84" s="146"/>
    </row>
    <row r="85" customHeight="1" spans="1:5">
      <c r="A85" s="10">
        <v>1</v>
      </c>
      <c r="B85" s="11" t="s">
        <v>192</v>
      </c>
      <c r="C85" s="4" t="s">
        <v>130</v>
      </c>
      <c r="D85" s="10" t="s">
        <v>131</v>
      </c>
      <c r="E85" s="85">
        <v>126000</v>
      </c>
    </row>
    <row r="86" customHeight="1" spans="1:5">
      <c r="A86" s="10">
        <v>2</v>
      </c>
      <c r="B86" s="11" t="s">
        <v>190</v>
      </c>
      <c r="C86" s="4" t="s">
        <v>130</v>
      </c>
      <c r="D86" s="10" t="s">
        <v>131</v>
      </c>
      <c r="E86" s="85">
        <v>126000</v>
      </c>
    </row>
    <row r="87" customHeight="1" spans="1:5">
      <c r="A87" s="10">
        <v>3</v>
      </c>
      <c r="B87" s="11" t="s">
        <v>195</v>
      </c>
      <c r="C87" s="4" t="s">
        <v>130</v>
      </c>
      <c r="D87" s="10" t="s">
        <v>49</v>
      </c>
      <c r="E87" s="85">
        <v>126000</v>
      </c>
    </row>
    <row r="88" ht="21.6" customHeight="1" spans="1:5">
      <c r="A88" s="10">
        <v>4</v>
      </c>
      <c r="B88" s="11" t="s">
        <v>196</v>
      </c>
      <c r="C88" s="4" t="s">
        <v>556</v>
      </c>
      <c r="D88" s="15" t="s">
        <v>52</v>
      </c>
      <c r="E88" s="85">
        <v>90000</v>
      </c>
    </row>
    <row r="89" ht="21.6" customHeight="1" spans="1:5">
      <c r="A89" s="10">
        <v>5</v>
      </c>
      <c r="B89" s="11" t="s">
        <v>197</v>
      </c>
      <c r="C89" s="12" t="s">
        <v>158</v>
      </c>
      <c r="D89" s="15" t="s">
        <v>460</v>
      </c>
      <c r="E89" s="85">
        <v>90000</v>
      </c>
    </row>
    <row r="90" ht="21.6" customHeight="1" spans="1:5">
      <c r="A90" s="10">
        <v>6</v>
      </c>
      <c r="B90" s="11" t="s">
        <v>198</v>
      </c>
      <c r="C90" s="12" t="s">
        <v>156</v>
      </c>
      <c r="D90" s="15" t="s">
        <v>230</v>
      </c>
      <c r="E90" s="85">
        <v>90000</v>
      </c>
    </row>
    <row r="91" ht="21.6" customHeight="1" spans="1:5">
      <c r="A91" s="10">
        <v>7</v>
      </c>
      <c r="B91" s="11" t="s">
        <v>200</v>
      </c>
      <c r="C91" s="17" t="s">
        <v>70</v>
      </c>
      <c r="D91" s="15" t="s">
        <v>68</v>
      </c>
      <c r="E91" s="85">
        <v>68000</v>
      </c>
    </row>
    <row r="92" ht="21.6" customHeight="1" spans="1:5">
      <c r="A92" s="10">
        <v>8</v>
      </c>
      <c r="B92" s="11" t="s">
        <v>201</v>
      </c>
      <c r="C92" s="17" t="s">
        <v>158</v>
      </c>
      <c r="D92" s="15" t="s">
        <v>159</v>
      </c>
      <c r="E92" s="85">
        <v>90000</v>
      </c>
    </row>
    <row r="93" ht="21.6" customHeight="1" spans="1:5">
      <c r="A93" s="10">
        <v>9</v>
      </c>
      <c r="B93" s="11" t="s">
        <v>204</v>
      </c>
      <c r="C93" s="4" t="s">
        <v>205</v>
      </c>
      <c r="D93" s="10" t="s">
        <v>76</v>
      </c>
      <c r="E93" s="220">
        <v>66000</v>
      </c>
    </row>
    <row r="94" ht="21.6" customHeight="1" spans="1:5">
      <c r="A94" s="10">
        <v>10</v>
      </c>
      <c r="B94" s="11" t="s">
        <v>206</v>
      </c>
      <c r="C94" s="17" t="s">
        <v>207</v>
      </c>
      <c r="D94" s="15" t="s">
        <v>102</v>
      </c>
      <c r="E94" s="220">
        <v>54000</v>
      </c>
    </row>
    <row r="95" customHeight="1" spans="1:5">
      <c r="A95" s="10"/>
      <c r="B95" s="20" t="s">
        <v>111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209</v>
      </c>
      <c r="C97" s="21"/>
      <c r="D97" s="21"/>
      <c r="E97" s="146"/>
    </row>
    <row r="98" customHeight="1" spans="1:5">
      <c r="A98" s="10">
        <v>1</v>
      </c>
      <c r="B98" s="14" t="s">
        <v>210</v>
      </c>
      <c r="C98" s="4" t="s">
        <v>211</v>
      </c>
      <c r="D98" s="16" t="s">
        <v>128</v>
      </c>
      <c r="E98" s="85">
        <v>270000</v>
      </c>
    </row>
    <row r="99" customHeight="1" spans="1:5">
      <c r="A99" s="10">
        <v>2</v>
      </c>
      <c r="B99" s="11" t="s">
        <v>213</v>
      </c>
      <c r="C99" s="4" t="s">
        <v>214</v>
      </c>
      <c r="D99" s="15" t="s">
        <v>46</v>
      </c>
      <c r="E99" s="85">
        <v>90000</v>
      </c>
    </row>
    <row r="100" customHeight="1" spans="1:5">
      <c r="A100" s="10">
        <v>3</v>
      </c>
      <c r="B100" s="11" t="s">
        <v>219</v>
      </c>
      <c r="C100" s="4" t="s">
        <v>220</v>
      </c>
      <c r="D100" s="15" t="s">
        <v>162</v>
      </c>
      <c r="E100" s="85">
        <v>68000</v>
      </c>
    </row>
    <row r="101" customHeight="1" spans="1:5">
      <c r="A101" s="10">
        <v>4</v>
      </c>
      <c r="B101" s="11" t="s">
        <v>221</v>
      </c>
      <c r="C101" s="4" t="s">
        <v>222</v>
      </c>
      <c r="D101" s="15" t="s">
        <v>76</v>
      </c>
      <c r="E101" s="85">
        <v>68000</v>
      </c>
    </row>
    <row r="102" customHeight="1" spans="1:5">
      <c r="A102" s="4"/>
      <c r="B102" s="20" t="s">
        <v>111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223</v>
      </c>
      <c r="C104" s="4"/>
      <c r="D104" s="4"/>
      <c r="E104" s="4"/>
    </row>
    <row r="105" customHeight="1" spans="1:5">
      <c r="A105" s="4">
        <v>1</v>
      </c>
      <c r="B105" s="11" t="s">
        <v>224</v>
      </c>
      <c r="C105" s="12" t="s">
        <v>225</v>
      </c>
      <c r="D105" s="15" t="s">
        <v>115</v>
      </c>
      <c r="E105" s="85">
        <v>270000</v>
      </c>
    </row>
    <row r="106" customHeight="1" spans="1:5">
      <c r="A106" s="4">
        <v>2</v>
      </c>
      <c r="B106" s="11" t="s">
        <v>226</v>
      </c>
      <c r="C106" s="4" t="s">
        <v>227</v>
      </c>
      <c r="D106" s="16" t="s">
        <v>154</v>
      </c>
      <c r="E106" s="85">
        <v>180000</v>
      </c>
    </row>
    <row r="107" customHeight="1" spans="1:5">
      <c r="A107" s="4">
        <v>3</v>
      </c>
      <c r="B107" s="11" t="s">
        <v>228</v>
      </c>
      <c r="C107" s="4" t="s">
        <v>442</v>
      </c>
      <c r="D107" s="10" t="s">
        <v>52</v>
      </c>
      <c r="E107" s="85">
        <v>90000</v>
      </c>
    </row>
    <row r="108" customHeight="1" spans="1:5">
      <c r="A108" s="4">
        <v>4</v>
      </c>
      <c r="B108" s="11" t="s">
        <v>231</v>
      </c>
      <c r="C108" s="4" t="s">
        <v>442</v>
      </c>
      <c r="D108" s="10" t="s">
        <v>52</v>
      </c>
      <c r="E108" s="85">
        <v>90000</v>
      </c>
    </row>
    <row r="109" customHeight="1" spans="1:5">
      <c r="A109" s="4">
        <v>5</v>
      </c>
      <c r="B109" s="11" t="s">
        <v>232</v>
      </c>
      <c r="C109" s="4" t="s">
        <v>233</v>
      </c>
      <c r="D109" s="15" t="s">
        <v>557</v>
      </c>
      <c r="E109" s="220">
        <v>54000</v>
      </c>
    </row>
    <row r="110" customHeight="1" spans="1:5">
      <c r="A110" s="4">
        <v>6</v>
      </c>
      <c r="B110" s="18" t="s">
        <v>235</v>
      </c>
      <c r="C110" s="4" t="s">
        <v>233</v>
      </c>
      <c r="D110" s="10" t="s">
        <v>558</v>
      </c>
      <c r="E110" s="220">
        <v>54000</v>
      </c>
    </row>
    <row r="111" customHeight="1" spans="1:5">
      <c r="A111" s="4">
        <v>7</v>
      </c>
      <c r="B111" s="18" t="s">
        <v>236</v>
      </c>
      <c r="C111" s="4" t="s">
        <v>233</v>
      </c>
      <c r="D111" s="15" t="s">
        <v>102</v>
      </c>
      <c r="E111" s="220">
        <v>54000</v>
      </c>
    </row>
    <row r="112" ht="25.5" customHeight="1" spans="1:5">
      <c r="A112" s="4"/>
      <c r="B112" s="20" t="s">
        <v>111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237</v>
      </c>
      <c r="C114" s="21"/>
      <c r="D114" s="21"/>
      <c r="E114" s="146"/>
    </row>
    <row r="115" customHeight="1" spans="1:5">
      <c r="A115" s="10">
        <v>1</v>
      </c>
      <c r="B115" s="14" t="s">
        <v>152</v>
      </c>
      <c r="C115" s="4" t="s">
        <v>130</v>
      </c>
      <c r="D115" s="10" t="s">
        <v>38</v>
      </c>
      <c r="E115" s="85">
        <v>126000</v>
      </c>
    </row>
    <row r="116" ht="18.75" customHeight="1" spans="1:5">
      <c r="A116" s="10">
        <v>2</v>
      </c>
      <c r="B116" s="11" t="s">
        <v>238</v>
      </c>
      <c r="C116" s="4" t="s">
        <v>239</v>
      </c>
      <c r="D116" s="15" t="s">
        <v>162</v>
      </c>
      <c r="E116" s="85">
        <v>68000</v>
      </c>
    </row>
    <row r="117" customHeight="1" spans="1:5">
      <c r="A117" s="10">
        <v>3</v>
      </c>
      <c r="B117" s="11" t="s">
        <v>179</v>
      </c>
      <c r="C117" s="12" t="s">
        <v>559</v>
      </c>
      <c r="D117" s="15" t="s">
        <v>65</v>
      </c>
      <c r="E117" s="85">
        <v>68000</v>
      </c>
    </row>
    <row r="118" ht="24.75" customHeight="1" spans="1:5">
      <c r="A118" s="4"/>
      <c r="B118" s="20" t="s">
        <v>111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252</v>
      </c>
      <c r="C120" s="21"/>
      <c r="D120" s="21"/>
      <c r="E120" s="146"/>
    </row>
    <row r="121" customHeight="1" spans="1:5">
      <c r="A121" s="4">
        <v>1</v>
      </c>
      <c r="B121" s="11" t="s">
        <v>253</v>
      </c>
      <c r="C121" s="12" t="s">
        <v>254</v>
      </c>
      <c r="D121" s="15" t="s">
        <v>115</v>
      </c>
      <c r="E121" s="85">
        <v>270000</v>
      </c>
    </row>
    <row r="122" customHeight="1" spans="1:5">
      <c r="A122" s="4">
        <v>2</v>
      </c>
      <c r="B122" s="11" t="s">
        <v>255</v>
      </c>
      <c r="C122" s="12" t="s">
        <v>256</v>
      </c>
      <c r="D122" s="15" t="s">
        <v>35</v>
      </c>
      <c r="E122" s="85">
        <v>180000</v>
      </c>
    </row>
    <row r="123" customHeight="1" spans="1:5">
      <c r="A123" s="4">
        <v>3</v>
      </c>
      <c r="B123" s="14" t="s">
        <v>257</v>
      </c>
      <c r="C123" s="12" t="s">
        <v>258</v>
      </c>
      <c r="D123" s="15" t="s">
        <v>131</v>
      </c>
      <c r="E123" s="85">
        <v>126000</v>
      </c>
    </row>
    <row r="124" customHeight="1" spans="1:5">
      <c r="A124" s="4">
        <v>4</v>
      </c>
      <c r="B124" s="14" t="s">
        <v>560</v>
      </c>
      <c r="C124" s="12" t="s">
        <v>258</v>
      </c>
      <c r="D124" s="15" t="s">
        <v>49</v>
      </c>
      <c r="E124" s="85">
        <v>126000</v>
      </c>
    </row>
    <row r="125" customHeight="1" spans="1:5">
      <c r="A125" s="4">
        <v>5</v>
      </c>
      <c r="B125" s="11" t="s">
        <v>259</v>
      </c>
      <c r="C125" s="12" t="s">
        <v>260</v>
      </c>
      <c r="D125" s="15" t="s">
        <v>178</v>
      </c>
      <c r="E125" s="85">
        <v>90000</v>
      </c>
    </row>
    <row r="126" customHeight="1" spans="1:5">
      <c r="A126" s="4">
        <v>6</v>
      </c>
      <c r="B126" s="11" t="s">
        <v>261</v>
      </c>
      <c r="C126" s="12" t="s">
        <v>495</v>
      </c>
      <c r="D126" s="15" t="s">
        <v>199</v>
      </c>
      <c r="E126" s="85">
        <v>90000</v>
      </c>
    </row>
    <row r="127" customHeight="1" spans="1:5">
      <c r="A127" s="4">
        <v>7</v>
      </c>
      <c r="B127" s="11" t="s">
        <v>262</v>
      </c>
      <c r="C127" s="12" t="s">
        <v>260</v>
      </c>
      <c r="D127" s="15" t="s">
        <v>46</v>
      </c>
      <c r="E127" s="85">
        <v>90000</v>
      </c>
    </row>
    <row r="128" customHeight="1" spans="1:5">
      <c r="A128" s="4">
        <v>8</v>
      </c>
      <c r="B128" s="11" t="s">
        <v>265</v>
      </c>
      <c r="C128" s="12" t="s">
        <v>266</v>
      </c>
      <c r="D128" s="10" t="s">
        <v>84</v>
      </c>
      <c r="E128" s="85">
        <v>54000</v>
      </c>
    </row>
    <row r="129" customHeight="1" spans="1:5">
      <c r="A129" s="4">
        <v>9</v>
      </c>
      <c r="B129" s="18" t="s">
        <v>267</v>
      </c>
      <c r="C129" s="12" t="s">
        <v>268</v>
      </c>
      <c r="D129" s="15" t="s">
        <v>105</v>
      </c>
      <c r="E129" s="85">
        <v>54000</v>
      </c>
    </row>
    <row r="130" customHeight="1" spans="1:5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54000</v>
      </c>
    </row>
    <row r="131" ht="28.5" customHeight="1" spans="1:5">
      <c r="A131" s="4"/>
      <c r="B131" s="20" t="s">
        <v>111</v>
      </c>
      <c r="C131" s="26" t="s">
        <v>496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272</v>
      </c>
      <c r="C133" s="12"/>
      <c r="D133" s="15"/>
      <c r="E133" s="85"/>
    </row>
    <row r="134" customHeight="1" spans="1:5">
      <c r="A134" s="27">
        <v>1</v>
      </c>
      <c r="B134" s="11" t="s">
        <v>561</v>
      </c>
      <c r="C134" s="12" t="s">
        <v>562</v>
      </c>
      <c r="D134" s="15" t="s">
        <v>115</v>
      </c>
      <c r="E134" s="85">
        <v>270000</v>
      </c>
    </row>
    <row r="135" customHeight="1" spans="1:5">
      <c r="A135" s="27">
        <v>2</v>
      </c>
      <c r="B135" s="11" t="s">
        <v>563</v>
      </c>
      <c r="C135" s="12" t="s">
        <v>564</v>
      </c>
      <c r="D135" s="15" t="s">
        <v>154</v>
      </c>
      <c r="E135" s="85">
        <v>180000</v>
      </c>
    </row>
    <row r="136" customHeight="1" spans="1:5">
      <c r="A136" s="27">
        <v>3</v>
      </c>
      <c r="B136" s="14" t="s">
        <v>276</v>
      </c>
      <c r="C136" s="4" t="s">
        <v>277</v>
      </c>
      <c r="D136" s="16" t="s">
        <v>154</v>
      </c>
      <c r="E136" s="85">
        <v>180000</v>
      </c>
    </row>
    <row r="137" customHeight="1" spans="1:5">
      <c r="A137" s="27">
        <v>4</v>
      </c>
      <c r="B137" s="11" t="s">
        <v>278</v>
      </c>
      <c r="C137" s="12" t="s">
        <v>565</v>
      </c>
      <c r="D137" s="15" t="s">
        <v>41</v>
      </c>
      <c r="E137" s="85">
        <v>90000</v>
      </c>
    </row>
    <row r="138" customHeight="1" spans="1:5">
      <c r="A138" s="27">
        <v>5</v>
      </c>
      <c r="B138" s="11" t="s">
        <v>280</v>
      </c>
      <c r="C138" s="4" t="s">
        <v>566</v>
      </c>
      <c r="D138" s="15" t="s">
        <v>41</v>
      </c>
      <c r="E138" s="85">
        <v>90000</v>
      </c>
    </row>
    <row r="139" customHeight="1" spans="1:5">
      <c r="A139" s="27">
        <v>6</v>
      </c>
      <c r="B139" s="11" t="s">
        <v>282</v>
      </c>
      <c r="C139" s="4" t="s">
        <v>566</v>
      </c>
      <c r="D139" s="15" t="s">
        <v>41</v>
      </c>
      <c r="E139" s="85">
        <v>90000</v>
      </c>
    </row>
    <row r="140" customHeight="1" spans="1:5">
      <c r="A140" s="27">
        <v>7</v>
      </c>
      <c r="B140" s="11" t="s">
        <v>215</v>
      </c>
      <c r="C140" s="12" t="s">
        <v>567</v>
      </c>
      <c r="D140" s="15" t="s">
        <v>65</v>
      </c>
      <c r="E140" s="85">
        <v>68000</v>
      </c>
    </row>
    <row r="141" customHeight="1" spans="1:5">
      <c r="A141" s="27">
        <v>8</v>
      </c>
      <c r="B141" s="11" t="s">
        <v>283</v>
      </c>
      <c r="C141" s="12" t="s">
        <v>567</v>
      </c>
      <c r="D141" s="15" t="s">
        <v>65</v>
      </c>
      <c r="E141" s="85">
        <v>68000</v>
      </c>
    </row>
    <row r="142" customHeight="1" spans="1:5">
      <c r="A142" s="27">
        <v>9</v>
      </c>
      <c r="B142" s="11" t="s">
        <v>284</v>
      </c>
      <c r="C142" s="4" t="s">
        <v>568</v>
      </c>
      <c r="D142" s="15" t="s">
        <v>65</v>
      </c>
      <c r="E142" s="85">
        <v>68000</v>
      </c>
    </row>
    <row r="143" customHeight="1" spans="1:5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68000</v>
      </c>
    </row>
    <row r="144" customHeight="1" spans="1:5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68000</v>
      </c>
    </row>
    <row r="145" customHeight="1" spans="1:5">
      <c r="A145" s="27">
        <v>12</v>
      </c>
      <c r="B145" s="11" t="s">
        <v>60</v>
      </c>
      <c r="C145" s="12" t="s">
        <v>569</v>
      </c>
      <c r="D145" s="15" t="s">
        <v>65</v>
      </c>
      <c r="E145" s="85">
        <v>68000</v>
      </c>
    </row>
    <row r="146" customHeight="1" spans="1:5">
      <c r="A146" s="27">
        <v>13</v>
      </c>
      <c r="B146" s="18" t="s">
        <v>290</v>
      </c>
      <c r="C146" s="4" t="s">
        <v>291</v>
      </c>
      <c r="D146" s="15" t="s">
        <v>137</v>
      </c>
      <c r="E146" s="85">
        <v>68000</v>
      </c>
    </row>
    <row r="147" customHeight="1" spans="1:5">
      <c r="A147" s="27">
        <v>14</v>
      </c>
      <c r="B147" s="11" t="s">
        <v>292</v>
      </c>
      <c r="C147" s="4" t="s">
        <v>570</v>
      </c>
      <c r="D147" s="15" t="s">
        <v>119</v>
      </c>
      <c r="E147" s="85">
        <v>68000</v>
      </c>
    </row>
    <row r="148" customHeight="1" spans="1:5">
      <c r="A148" s="27">
        <v>15</v>
      </c>
      <c r="B148" s="11" t="s">
        <v>293</v>
      </c>
      <c r="C148" s="4" t="s">
        <v>570</v>
      </c>
      <c r="D148" s="15" t="s">
        <v>302</v>
      </c>
      <c r="E148" s="85">
        <v>68000</v>
      </c>
    </row>
    <row r="149" customHeight="1" spans="1:5">
      <c r="A149" s="27">
        <v>16</v>
      </c>
      <c r="B149" s="11" t="s">
        <v>295</v>
      </c>
      <c r="C149" s="4" t="s">
        <v>570</v>
      </c>
      <c r="D149" s="15" t="s">
        <v>302</v>
      </c>
      <c r="E149" s="85">
        <v>68000</v>
      </c>
    </row>
    <row r="150" customHeight="1" spans="1:5">
      <c r="A150" s="27">
        <v>17</v>
      </c>
      <c r="B150" s="11" t="s">
        <v>296</v>
      </c>
      <c r="C150" s="12" t="s">
        <v>297</v>
      </c>
      <c r="D150" s="15" t="s">
        <v>76</v>
      </c>
      <c r="E150" s="85">
        <v>68000</v>
      </c>
    </row>
    <row r="151" customHeight="1" spans="1:5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54000</v>
      </c>
    </row>
    <row r="152" customHeight="1" spans="1:5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68000</v>
      </c>
    </row>
    <row r="153" customHeight="1" spans="1:5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54000</v>
      </c>
    </row>
    <row r="154" customHeight="1" spans="1:5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68000</v>
      </c>
    </row>
    <row r="155" customHeight="1" spans="1:5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54000</v>
      </c>
    </row>
    <row r="156" customHeight="1" spans="1:5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54000</v>
      </c>
    </row>
    <row r="157" customHeight="1" spans="1:5">
      <c r="A157" s="27">
        <v>24</v>
      </c>
      <c r="B157" s="18" t="s">
        <v>314</v>
      </c>
      <c r="C157" s="12" t="s">
        <v>315</v>
      </c>
      <c r="D157" s="15" t="s">
        <v>105</v>
      </c>
      <c r="E157" s="220">
        <v>54000</v>
      </c>
    </row>
    <row r="158" customHeight="1" spans="1:5">
      <c r="A158" s="27">
        <v>25</v>
      </c>
      <c r="B158" s="18" t="s">
        <v>316</v>
      </c>
      <c r="C158" s="12" t="s">
        <v>317</v>
      </c>
      <c r="D158" s="15" t="s">
        <v>105</v>
      </c>
      <c r="E158" s="220">
        <v>54000</v>
      </c>
    </row>
    <row r="159" customHeight="1" spans="1:5">
      <c r="A159" s="27">
        <v>26</v>
      </c>
      <c r="B159" s="18" t="s">
        <v>318</v>
      </c>
      <c r="C159" s="12" t="s">
        <v>319</v>
      </c>
      <c r="D159" s="15" t="s">
        <v>105</v>
      </c>
      <c r="E159" s="220">
        <v>54000</v>
      </c>
    </row>
    <row r="160" customHeight="1" spans="1:5">
      <c r="A160" s="27">
        <v>27</v>
      </c>
      <c r="B160" s="18" t="s">
        <v>320</v>
      </c>
      <c r="C160" s="12" t="s">
        <v>321</v>
      </c>
      <c r="D160" s="15" t="s">
        <v>102</v>
      </c>
      <c r="E160" s="220">
        <v>54000</v>
      </c>
    </row>
    <row r="161" customHeight="1" spans="1:5">
      <c r="A161" s="27">
        <v>28</v>
      </c>
      <c r="B161" s="18" t="s">
        <v>322</v>
      </c>
      <c r="C161" s="12" t="s">
        <v>317</v>
      </c>
      <c r="D161" s="15" t="s">
        <v>105</v>
      </c>
      <c r="E161" s="220">
        <v>54000</v>
      </c>
    </row>
    <row r="162" customHeight="1" spans="1:5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36000</v>
      </c>
    </row>
    <row r="163" customHeight="1" spans="1:5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36000</v>
      </c>
    </row>
    <row r="164" customHeight="1" spans="1:5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36000</v>
      </c>
    </row>
    <row r="165" customHeight="1" spans="1:5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36000</v>
      </c>
    </row>
    <row r="166" customHeight="1" spans="1:5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36000</v>
      </c>
    </row>
    <row r="167" customHeight="1" spans="1:5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36000</v>
      </c>
    </row>
    <row r="168" customHeight="1" spans="1:5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36000</v>
      </c>
    </row>
    <row r="169" customHeight="1" spans="1:5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36000</v>
      </c>
    </row>
    <row r="170" customHeight="1" spans="1:5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36000</v>
      </c>
    </row>
    <row r="171" customHeight="1" spans="1:5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36000</v>
      </c>
    </row>
    <row r="172" customHeight="1" spans="1:5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36000</v>
      </c>
    </row>
    <row r="173" customHeight="1" spans="1:5">
      <c r="A173" s="27">
        <v>40</v>
      </c>
      <c r="B173" s="11" t="s">
        <v>345</v>
      </c>
      <c r="C173" s="12" t="s">
        <v>346</v>
      </c>
      <c r="D173" s="15" t="s">
        <v>353</v>
      </c>
      <c r="E173" s="226">
        <v>36000</v>
      </c>
    </row>
    <row r="174" customHeight="1" spans="1:5">
      <c r="A174" s="27">
        <v>41</v>
      </c>
      <c r="B174" s="11" t="s">
        <v>348</v>
      </c>
      <c r="C174" s="12" t="s">
        <v>346</v>
      </c>
      <c r="D174" s="15" t="s">
        <v>353</v>
      </c>
      <c r="E174" s="226">
        <v>36000</v>
      </c>
    </row>
    <row r="175" customHeight="1" spans="1:5">
      <c r="A175" s="27">
        <v>42</v>
      </c>
      <c r="B175" s="18" t="s">
        <v>349</v>
      </c>
      <c r="C175" s="12" t="s">
        <v>346</v>
      </c>
      <c r="D175" s="15" t="s">
        <v>347</v>
      </c>
      <c r="E175" s="226">
        <v>36000</v>
      </c>
    </row>
    <row r="176" customHeight="1" spans="1:5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36000</v>
      </c>
    </row>
    <row r="177" customHeight="1" spans="1:5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36000</v>
      </c>
    </row>
    <row r="178" customHeight="1" spans="1:5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36000</v>
      </c>
    </row>
    <row r="179" customHeight="1" spans="1:5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36000</v>
      </c>
    </row>
    <row r="180" customHeight="1" spans="1:5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36000</v>
      </c>
    </row>
    <row r="181" customHeight="1" spans="1:5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36000</v>
      </c>
    </row>
    <row r="182" customHeight="1" spans="1:5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36000</v>
      </c>
    </row>
    <row r="183" customHeight="1" spans="1:5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36000</v>
      </c>
    </row>
    <row r="184" customHeight="1" spans="1:5">
      <c r="A184" s="27">
        <v>51</v>
      </c>
      <c r="B184" s="11" t="s">
        <v>499</v>
      </c>
      <c r="C184" s="12" t="s">
        <v>352</v>
      </c>
      <c r="D184" s="15" t="s">
        <v>366</v>
      </c>
      <c r="E184" s="85">
        <v>36000</v>
      </c>
    </row>
    <row r="185" customHeight="1" spans="1:5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36000</v>
      </c>
    </row>
    <row r="186" customHeight="1" spans="1:5">
      <c r="A186" s="27">
        <v>53</v>
      </c>
      <c r="B186" s="18" t="s">
        <v>364</v>
      </c>
      <c r="C186" s="12" t="s">
        <v>365</v>
      </c>
      <c r="D186" s="15" t="s">
        <v>378</v>
      </c>
      <c r="E186" s="85">
        <v>36000</v>
      </c>
    </row>
    <row r="187" customHeight="1" spans="1:5">
      <c r="A187" s="27">
        <v>54</v>
      </c>
      <c r="B187" s="18" t="s">
        <v>369</v>
      </c>
      <c r="C187" s="12" t="s">
        <v>355</v>
      </c>
      <c r="D187" s="15" t="s">
        <v>571</v>
      </c>
      <c r="E187" s="85">
        <v>36000</v>
      </c>
    </row>
    <row r="188" customHeight="1" spans="1:5">
      <c r="A188" s="27">
        <v>55</v>
      </c>
      <c r="B188" s="18" t="s">
        <v>371</v>
      </c>
      <c r="C188" s="12" t="s">
        <v>372</v>
      </c>
      <c r="D188" s="15" t="s">
        <v>572</v>
      </c>
      <c r="E188" s="85">
        <v>36000</v>
      </c>
    </row>
    <row r="189" customHeight="1" spans="1:5">
      <c r="A189" s="27">
        <v>56</v>
      </c>
      <c r="B189" s="18" t="s">
        <v>374</v>
      </c>
      <c r="C189" s="12" t="s">
        <v>372</v>
      </c>
      <c r="D189" s="15" t="s">
        <v>572</v>
      </c>
      <c r="E189" s="85">
        <v>36000</v>
      </c>
    </row>
    <row r="190" customHeight="1" spans="1:5">
      <c r="A190" s="27">
        <v>57</v>
      </c>
      <c r="B190" s="18" t="s">
        <v>375</v>
      </c>
      <c r="C190" s="12" t="s">
        <v>372</v>
      </c>
      <c r="D190" s="15" t="s">
        <v>572</v>
      </c>
      <c r="E190" s="85">
        <v>36000</v>
      </c>
    </row>
    <row r="191" customHeight="1" spans="1:5">
      <c r="A191" s="27">
        <v>58</v>
      </c>
      <c r="B191" s="18" t="s">
        <v>376</v>
      </c>
      <c r="C191" s="12" t="s">
        <v>377</v>
      </c>
      <c r="D191" s="15" t="s">
        <v>368</v>
      </c>
      <c r="E191" s="85">
        <v>36000</v>
      </c>
    </row>
    <row r="192" customHeight="1" spans="1:5">
      <c r="A192" s="27">
        <v>59</v>
      </c>
      <c r="B192" s="18" t="s">
        <v>379</v>
      </c>
      <c r="C192" s="12" t="s">
        <v>377</v>
      </c>
      <c r="D192" s="15" t="s">
        <v>368</v>
      </c>
      <c r="E192" s="85">
        <v>36000</v>
      </c>
    </row>
    <row r="193" ht="30.75" customHeight="1" spans="1:5">
      <c r="A193" s="27"/>
      <c r="B193" s="8" t="s">
        <v>111</v>
      </c>
      <c r="C193" s="28" t="s">
        <v>573</v>
      </c>
      <c r="D193" s="29"/>
      <c r="E193" s="93">
        <f>SUM(E134:E192)</f>
        <v>3386000</v>
      </c>
    </row>
    <row r="194" ht="42.75" customHeight="1" spans="1:5">
      <c r="A194" s="4"/>
      <c r="B194" s="30" t="s">
        <v>381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803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751</v>
      </c>
      <c r="F4" s="218" t="s">
        <v>804</v>
      </c>
      <c r="G4" s="218" t="s">
        <v>805</v>
      </c>
      <c r="H4" s="218" t="s">
        <v>806</v>
      </c>
      <c r="I4" s="218" t="s">
        <v>8</v>
      </c>
      <c r="J4" s="505" t="s">
        <v>705</v>
      </c>
      <c r="K4" s="505" t="s">
        <v>807</v>
      </c>
      <c r="L4" s="505" t="s">
        <v>808</v>
      </c>
      <c r="M4" s="506" t="s">
        <v>809</v>
      </c>
      <c r="N4" s="568" t="s">
        <v>810</v>
      </c>
      <c r="O4" s="568" t="s">
        <v>811</v>
      </c>
      <c r="P4" s="569"/>
      <c r="Q4" s="587" t="s">
        <v>812</v>
      </c>
    </row>
    <row r="5" ht="17.25" customHeight="1" spans="3:17">
      <c r="C5" s="8"/>
      <c r="D5" s="8"/>
      <c r="L5" s="369" t="s">
        <v>475</v>
      </c>
      <c r="O5" s="570" t="s">
        <v>476</v>
      </c>
      <c r="P5" s="571"/>
      <c r="Q5" s="369" t="s">
        <v>813</v>
      </c>
    </row>
    <row r="6" ht="20.1" customHeight="1" spans="1:17">
      <c r="A6" s="9" t="s">
        <v>21</v>
      </c>
      <c r="B6" s="8" t="s">
        <v>22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273</v>
      </c>
      <c r="C11" s="4" t="s">
        <v>795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536</v>
      </c>
      <c r="C12" s="10" t="s">
        <v>537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33</v>
      </c>
      <c r="C13" s="12" t="s">
        <v>538</v>
      </c>
      <c r="D13" s="15" t="s">
        <v>131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36</v>
      </c>
      <c r="C14" s="4" t="s">
        <v>37</v>
      </c>
      <c r="D14" s="10" t="s">
        <v>49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39</v>
      </c>
      <c r="C15" s="4" t="s">
        <v>40</v>
      </c>
      <c r="D15" s="15" t="s">
        <v>41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42</v>
      </c>
      <c r="C16" s="17" t="s">
        <v>156</v>
      </c>
      <c r="D16" s="15" t="s">
        <v>178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44</v>
      </c>
      <c r="C17" s="4" t="s">
        <v>45</v>
      </c>
      <c r="D17" s="10" t="s">
        <v>199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47</v>
      </c>
      <c r="C18" s="4" t="s">
        <v>539</v>
      </c>
      <c r="D18" s="10" t="s">
        <v>52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50</v>
      </c>
      <c r="C19" s="12" t="s">
        <v>51</v>
      </c>
      <c r="D19" s="15" t="s">
        <v>460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53</v>
      </c>
      <c r="C20" s="4" t="s">
        <v>796</v>
      </c>
      <c r="D20" s="15" t="s">
        <v>540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63</v>
      </c>
      <c r="C21" s="12" t="s">
        <v>64</v>
      </c>
      <c r="D21" s="15" t="s">
        <v>162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66</v>
      </c>
      <c r="C22" s="17" t="s">
        <v>797</v>
      </c>
      <c r="D22" s="10" t="s">
        <v>137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69</v>
      </c>
      <c r="C23" s="17" t="s">
        <v>70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71</v>
      </c>
      <c r="C24" s="17" t="s">
        <v>72</v>
      </c>
      <c r="D24" s="10" t="s">
        <v>73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77</v>
      </c>
      <c r="C25" s="4" t="s">
        <v>78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80</v>
      </c>
      <c r="C26" s="12" t="s">
        <v>78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81</v>
      </c>
      <c r="C27" s="17" t="s">
        <v>67</v>
      </c>
      <c r="D27" s="10" t="s">
        <v>84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85</v>
      </c>
      <c r="C29" s="4" t="s">
        <v>86</v>
      </c>
      <c r="D29" s="10" t="s">
        <v>96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88</v>
      </c>
      <c r="C30" s="4" t="s">
        <v>86</v>
      </c>
      <c r="D30" s="10" t="s">
        <v>96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89</v>
      </c>
      <c r="C31" s="17" t="s">
        <v>90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92</v>
      </c>
      <c r="C32" s="4" t="s">
        <v>93</v>
      </c>
      <c r="D32" s="10" t="s">
        <v>102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100</v>
      </c>
      <c r="C33" s="12" t="s">
        <v>101</v>
      </c>
      <c r="D33" s="15" t="s">
        <v>105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111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112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113</v>
      </c>
      <c r="C37" s="4" t="s">
        <v>114</v>
      </c>
      <c r="D37" s="10" t="s">
        <v>115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116</v>
      </c>
      <c r="C38" s="4" t="s">
        <v>798</v>
      </c>
      <c r="D38" s="10" t="s">
        <v>73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118</v>
      </c>
      <c r="C39" s="12" t="s">
        <v>799</v>
      </c>
      <c r="D39" s="15" t="s">
        <v>76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541</v>
      </c>
      <c r="C43" s="4" t="s">
        <v>542</v>
      </c>
      <c r="D43" s="10" t="s">
        <v>115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543</v>
      </c>
      <c r="C44" s="4" t="s">
        <v>43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126</v>
      </c>
      <c r="C45" s="4" t="s">
        <v>127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133</v>
      </c>
      <c r="C48" s="4" t="s">
        <v>130</v>
      </c>
      <c r="D48" s="10" t="s">
        <v>49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134</v>
      </c>
      <c r="C49" s="4" t="s">
        <v>156</v>
      </c>
      <c r="D49" s="16" t="s">
        <v>178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138</v>
      </c>
      <c r="C50" s="4" t="s">
        <v>139</v>
      </c>
      <c r="D50" s="10" t="s">
        <v>76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142</v>
      </c>
      <c r="C51" s="4" t="s">
        <v>139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544</v>
      </c>
      <c r="C52" s="4" t="s">
        <v>139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143</v>
      </c>
      <c r="C53" s="4" t="s">
        <v>139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111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545</v>
      </c>
      <c r="C57" s="12" t="s">
        <v>147</v>
      </c>
      <c r="D57" s="15" t="s">
        <v>115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111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546</v>
      </c>
      <c r="C62" s="17" t="s">
        <v>547</v>
      </c>
      <c r="D62" s="10" t="s">
        <v>115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548</v>
      </c>
      <c r="C63" s="17" t="s">
        <v>549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155</v>
      </c>
      <c r="C64" s="4" t="s">
        <v>156</v>
      </c>
      <c r="D64" s="10" t="s">
        <v>199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550</v>
      </c>
      <c r="C65" s="17" t="s">
        <v>158</v>
      </c>
      <c r="D65" s="15" t="s">
        <v>460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551</v>
      </c>
      <c r="C66" s="17" t="s">
        <v>156</v>
      </c>
      <c r="D66" s="15" t="s">
        <v>41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161</v>
      </c>
      <c r="C67" s="4" t="s">
        <v>139</v>
      </c>
      <c r="D67" s="10" t="s">
        <v>68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163</v>
      </c>
      <c r="C68" s="17" t="s">
        <v>70</v>
      </c>
      <c r="D68" s="10" t="s">
        <v>68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164</v>
      </c>
      <c r="C69" s="17" t="s">
        <v>70</v>
      </c>
      <c r="D69" s="10" t="s">
        <v>68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165</v>
      </c>
      <c r="C70" s="4" t="s">
        <v>166</v>
      </c>
      <c r="D70" s="10" t="s">
        <v>162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168</v>
      </c>
      <c r="C71" s="4" t="s">
        <v>139</v>
      </c>
      <c r="D71" s="10" t="s">
        <v>76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111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169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552</v>
      </c>
      <c r="C76" s="4" t="s">
        <v>553</v>
      </c>
      <c r="D76" s="15" t="s">
        <v>554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172</v>
      </c>
      <c r="C77" s="12" t="s">
        <v>555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176</v>
      </c>
      <c r="C78" s="4" t="s">
        <v>177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183</v>
      </c>
      <c r="C79" s="4" t="s">
        <v>186</v>
      </c>
      <c r="D79" s="10" t="s">
        <v>119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185</v>
      </c>
      <c r="C80" s="4" t="s">
        <v>186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187</v>
      </c>
      <c r="C81" s="4" t="s">
        <v>188</v>
      </c>
      <c r="D81" s="10" t="s">
        <v>105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111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189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192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190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195</v>
      </c>
      <c r="C87" s="4" t="s">
        <v>130</v>
      </c>
      <c r="D87" s="10" t="s">
        <v>49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196</v>
      </c>
      <c r="C88" s="4" t="s">
        <v>556</v>
      </c>
      <c r="D88" s="15" t="s">
        <v>52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197</v>
      </c>
      <c r="C89" s="12" t="s">
        <v>158</v>
      </c>
      <c r="D89" s="15" t="s">
        <v>460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198</v>
      </c>
      <c r="C90" s="12" t="s">
        <v>156</v>
      </c>
      <c r="D90" s="15" t="s">
        <v>230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200</v>
      </c>
      <c r="C91" s="17" t="s">
        <v>70</v>
      </c>
      <c r="D91" s="15" t="s">
        <v>68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201</v>
      </c>
      <c r="C92" s="17" t="s">
        <v>158</v>
      </c>
      <c r="D92" s="15" t="s">
        <v>159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204</v>
      </c>
      <c r="C93" s="4" t="s">
        <v>205</v>
      </c>
      <c r="D93" s="10" t="s">
        <v>76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206</v>
      </c>
      <c r="C94" s="17" t="s">
        <v>207</v>
      </c>
      <c r="D94" s="15" t="s">
        <v>102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111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209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210</v>
      </c>
      <c r="C98" s="4" t="s">
        <v>211</v>
      </c>
      <c r="D98" s="16" t="s">
        <v>154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213</v>
      </c>
      <c r="C99" s="4" t="s">
        <v>214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219</v>
      </c>
      <c r="C100" s="4" t="s">
        <v>220</v>
      </c>
      <c r="D100" s="15" t="s">
        <v>162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221</v>
      </c>
      <c r="C101" s="4" t="s">
        <v>222</v>
      </c>
      <c r="D101" s="15" t="s">
        <v>76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111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223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228</v>
      </c>
      <c r="C107" s="4" t="s">
        <v>442</v>
      </c>
      <c r="D107" s="10" t="s">
        <v>52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231</v>
      </c>
      <c r="C108" s="4" t="s">
        <v>442</v>
      </c>
      <c r="D108" s="10" t="s">
        <v>52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232</v>
      </c>
      <c r="C109" s="4" t="s">
        <v>233</v>
      </c>
      <c r="D109" s="15" t="s">
        <v>557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235</v>
      </c>
      <c r="C110" s="4" t="s">
        <v>233</v>
      </c>
      <c r="D110" s="10" t="s">
        <v>558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236</v>
      </c>
      <c r="C111" s="4" t="s">
        <v>233</v>
      </c>
      <c r="D111" s="15" t="s">
        <v>102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111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237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152</v>
      </c>
      <c r="C115" s="4" t="s">
        <v>130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238</v>
      </c>
      <c r="C116" s="4" t="s">
        <v>239</v>
      </c>
      <c r="D116" s="15" t="s">
        <v>162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179</v>
      </c>
      <c r="C117" s="12" t="s">
        <v>559</v>
      </c>
      <c r="D117" s="15" t="s">
        <v>65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111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252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253</v>
      </c>
      <c r="C121" s="12" t="s">
        <v>254</v>
      </c>
      <c r="D121" s="15" t="s">
        <v>115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255</v>
      </c>
      <c r="C122" s="12" t="s">
        <v>256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257</v>
      </c>
      <c r="C123" s="12" t="s">
        <v>258</v>
      </c>
      <c r="D123" s="15" t="s">
        <v>131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560</v>
      </c>
      <c r="C124" s="12" t="s">
        <v>258</v>
      </c>
      <c r="D124" s="15" t="s">
        <v>49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259</v>
      </c>
      <c r="C125" s="12" t="s">
        <v>260</v>
      </c>
      <c r="D125" s="15" t="s">
        <v>178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261</v>
      </c>
      <c r="C126" s="12" t="s">
        <v>495</v>
      </c>
      <c r="D126" s="15" t="s">
        <v>199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262</v>
      </c>
      <c r="C127" s="12" t="s">
        <v>260</v>
      </c>
      <c r="D127" s="15" t="s">
        <v>46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265</v>
      </c>
      <c r="C128" s="12" t="s">
        <v>266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267</v>
      </c>
      <c r="C129" s="12" t="s">
        <v>268</v>
      </c>
      <c r="D129" s="15" t="s">
        <v>105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111</v>
      </c>
      <c r="C131" s="26" t="s">
        <v>496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561</v>
      </c>
      <c r="C134" s="12" t="s">
        <v>562</v>
      </c>
      <c r="D134" s="15" t="s">
        <v>115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563</v>
      </c>
      <c r="C135" s="12" t="s">
        <v>564</v>
      </c>
      <c r="D135" s="15" t="s">
        <v>154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276</v>
      </c>
      <c r="C136" s="4" t="s">
        <v>277</v>
      </c>
      <c r="D136" s="16" t="s">
        <v>154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278</v>
      </c>
      <c r="C137" s="12" t="s">
        <v>565</v>
      </c>
      <c r="D137" s="15" t="s">
        <v>41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280</v>
      </c>
      <c r="C138" s="4" t="s">
        <v>566</v>
      </c>
      <c r="D138" s="15" t="s">
        <v>41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282</v>
      </c>
      <c r="C139" s="4" t="s">
        <v>566</v>
      </c>
      <c r="D139" s="15" t="s">
        <v>41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215</v>
      </c>
      <c r="C140" s="12" t="s">
        <v>567</v>
      </c>
      <c r="D140" s="15" t="s">
        <v>65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283</v>
      </c>
      <c r="C141" s="12" t="s">
        <v>567</v>
      </c>
      <c r="D141" s="15" t="s">
        <v>65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284</v>
      </c>
      <c r="C142" s="4" t="s">
        <v>568</v>
      </c>
      <c r="D142" s="15" t="s">
        <v>65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60</v>
      </c>
      <c r="C145" s="12" t="s">
        <v>569</v>
      </c>
      <c r="D145" s="15" t="s">
        <v>65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290</v>
      </c>
      <c r="C146" s="4" t="s">
        <v>291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292</v>
      </c>
      <c r="C147" s="4" t="s">
        <v>570</v>
      </c>
      <c r="D147" s="15" t="s">
        <v>119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293</v>
      </c>
      <c r="C148" s="4" t="s">
        <v>570</v>
      </c>
      <c r="D148" s="15" t="s">
        <v>302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295</v>
      </c>
      <c r="C149" s="4" t="s">
        <v>570</v>
      </c>
      <c r="D149" s="15" t="s">
        <v>302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296</v>
      </c>
      <c r="C150" s="12" t="s">
        <v>297</v>
      </c>
      <c r="D150" s="15" t="s">
        <v>76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314</v>
      </c>
      <c r="C157" s="12" t="s">
        <v>315</v>
      </c>
      <c r="D157" s="15" t="s">
        <v>105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316</v>
      </c>
      <c r="C158" s="12" t="s">
        <v>317</v>
      </c>
      <c r="D158" s="15" t="s">
        <v>105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318</v>
      </c>
      <c r="C159" s="12" t="s">
        <v>319</v>
      </c>
      <c r="D159" s="15" t="s">
        <v>105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320</v>
      </c>
      <c r="C160" s="12" t="s">
        <v>321</v>
      </c>
      <c r="D160" s="15" t="s">
        <v>102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322</v>
      </c>
      <c r="C161" s="12" t="s">
        <v>317</v>
      </c>
      <c r="D161" s="15" t="s">
        <v>105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345</v>
      </c>
      <c r="C173" s="12" t="s">
        <v>346</v>
      </c>
      <c r="D173" s="15" t="s">
        <v>353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348</v>
      </c>
      <c r="C174" s="12" t="s">
        <v>346</v>
      </c>
      <c r="D174" s="15" t="s">
        <v>353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349</v>
      </c>
      <c r="C175" s="12" t="s">
        <v>346</v>
      </c>
      <c r="D175" s="15" t="s">
        <v>347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499</v>
      </c>
      <c r="C184" s="12" t="s">
        <v>352</v>
      </c>
      <c r="D184" s="15" t="s">
        <v>366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364</v>
      </c>
      <c r="C186" s="12" t="s">
        <v>365</v>
      </c>
      <c r="D186" s="15" t="s">
        <v>378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369</v>
      </c>
      <c r="C187" s="12" t="s">
        <v>355</v>
      </c>
      <c r="D187" s="15" t="s">
        <v>571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371</v>
      </c>
      <c r="C188" s="12" t="s">
        <v>372</v>
      </c>
      <c r="D188" s="15" t="s">
        <v>572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374</v>
      </c>
      <c r="C189" s="12" t="s">
        <v>372</v>
      </c>
      <c r="D189" s="15" t="s">
        <v>572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375</v>
      </c>
      <c r="C190" s="12" t="s">
        <v>372</v>
      </c>
      <c r="D190" s="15" t="s">
        <v>572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376</v>
      </c>
      <c r="C191" s="12" t="s">
        <v>377</v>
      </c>
      <c r="D191" s="15" t="s">
        <v>368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379</v>
      </c>
      <c r="C192" s="12" t="s">
        <v>377</v>
      </c>
      <c r="D192" s="15" t="s">
        <v>368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111</v>
      </c>
      <c r="C193" s="28" t="s">
        <v>573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381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814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504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505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506</v>
      </c>
      <c r="B4" s="542" t="s">
        <v>507</v>
      </c>
      <c r="C4" s="543" t="s">
        <v>508</v>
      </c>
      <c r="D4" s="542" t="s">
        <v>509</v>
      </c>
      <c r="E4" s="543" t="s">
        <v>510</v>
      </c>
      <c r="F4" s="543" t="s">
        <v>511</v>
      </c>
      <c r="G4" s="543" t="s">
        <v>512</v>
      </c>
      <c r="H4" s="543" t="s">
        <v>513</v>
      </c>
      <c r="I4" s="543" t="s">
        <v>514</v>
      </c>
      <c r="J4" s="543"/>
      <c r="K4" s="543"/>
      <c r="L4" s="543"/>
      <c r="M4" s="543" t="s">
        <v>515</v>
      </c>
      <c r="N4" s="543" t="s">
        <v>516</v>
      </c>
      <c r="O4" s="543" t="s">
        <v>517</v>
      </c>
      <c r="P4" s="543" t="s">
        <v>518</v>
      </c>
      <c r="Q4" s="543" t="s">
        <v>519</v>
      </c>
      <c r="R4" s="543" t="s">
        <v>520</v>
      </c>
      <c r="S4" s="543" t="s">
        <v>521</v>
      </c>
      <c r="T4" s="543" t="s">
        <v>522</v>
      </c>
      <c r="U4" s="543" t="s">
        <v>523</v>
      </c>
      <c r="V4" s="543" t="s">
        <v>524</v>
      </c>
      <c r="W4" s="543"/>
      <c r="X4" s="543" t="s">
        <v>525</v>
      </c>
      <c r="Y4" s="543" t="s">
        <v>526</v>
      </c>
      <c r="Z4" s="543" t="s">
        <v>527</v>
      </c>
      <c r="AA4" s="551"/>
      <c r="AB4" s="551" t="s">
        <v>444</v>
      </c>
    </row>
    <row r="5" ht="17.5" spans="1:31">
      <c r="A5" s="544">
        <v>1</v>
      </c>
      <c r="B5" s="8" t="s">
        <v>22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26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29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31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273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536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33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36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39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42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44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47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50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53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63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66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69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815</v>
      </c>
      <c r="AD22" s="213"/>
      <c r="AE22" s="213"/>
    </row>
    <row r="23" ht="18" spans="1:31">
      <c r="A23" s="544">
        <v>20</v>
      </c>
      <c r="B23" s="14" t="s">
        <v>71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77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80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81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82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85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88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89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92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100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113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116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118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125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541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543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126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129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132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133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134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138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142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544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143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545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148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151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546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548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155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550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551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161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163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164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165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168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170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552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172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176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183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185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187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189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652</v>
      </c>
      <c r="AC79" s="213"/>
      <c r="AD79" s="213"/>
      <c r="AE79" s="213"/>
    </row>
    <row r="80" ht="18" spans="1:31">
      <c r="A80" s="544">
        <v>68</v>
      </c>
      <c r="B80" s="11" t="s">
        <v>192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192</v>
      </c>
      <c r="AD80" s="213"/>
      <c r="AE80" s="213"/>
    </row>
    <row r="81" s="537" customFormat="1" ht="18" spans="1:31">
      <c r="A81" s="548">
        <v>69</v>
      </c>
      <c r="B81" s="11" t="s">
        <v>190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190</v>
      </c>
      <c r="AD81" s="556"/>
      <c r="AE81" s="556"/>
    </row>
    <row r="82" s="537" customFormat="1" ht="36" spans="1:31">
      <c r="A82" s="548">
        <v>70</v>
      </c>
      <c r="B82" s="11" t="s">
        <v>195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195</v>
      </c>
      <c r="AD82" s="556"/>
      <c r="AE82" s="556"/>
    </row>
    <row r="83" ht="18" spans="1:31">
      <c r="A83" s="544">
        <v>71</v>
      </c>
      <c r="B83" s="11" t="s">
        <v>196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196</v>
      </c>
      <c r="AD83" s="213"/>
      <c r="AE83" s="213"/>
    </row>
    <row r="84" ht="18" spans="1:31">
      <c r="A84" s="544">
        <v>72</v>
      </c>
      <c r="B84" s="11" t="s">
        <v>197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197</v>
      </c>
      <c r="AD84" s="213"/>
      <c r="AE84" s="213"/>
    </row>
    <row r="85" s="537" customFormat="1" ht="36" spans="1:31">
      <c r="A85" s="548">
        <v>73</v>
      </c>
      <c r="B85" s="11" t="s">
        <v>198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198</v>
      </c>
      <c r="AD85" s="556"/>
      <c r="AE85" s="556"/>
    </row>
    <row r="86" ht="18" spans="1:31">
      <c r="A86" s="544">
        <v>74</v>
      </c>
      <c r="B86" s="11" t="s">
        <v>200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200</v>
      </c>
      <c r="AD86" s="213"/>
      <c r="AE86" s="213"/>
    </row>
    <row r="87" ht="24" customHeight="1" spans="1:31">
      <c r="A87" s="544">
        <v>75</v>
      </c>
      <c r="B87" s="11" t="s">
        <v>201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201</v>
      </c>
      <c r="AD87" s="213"/>
      <c r="AE87" s="213"/>
    </row>
    <row r="88" ht="18" spans="1:31">
      <c r="A88" s="544">
        <v>76</v>
      </c>
      <c r="B88" s="11" t="s">
        <v>204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204</v>
      </c>
      <c r="AD88" s="213"/>
      <c r="AE88" s="213"/>
    </row>
    <row r="89" ht="18" spans="1:31">
      <c r="A89" s="544"/>
      <c r="B89" s="11" t="s">
        <v>206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206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209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210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210</v>
      </c>
      <c r="AD93" s="556"/>
      <c r="AE93" s="556"/>
    </row>
    <row r="94" ht="18" spans="1:31">
      <c r="A94" s="544">
        <v>80</v>
      </c>
      <c r="B94" s="11" t="s">
        <v>213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213</v>
      </c>
      <c r="AD94" s="213"/>
      <c r="AE94" s="213"/>
    </row>
    <row r="95" ht="18" spans="1:31">
      <c r="A95" s="544">
        <v>81</v>
      </c>
      <c r="B95" s="11" t="s">
        <v>219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219</v>
      </c>
      <c r="AD95" s="213"/>
      <c r="AE95" s="213"/>
    </row>
    <row r="96" ht="18" spans="1:31">
      <c r="A96" s="544"/>
      <c r="B96" s="11" t="s">
        <v>221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221</v>
      </c>
      <c r="AD96" s="213"/>
      <c r="AE96" s="213"/>
    </row>
    <row r="97" ht="17.5" spans="1:31">
      <c r="A97" s="544"/>
      <c r="B97" s="20" t="s">
        <v>111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223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444</v>
      </c>
      <c r="AC99" s="213"/>
      <c r="AD99" s="213"/>
      <c r="AE99" s="213"/>
    </row>
    <row r="100" ht="18" spans="1:31">
      <c r="A100" s="544">
        <v>85</v>
      </c>
      <c r="B100" s="11" t="s">
        <v>224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224</v>
      </c>
      <c r="AD100" s="213"/>
      <c r="AE100" s="213"/>
    </row>
    <row r="101" ht="18" spans="1:31">
      <c r="A101" s="544">
        <v>86</v>
      </c>
      <c r="B101" s="11" t="s">
        <v>226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226</v>
      </c>
      <c r="AD101" s="213"/>
      <c r="AE101" s="213"/>
    </row>
    <row r="102" ht="18" spans="1:31">
      <c r="A102" s="544">
        <v>87</v>
      </c>
      <c r="B102" s="11" t="s">
        <v>228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228</v>
      </c>
      <c r="AD102" s="213"/>
      <c r="AE102" s="213"/>
    </row>
    <row r="103" ht="18" spans="1:31">
      <c r="A103" s="544">
        <v>88</v>
      </c>
      <c r="B103" s="11" t="s">
        <v>231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231</v>
      </c>
      <c r="AD103" s="213"/>
      <c r="AE103" s="213"/>
    </row>
    <row r="104" ht="18" spans="1:31">
      <c r="A104" s="544">
        <v>89</v>
      </c>
      <c r="B104" s="11" t="s">
        <v>232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232</v>
      </c>
      <c r="AD104" s="213"/>
      <c r="AE104" s="213"/>
    </row>
    <row r="105" ht="36" spans="1:31">
      <c r="A105" s="544"/>
      <c r="B105" s="18" t="s">
        <v>235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235</v>
      </c>
      <c r="AD105" s="213"/>
      <c r="AE105" s="213"/>
    </row>
    <row r="106" ht="18" spans="1:31">
      <c r="A106" s="544"/>
      <c r="B106" s="18" t="s">
        <v>236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236</v>
      </c>
      <c r="AD106" s="213"/>
      <c r="AE106" s="213"/>
    </row>
    <row r="107" ht="17.5" spans="1:31">
      <c r="A107" s="544"/>
      <c r="B107" s="20" t="s">
        <v>111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237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152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238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179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252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253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255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257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560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259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261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262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265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267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269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272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561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563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276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278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280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282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215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283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284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286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288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60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290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292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293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295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296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298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300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303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305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307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309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314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316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318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320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322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331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334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335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336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337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338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340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341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342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343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344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345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348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349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351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354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357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358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359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360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361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362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499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363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364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369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371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374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375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376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379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816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817</v>
      </c>
      <c r="AB190" s="563">
        <f>AB81+AB82+AB83+AB84+AB86+AB88+AB89+AB94+AB95+AB96+AB102+AB103+AB104+AB105+AB106</f>
        <v>-351613.557404481</v>
      </c>
    </row>
    <row r="191" ht="14" spans="24:28">
      <c r="X191" s="294" t="s">
        <v>818</v>
      </c>
      <c r="AB191" s="564">
        <f>AB87+AB85+AB74+AB61+AB21+AB19+AB18+AB16+AB15</f>
        <v>126852.23813</v>
      </c>
    </row>
    <row r="192" ht="14" spans="24:28">
      <c r="X192" s="294" t="s">
        <v>819</v>
      </c>
      <c r="AB192" s="565">
        <f>SUM(AB190:AB191)</f>
        <v>-224761.319274481</v>
      </c>
    </row>
    <row r="193" ht="14" spans="24:28">
      <c r="X193" s="294" t="s">
        <v>820</v>
      </c>
      <c r="AB193" s="566">
        <f>-6517.49</f>
        <v>-6517.49</v>
      </c>
    </row>
    <row r="194" ht="24.75" customHeight="1" spans="24:28">
      <c r="X194" s="294" t="s">
        <v>651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21</v>
      </c>
      <c r="B2" s="528" t="s">
        <v>507</v>
      </c>
      <c r="C2" s="529" t="s">
        <v>821</v>
      </c>
      <c r="D2" s="529" t="s">
        <v>822</v>
      </c>
      <c r="E2" s="529" t="s">
        <v>823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190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195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196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197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200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204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206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213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219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221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228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231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232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235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236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111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824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751</v>
      </c>
      <c r="F4" s="218" t="s">
        <v>804</v>
      </c>
      <c r="G4" s="218" t="s">
        <v>805</v>
      </c>
      <c r="H4" s="218" t="s">
        <v>806</v>
      </c>
      <c r="I4" s="218" t="s">
        <v>8</v>
      </c>
      <c r="J4" s="505" t="s">
        <v>705</v>
      </c>
      <c r="K4" s="505" t="s">
        <v>807</v>
      </c>
      <c r="L4" s="505" t="s">
        <v>808</v>
      </c>
      <c r="M4" s="506" t="s">
        <v>809</v>
      </c>
      <c r="N4" s="506" t="s">
        <v>810</v>
      </c>
      <c r="O4" s="506" t="s">
        <v>811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273</v>
      </c>
      <c r="C11" s="4" t="s">
        <v>795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536</v>
      </c>
      <c r="C12" s="10" t="s">
        <v>537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33</v>
      </c>
      <c r="C13" s="12" t="s">
        <v>538</v>
      </c>
      <c r="D13" s="15" t="s">
        <v>131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36</v>
      </c>
      <c r="C14" s="4" t="s">
        <v>37</v>
      </c>
      <c r="D14" s="10" t="s">
        <v>49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39</v>
      </c>
      <c r="C15" s="4" t="s">
        <v>40</v>
      </c>
      <c r="D15" s="15" t="s">
        <v>41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42</v>
      </c>
      <c r="C16" s="17" t="s">
        <v>156</v>
      </c>
      <c r="D16" s="15" t="s">
        <v>178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44</v>
      </c>
      <c r="C17" s="4" t="s">
        <v>45</v>
      </c>
      <c r="D17" s="10" t="s">
        <v>199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47</v>
      </c>
      <c r="C18" s="4" t="s">
        <v>539</v>
      </c>
      <c r="D18" s="10" t="s">
        <v>52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50</v>
      </c>
      <c r="C19" s="12" t="s">
        <v>51</v>
      </c>
      <c r="D19" s="15" t="s">
        <v>460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53</v>
      </c>
      <c r="C20" s="4" t="s">
        <v>796</v>
      </c>
      <c r="D20" s="15" t="s">
        <v>540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63</v>
      </c>
      <c r="C21" s="12" t="s">
        <v>64</v>
      </c>
      <c r="D21" s="15" t="s">
        <v>162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66</v>
      </c>
      <c r="C22" s="17" t="s">
        <v>797</v>
      </c>
      <c r="D22" s="10" t="s">
        <v>137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69</v>
      </c>
      <c r="C23" s="17" t="s">
        <v>70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71</v>
      </c>
      <c r="C24" s="17" t="s">
        <v>72</v>
      </c>
      <c r="D24" s="10" t="s">
        <v>73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77</v>
      </c>
      <c r="C25" s="4" t="s">
        <v>78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80</v>
      </c>
      <c r="C26" s="12" t="s">
        <v>78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81</v>
      </c>
      <c r="C27" s="17" t="s">
        <v>67</v>
      </c>
      <c r="D27" s="10" t="s">
        <v>84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85</v>
      </c>
      <c r="C29" s="4" t="s">
        <v>86</v>
      </c>
      <c r="D29" s="10" t="s">
        <v>96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88</v>
      </c>
      <c r="C30" s="4" t="s">
        <v>86</v>
      </c>
      <c r="D30" s="10" t="s">
        <v>96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89</v>
      </c>
      <c r="C31" s="17" t="s">
        <v>90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92</v>
      </c>
      <c r="C32" s="4" t="s">
        <v>93</v>
      </c>
      <c r="D32" s="10" t="s">
        <v>102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100</v>
      </c>
      <c r="C33" s="12" t="s">
        <v>101</v>
      </c>
      <c r="D33" s="15" t="s">
        <v>105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111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112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113</v>
      </c>
      <c r="C37" s="4" t="s">
        <v>114</v>
      </c>
      <c r="D37" s="10" t="s">
        <v>115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116</v>
      </c>
      <c r="C38" s="4" t="s">
        <v>798</v>
      </c>
      <c r="D38" s="10" t="s">
        <v>73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118</v>
      </c>
      <c r="C39" s="12" t="s">
        <v>799</v>
      </c>
      <c r="D39" s="15" t="s">
        <v>76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541</v>
      </c>
      <c r="C43" s="4" t="s">
        <v>542</v>
      </c>
      <c r="D43" s="10" t="s">
        <v>115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543</v>
      </c>
      <c r="C44" s="4" t="s">
        <v>43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126</v>
      </c>
      <c r="C45" s="4" t="s">
        <v>127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133</v>
      </c>
      <c r="C48" s="4" t="s">
        <v>130</v>
      </c>
      <c r="D48" s="10" t="s">
        <v>49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134</v>
      </c>
      <c r="C49" s="4" t="s">
        <v>156</v>
      </c>
      <c r="D49" s="16" t="s">
        <v>178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138</v>
      </c>
      <c r="C50" s="4" t="s">
        <v>139</v>
      </c>
      <c r="D50" s="10" t="s">
        <v>76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142</v>
      </c>
      <c r="C51" s="4" t="s">
        <v>139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544</v>
      </c>
      <c r="C52" s="4" t="s">
        <v>139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143</v>
      </c>
      <c r="C53" s="4" t="s">
        <v>139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111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545</v>
      </c>
      <c r="C57" s="12" t="s">
        <v>147</v>
      </c>
      <c r="D57" s="15" t="s">
        <v>115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111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546</v>
      </c>
      <c r="C62" s="17" t="s">
        <v>547</v>
      </c>
      <c r="D62" s="10" t="s">
        <v>115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548</v>
      </c>
      <c r="C63" s="17" t="s">
        <v>549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155</v>
      </c>
      <c r="C64" s="4" t="s">
        <v>156</v>
      </c>
      <c r="D64" s="10" t="s">
        <v>199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550</v>
      </c>
      <c r="C65" s="17" t="s">
        <v>158</v>
      </c>
      <c r="D65" s="15" t="s">
        <v>460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551</v>
      </c>
      <c r="C66" s="17" t="s">
        <v>156</v>
      </c>
      <c r="D66" s="15" t="s">
        <v>41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161</v>
      </c>
      <c r="C67" s="4" t="s">
        <v>139</v>
      </c>
      <c r="D67" s="10" t="s">
        <v>68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163</v>
      </c>
      <c r="C68" s="17" t="s">
        <v>70</v>
      </c>
      <c r="D68" s="10" t="s">
        <v>68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164</v>
      </c>
      <c r="C69" s="17" t="s">
        <v>70</v>
      </c>
      <c r="D69" s="10" t="s">
        <v>68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165</v>
      </c>
      <c r="C70" s="4" t="s">
        <v>166</v>
      </c>
      <c r="D70" s="10" t="s">
        <v>162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168</v>
      </c>
      <c r="C71" s="4" t="s">
        <v>139</v>
      </c>
      <c r="D71" s="10" t="s">
        <v>76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111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169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552</v>
      </c>
      <c r="C76" s="4" t="s">
        <v>553</v>
      </c>
      <c r="D76" s="15" t="s">
        <v>554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172</v>
      </c>
      <c r="C77" s="12" t="s">
        <v>555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176</v>
      </c>
      <c r="C78" s="4" t="s">
        <v>177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183</v>
      </c>
      <c r="C79" s="4" t="s">
        <v>186</v>
      </c>
      <c r="D79" s="10" t="s">
        <v>119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185</v>
      </c>
      <c r="C80" s="4" t="s">
        <v>186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187</v>
      </c>
      <c r="C81" s="4" t="s">
        <v>188</v>
      </c>
      <c r="D81" s="10" t="s">
        <v>105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111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189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192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190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195</v>
      </c>
      <c r="C87" s="4" t="s">
        <v>130</v>
      </c>
      <c r="D87" s="10" t="s">
        <v>49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196</v>
      </c>
      <c r="C88" s="4" t="s">
        <v>556</v>
      </c>
      <c r="D88" s="15" t="s">
        <v>52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197</v>
      </c>
      <c r="C89" s="12" t="s">
        <v>158</v>
      </c>
      <c r="D89" s="15" t="s">
        <v>460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198</v>
      </c>
      <c r="C90" s="12" t="s">
        <v>156</v>
      </c>
      <c r="D90" s="15" t="s">
        <v>230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200</v>
      </c>
      <c r="C91" s="17" t="s">
        <v>70</v>
      </c>
      <c r="D91" s="15" t="s">
        <v>68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201</v>
      </c>
      <c r="C92" s="17" t="s">
        <v>158</v>
      </c>
      <c r="D92" s="15" t="s">
        <v>159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204</v>
      </c>
      <c r="C93" s="4" t="s">
        <v>205</v>
      </c>
      <c r="D93" s="10" t="s">
        <v>76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206</v>
      </c>
      <c r="C94" s="17" t="s">
        <v>207</v>
      </c>
      <c r="D94" s="15" t="s">
        <v>102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111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209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210</v>
      </c>
      <c r="C98" s="4" t="s">
        <v>211</v>
      </c>
      <c r="D98" s="16" t="s">
        <v>154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213</v>
      </c>
      <c r="C99" s="4" t="s">
        <v>214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219</v>
      </c>
      <c r="C100" s="4" t="s">
        <v>220</v>
      </c>
      <c r="D100" s="15" t="s">
        <v>162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221</v>
      </c>
      <c r="C101" s="4" t="s">
        <v>222</v>
      </c>
      <c r="D101" s="15" t="s">
        <v>76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111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223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228</v>
      </c>
      <c r="C107" s="4" t="s">
        <v>442</v>
      </c>
      <c r="D107" s="10" t="s">
        <v>52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231</v>
      </c>
      <c r="C108" s="4" t="s">
        <v>442</v>
      </c>
      <c r="D108" s="10" t="s">
        <v>52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232</v>
      </c>
      <c r="C109" s="4" t="s">
        <v>233</v>
      </c>
      <c r="D109" s="15" t="s">
        <v>557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235</v>
      </c>
      <c r="C110" s="4" t="s">
        <v>233</v>
      </c>
      <c r="D110" s="10" t="s">
        <v>558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236</v>
      </c>
      <c r="C111" s="4" t="s">
        <v>233</v>
      </c>
      <c r="D111" s="15" t="s">
        <v>102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111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237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152</v>
      </c>
      <c r="C115" s="4" t="s">
        <v>130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238</v>
      </c>
      <c r="C116" s="4" t="s">
        <v>239</v>
      </c>
      <c r="D116" s="15" t="s">
        <v>162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179</v>
      </c>
      <c r="C117" s="12" t="s">
        <v>559</v>
      </c>
      <c r="D117" s="15" t="s">
        <v>65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111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252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253</v>
      </c>
      <c r="C121" s="12" t="s">
        <v>254</v>
      </c>
      <c r="D121" s="15" t="s">
        <v>115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255</v>
      </c>
      <c r="C122" s="12" t="s">
        <v>256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257</v>
      </c>
      <c r="C123" s="12" t="s">
        <v>258</v>
      </c>
      <c r="D123" s="15" t="s">
        <v>131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560</v>
      </c>
      <c r="C124" s="12" t="s">
        <v>258</v>
      </c>
      <c r="D124" s="15" t="s">
        <v>49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259</v>
      </c>
      <c r="C125" s="12" t="s">
        <v>260</v>
      </c>
      <c r="D125" s="15" t="s">
        <v>178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261</v>
      </c>
      <c r="C126" s="12" t="s">
        <v>495</v>
      </c>
      <c r="D126" s="15" t="s">
        <v>199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262</v>
      </c>
      <c r="C127" s="12" t="s">
        <v>260</v>
      </c>
      <c r="D127" s="15" t="s">
        <v>46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265</v>
      </c>
      <c r="C128" s="12" t="s">
        <v>266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267</v>
      </c>
      <c r="C129" s="12" t="s">
        <v>268</v>
      </c>
      <c r="D129" s="15" t="s">
        <v>105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111</v>
      </c>
      <c r="C131" s="26" t="s">
        <v>496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561</v>
      </c>
      <c r="C134" s="12" t="s">
        <v>562</v>
      </c>
      <c r="D134" s="15" t="s">
        <v>115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563</v>
      </c>
      <c r="C135" s="12" t="s">
        <v>564</v>
      </c>
      <c r="D135" s="15" t="s">
        <v>154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276</v>
      </c>
      <c r="C136" s="4" t="s">
        <v>277</v>
      </c>
      <c r="D136" s="16" t="s">
        <v>154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278</v>
      </c>
      <c r="C137" s="12" t="s">
        <v>565</v>
      </c>
      <c r="D137" s="15" t="s">
        <v>41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280</v>
      </c>
      <c r="C138" s="4" t="s">
        <v>566</v>
      </c>
      <c r="D138" s="15" t="s">
        <v>41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282</v>
      </c>
      <c r="C139" s="4" t="s">
        <v>566</v>
      </c>
      <c r="D139" s="15" t="s">
        <v>41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215</v>
      </c>
      <c r="C140" s="12" t="s">
        <v>567</v>
      </c>
      <c r="D140" s="15" t="s">
        <v>65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283</v>
      </c>
      <c r="C141" s="12" t="s">
        <v>567</v>
      </c>
      <c r="D141" s="15" t="s">
        <v>65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284</v>
      </c>
      <c r="C142" s="4" t="s">
        <v>568</v>
      </c>
      <c r="D142" s="15" t="s">
        <v>65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60</v>
      </c>
      <c r="C145" s="12" t="s">
        <v>569</v>
      </c>
      <c r="D145" s="15" t="s">
        <v>65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290</v>
      </c>
      <c r="C146" s="4" t="s">
        <v>291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292</v>
      </c>
      <c r="C147" s="4" t="s">
        <v>570</v>
      </c>
      <c r="D147" s="15" t="s">
        <v>119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293</v>
      </c>
      <c r="C148" s="4" t="s">
        <v>570</v>
      </c>
      <c r="D148" s="15" t="s">
        <v>302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295</v>
      </c>
      <c r="C149" s="4" t="s">
        <v>570</v>
      </c>
      <c r="D149" s="15" t="s">
        <v>302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296</v>
      </c>
      <c r="C150" s="12" t="s">
        <v>297</v>
      </c>
      <c r="D150" s="15" t="s">
        <v>76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314</v>
      </c>
      <c r="C157" s="12" t="s">
        <v>315</v>
      </c>
      <c r="D157" s="15" t="s">
        <v>105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316</v>
      </c>
      <c r="C158" s="12" t="s">
        <v>317</v>
      </c>
      <c r="D158" s="15" t="s">
        <v>105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318</v>
      </c>
      <c r="C159" s="12" t="s">
        <v>319</v>
      </c>
      <c r="D159" s="15" t="s">
        <v>105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320</v>
      </c>
      <c r="C160" s="12" t="s">
        <v>321</v>
      </c>
      <c r="D160" s="15" t="s">
        <v>102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322</v>
      </c>
      <c r="C161" s="12" t="s">
        <v>317</v>
      </c>
      <c r="D161" s="15" t="s">
        <v>105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345</v>
      </c>
      <c r="C173" s="12" t="s">
        <v>346</v>
      </c>
      <c r="D173" s="15" t="s">
        <v>353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348</v>
      </c>
      <c r="C174" s="12" t="s">
        <v>346</v>
      </c>
      <c r="D174" s="15" t="s">
        <v>353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349</v>
      </c>
      <c r="C175" s="12" t="s">
        <v>346</v>
      </c>
      <c r="D175" s="15" t="s">
        <v>347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499</v>
      </c>
      <c r="C184" s="12" t="s">
        <v>352</v>
      </c>
      <c r="D184" s="15" t="s">
        <v>366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364</v>
      </c>
      <c r="C186" s="12" t="s">
        <v>365</v>
      </c>
      <c r="D186" s="15" t="s">
        <v>378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369</v>
      </c>
      <c r="C187" s="12" t="s">
        <v>355</v>
      </c>
      <c r="D187" s="15" t="s">
        <v>571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371</v>
      </c>
      <c r="C188" s="12" t="s">
        <v>372</v>
      </c>
      <c r="D188" s="15" t="s">
        <v>572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374</v>
      </c>
      <c r="C189" s="12" t="s">
        <v>372</v>
      </c>
      <c r="D189" s="15" t="s">
        <v>572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375</v>
      </c>
      <c r="C190" s="12" t="s">
        <v>372</v>
      </c>
      <c r="D190" s="15" t="s">
        <v>572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376</v>
      </c>
      <c r="C191" s="12" t="s">
        <v>377</v>
      </c>
      <c r="D191" s="15" t="s">
        <v>368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379</v>
      </c>
      <c r="C192" s="12" t="s">
        <v>377</v>
      </c>
      <c r="D192" s="15" t="s">
        <v>368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111</v>
      </c>
      <c r="C193" s="28" t="s">
        <v>573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381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504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506</v>
      </c>
      <c r="B4" s="462" t="s">
        <v>507</v>
      </c>
      <c r="C4" s="463" t="s">
        <v>508</v>
      </c>
      <c r="D4" s="462" t="s">
        <v>509</v>
      </c>
      <c r="E4" s="463" t="s">
        <v>510</v>
      </c>
      <c r="F4" s="463" t="s">
        <v>511</v>
      </c>
      <c r="G4" s="463" t="s">
        <v>512</v>
      </c>
      <c r="H4" s="463" t="s">
        <v>513</v>
      </c>
      <c r="I4" s="463" t="s">
        <v>514</v>
      </c>
      <c r="J4" s="463"/>
      <c r="K4" s="463"/>
      <c r="L4" s="463"/>
      <c r="M4" s="463" t="s">
        <v>515</v>
      </c>
      <c r="N4" s="463" t="s">
        <v>516</v>
      </c>
      <c r="O4" s="463" t="s">
        <v>517</v>
      </c>
      <c r="P4" s="463" t="s">
        <v>518</v>
      </c>
      <c r="Q4" s="463" t="s">
        <v>519</v>
      </c>
      <c r="R4" s="463" t="s">
        <v>520</v>
      </c>
      <c r="S4" s="463" t="s">
        <v>521</v>
      </c>
      <c r="T4" s="463" t="s">
        <v>522</v>
      </c>
      <c r="U4" s="463" t="s">
        <v>523</v>
      </c>
      <c r="V4" s="463" t="s">
        <v>524</v>
      </c>
      <c r="W4" s="463"/>
      <c r="X4" s="463" t="s">
        <v>525</v>
      </c>
      <c r="Y4" s="463" t="s">
        <v>526</v>
      </c>
      <c r="Z4" s="476" t="s">
        <v>527</v>
      </c>
      <c r="AA4" s="477"/>
      <c r="AB4" s="477" t="s">
        <v>444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536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543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544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546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548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550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551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552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Z79" s="481"/>
      <c r="AB79" s="296" t="s">
        <v>652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Z99" s="481"/>
      <c r="AB99" s="296" t="s">
        <v>444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560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561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563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314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316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318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320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322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499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371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374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375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376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379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653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654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825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826</v>
      </c>
      <c r="F5" s="218" t="s">
        <v>16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21</v>
      </c>
      <c r="B7" s="8" t="s">
        <v>22</v>
      </c>
      <c r="C7" s="8"/>
      <c r="D7" s="8"/>
      <c r="E7" s="82"/>
      <c r="F7" s="21"/>
    </row>
    <row r="8" ht="20.1" customHeight="1" spans="1: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273</v>
      </c>
      <c r="C12" s="4" t="s">
        <v>795</v>
      </c>
      <c r="D12" s="10" t="s">
        <v>28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536</v>
      </c>
      <c r="C13" s="10" t="s">
        <v>537</v>
      </c>
      <c r="D13" s="10" t="s">
        <v>28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33</v>
      </c>
      <c r="C14" s="12" t="s">
        <v>538</v>
      </c>
      <c r="D14" s="15" t="s">
        <v>131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36</v>
      </c>
      <c r="C15" s="4" t="s">
        <v>37</v>
      </c>
      <c r="D15" s="10" t="s">
        <v>49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39</v>
      </c>
      <c r="C16" s="4" t="s">
        <v>40</v>
      </c>
      <c r="D16" s="15" t="s">
        <v>41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42</v>
      </c>
      <c r="C17" s="17" t="s">
        <v>156</v>
      </c>
      <c r="D17" s="15" t="s">
        <v>178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44</v>
      </c>
      <c r="C18" s="4" t="s">
        <v>45</v>
      </c>
      <c r="D18" s="10" t="s">
        <v>199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47</v>
      </c>
      <c r="C19" s="4" t="s">
        <v>539</v>
      </c>
      <c r="D19" s="10" t="s">
        <v>52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50</v>
      </c>
      <c r="C20" s="12" t="s">
        <v>51</v>
      </c>
      <c r="D20" s="15" t="s">
        <v>460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53</v>
      </c>
      <c r="C21" s="4" t="s">
        <v>796</v>
      </c>
      <c r="D21" s="15" t="s">
        <v>540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63</v>
      </c>
      <c r="C22" s="12" t="s">
        <v>64</v>
      </c>
      <c r="D22" s="15" t="s">
        <v>162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66</v>
      </c>
      <c r="C23" s="17" t="s">
        <v>797</v>
      </c>
      <c r="D23" s="10" t="s">
        <v>137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69</v>
      </c>
      <c r="C24" s="17" t="s">
        <v>70</v>
      </c>
      <c r="D24" s="15" t="s">
        <v>137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71</v>
      </c>
      <c r="C25" s="17" t="s">
        <v>72</v>
      </c>
      <c r="D25" s="10" t="s">
        <v>73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77</v>
      </c>
      <c r="C26" s="4" t="s">
        <v>78</v>
      </c>
      <c r="D26" s="10" t="s">
        <v>84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80</v>
      </c>
      <c r="C27" s="12" t="s">
        <v>78</v>
      </c>
      <c r="D27" s="15" t="s">
        <v>84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81</v>
      </c>
      <c r="C28" s="17" t="s">
        <v>67</v>
      </c>
      <c r="D28" s="10" t="s">
        <v>84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82</v>
      </c>
      <c r="C29" s="12" t="s">
        <v>83</v>
      </c>
      <c r="D29" s="15" t="s">
        <v>87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85</v>
      </c>
      <c r="C30" s="4" t="s">
        <v>86</v>
      </c>
      <c r="D30" s="10" t="s">
        <v>96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88</v>
      </c>
      <c r="C31" s="4" t="s">
        <v>86</v>
      </c>
      <c r="D31" s="10" t="s">
        <v>96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89</v>
      </c>
      <c r="C32" s="17" t="s">
        <v>90</v>
      </c>
      <c r="D32" s="15" t="s">
        <v>84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92</v>
      </c>
      <c r="C33" s="4" t="s">
        <v>93</v>
      </c>
      <c r="D33" s="10" t="s">
        <v>102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100</v>
      </c>
      <c r="C34" s="12" t="s">
        <v>101</v>
      </c>
      <c r="D34" s="15" t="s">
        <v>105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111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112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113</v>
      </c>
      <c r="C38" s="4" t="s">
        <v>114</v>
      </c>
      <c r="D38" s="10" t="s">
        <v>115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116</v>
      </c>
      <c r="C39" s="4" t="s">
        <v>798</v>
      </c>
      <c r="D39" s="10" t="s">
        <v>73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118</v>
      </c>
      <c r="C40" s="12" t="s">
        <v>799</v>
      </c>
      <c r="D40" s="15" t="s">
        <v>76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125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541</v>
      </c>
      <c r="C44" s="4" t="s">
        <v>542</v>
      </c>
      <c r="D44" s="10" t="s">
        <v>115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543</v>
      </c>
      <c r="C45" s="4" t="s">
        <v>43</v>
      </c>
      <c r="D45" s="10" t="s">
        <v>131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126</v>
      </c>
      <c r="C46" s="4" t="s">
        <v>127</v>
      </c>
      <c r="D46" s="10" t="s">
        <v>35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129</v>
      </c>
      <c r="C47" s="4" t="s">
        <v>130</v>
      </c>
      <c r="D47" s="10" t="s">
        <v>131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132</v>
      </c>
      <c r="C48" s="4" t="s">
        <v>130</v>
      </c>
      <c r="D48" s="10" t="s">
        <v>131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133</v>
      </c>
      <c r="C49" s="4" t="s">
        <v>130</v>
      </c>
      <c r="D49" s="10" t="s">
        <v>49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134</v>
      </c>
      <c r="C50" s="4" t="s">
        <v>156</v>
      </c>
      <c r="D50" s="16" t="s">
        <v>178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138</v>
      </c>
      <c r="C51" s="4" t="s">
        <v>139</v>
      </c>
      <c r="D51" s="10" t="s">
        <v>76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142</v>
      </c>
      <c r="C52" s="4" t="s">
        <v>139</v>
      </c>
      <c r="D52" s="10" t="s">
        <v>87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544</v>
      </c>
      <c r="C53" s="4" t="s">
        <v>139</v>
      </c>
      <c r="D53" s="10" t="s">
        <v>87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143</v>
      </c>
      <c r="C54" s="4" t="s">
        <v>139</v>
      </c>
      <c r="D54" s="10" t="s">
        <v>87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111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145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545</v>
      </c>
      <c r="C58" s="12" t="s">
        <v>147</v>
      </c>
      <c r="D58" s="15" t="s">
        <v>115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148</v>
      </c>
      <c r="C59" s="12" t="s">
        <v>149</v>
      </c>
      <c r="D59" s="15" t="s">
        <v>150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111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151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546</v>
      </c>
      <c r="C63" s="17" t="s">
        <v>547</v>
      </c>
      <c r="D63" s="10" t="s">
        <v>115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548</v>
      </c>
      <c r="C64" s="17" t="s">
        <v>549</v>
      </c>
      <c r="D64" s="15" t="s">
        <v>38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155</v>
      </c>
      <c r="C65" s="4" t="s">
        <v>156</v>
      </c>
      <c r="D65" s="10" t="s">
        <v>199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550</v>
      </c>
      <c r="C66" s="17" t="s">
        <v>158</v>
      </c>
      <c r="D66" s="15" t="s">
        <v>460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551</v>
      </c>
      <c r="C67" s="17" t="s">
        <v>156</v>
      </c>
      <c r="D67" s="15" t="s">
        <v>41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161</v>
      </c>
      <c r="C68" s="4" t="s">
        <v>139</v>
      </c>
      <c r="D68" s="10" t="s">
        <v>68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163</v>
      </c>
      <c r="C69" s="17" t="s">
        <v>70</v>
      </c>
      <c r="D69" s="10" t="s">
        <v>68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164</v>
      </c>
      <c r="C70" s="17" t="s">
        <v>70</v>
      </c>
      <c r="D70" s="10" t="s">
        <v>68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165</v>
      </c>
      <c r="C71" s="4" t="s">
        <v>166</v>
      </c>
      <c r="D71" s="10" t="s">
        <v>162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168</v>
      </c>
      <c r="C72" s="4" t="s">
        <v>139</v>
      </c>
      <c r="D72" s="10" t="s">
        <v>76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111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169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170</v>
      </c>
      <c r="C76" s="4" t="s">
        <v>171</v>
      </c>
      <c r="D76" s="10" t="s">
        <v>115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552</v>
      </c>
      <c r="C77" s="4" t="s">
        <v>553</v>
      </c>
      <c r="D77" s="15" t="s">
        <v>554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172</v>
      </c>
      <c r="C78" s="12" t="s">
        <v>555</v>
      </c>
      <c r="D78" s="10" t="s">
        <v>150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176</v>
      </c>
      <c r="C79" s="4" t="s">
        <v>177</v>
      </c>
      <c r="D79" s="15" t="s">
        <v>46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183</v>
      </c>
      <c r="C80" s="4" t="s">
        <v>186</v>
      </c>
      <c r="D80" s="10" t="s">
        <v>119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185</v>
      </c>
      <c r="C81" s="4" t="s">
        <v>186</v>
      </c>
      <c r="D81" s="10" t="s">
        <v>87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187</v>
      </c>
      <c r="C82" s="4" t="s">
        <v>188</v>
      </c>
      <c r="D82" s="10" t="s">
        <v>105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111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189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192</v>
      </c>
      <c r="C86" s="4" t="s">
        <v>130</v>
      </c>
      <c r="D86" s="10" t="s">
        <v>131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190</v>
      </c>
      <c r="C87" s="4" t="s">
        <v>130</v>
      </c>
      <c r="D87" s="10" t="s">
        <v>131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195</v>
      </c>
      <c r="C88" s="4" t="s">
        <v>130</v>
      </c>
      <c r="D88" s="10" t="s">
        <v>49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196</v>
      </c>
      <c r="C89" s="4" t="s">
        <v>556</v>
      </c>
      <c r="D89" s="15" t="s">
        <v>52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197</v>
      </c>
      <c r="C90" s="12" t="s">
        <v>158</v>
      </c>
      <c r="D90" s="15" t="s">
        <v>460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198</v>
      </c>
      <c r="C91" s="12" t="s">
        <v>156</v>
      </c>
      <c r="D91" s="15" t="s">
        <v>230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200</v>
      </c>
      <c r="C92" s="17" t="s">
        <v>70</v>
      </c>
      <c r="D92" s="15" t="s">
        <v>68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201</v>
      </c>
      <c r="C93" s="17" t="s">
        <v>158</v>
      </c>
      <c r="D93" s="15" t="s">
        <v>159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204</v>
      </c>
      <c r="C94" s="4" t="s">
        <v>205</v>
      </c>
      <c r="D94" s="10" t="s">
        <v>76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206</v>
      </c>
      <c r="C95" s="17" t="s">
        <v>207</v>
      </c>
      <c r="D95" s="15" t="s">
        <v>102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111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209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210</v>
      </c>
      <c r="C99" s="4" t="s">
        <v>211</v>
      </c>
      <c r="D99" s="16" t="s">
        <v>154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213</v>
      </c>
      <c r="C100" s="4" t="s">
        <v>214</v>
      </c>
      <c r="D100" s="15" t="s">
        <v>46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219</v>
      </c>
      <c r="C101" s="4" t="s">
        <v>220</v>
      </c>
      <c r="D101" s="15" t="s">
        <v>162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221</v>
      </c>
      <c r="C102" s="4" t="s">
        <v>222</v>
      </c>
      <c r="D102" s="15" t="s">
        <v>76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111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223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224</v>
      </c>
      <c r="C106" s="12" t="s">
        <v>225</v>
      </c>
      <c r="D106" s="15" t="s">
        <v>115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226</v>
      </c>
      <c r="C107" s="4" t="s">
        <v>227</v>
      </c>
      <c r="D107" s="16" t="s">
        <v>154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228</v>
      </c>
      <c r="C108" s="4" t="s">
        <v>442</v>
      </c>
      <c r="D108" s="10" t="s">
        <v>52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231</v>
      </c>
      <c r="C109" s="4" t="s">
        <v>442</v>
      </c>
      <c r="D109" s="10" t="s">
        <v>52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232</v>
      </c>
      <c r="C110" s="4" t="s">
        <v>233</v>
      </c>
      <c r="D110" s="15" t="s">
        <v>557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235</v>
      </c>
      <c r="C111" s="4" t="s">
        <v>233</v>
      </c>
      <c r="D111" s="10" t="s">
        <v>558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236</v>
      </c>
      <c r="C112" s="4" t="s">
        <v>233</v>
      </c>
      <c r="D112" s="15" t="s">
        <v>102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111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237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152</v>
      </c>
      <c r="C116" s="4" t="s">
        <v>130</v>
      </c>
      <c r="D116" s="10" t="s">
        <v>38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238</v>
      </c>
      <c r="C117" s="4" t="s">
        <v>239</v>
      </c>
      <c r="D117" s="15" t="s">
        <v>162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179</v>
      </c>
      <c r="C118" s="12" t="s">
        <v>559</v>
      </c>
      <c r="D118" s="15" t="s">
        <v>65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111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252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253</v>
      </c>
      <c r="C122" s="12" t="s">
        <v>254</v>
      </c>
      <c r="D122" s="15" t="s">
        <v>115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255</v>
      </c>
      <c r="C123" s="12" t="s">
        <v>256</v>
      </c>
      <c r="D123" s="15" t="s">
        <v>35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257</v>
      </c>
      <c r="C124" s="12" t="s">
        <v>258</v>
      </c>
      <c r="D124" s="15" t="s">
        <v>131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560</v>
      </c>
      <c r="C125" s="12" t="s">
        <v>258</v>
      </c>
      <c r="D125" s="15" t="s">
        <v>49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259</v>
      </c>
      <c r="C126" s="12" t="s">
        <v>260</v>
      </c>
      <c r="D126" s="15" t="s">
        <v>178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261</v>
      </c>
      <c r="C127" s="12" t="s">
        <v>495</v>
      </c>
      <c r="D127" s="15" t="s">
        <v>199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262</v>
      </c>
      <c r="C128" s="12" t="s">
        <v>260</v>
      </c>
      <c r="D128" s="15" t="s">
        <v>46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265</v>
      </c>
      <c r="C129" s="12" t="s">
        <v>266</v>
      </c>
      <c r="D129" s="10" t="s">
        <v>84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267</v>
      </c>
      <c r="C130" s="12" t="s">
        <v>268</v>
      </c>
      <c r="D130" s="15" t="s">
        <v>105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269</v>
      </c>
      <c r="C131" s="12" t="s">
        <v>264</v>
      </c>
      <c r="D131" s="15" t="s">
        <v>105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111</v>
      </c>
      <c r="C132" s="26" t="s">
        <v>496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272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561</v>
      </c>
      <c r="C135" s="12" t="s">
        <v>562</v>
      </c>
      <c r="D135" s="15" t="s">
        <v>115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563</v>
      </c>
      <c r="C136" s="12" t="s">
        <v>564</v>
      </c>
      <c r="D136" s="15" t="s">
        <v>154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276</v>
      </c>
      <c r="C137" s="4" t="s">
        <v>277</v>
      </c>
      <c r="D137" s="16" t="s">
        <v>154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278</v>
      </c>
      <c r="C138" s="12" t="s">
        <v>565</v>
      </c>
      <c r="D138" s="15" t="s">
        <v>41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280</v>
      </c>
      <c r="C139" s="4" t="s">
        <v>566</v>
      </c>
      <c r="D139" s="15" t="s">
        <v>41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282</v>
      </c>
      <c r="C140" s="4" t="s">
        <v>566</v>
      </c>
      <c r="D140" s="15" t="s">
        <v>41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215</v>
      </c>
      <c r="C141" s="12" t="s">
        <v>567</v>
      </c>
      <c r="D141" s="15" t="s">
        <v>65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283</v>
      </c>
      <c r="C142" s="12" t="s">
        <v>567</v>
      </c>
      <c r="D142" s="15" t="s">
        <v>65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284</v>
      </c>
      <c r="C143" s="4" t="s">
        <v>568</v>
      </c>
      <c r="D143" s="15" t="s">
        <v>65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286</v>
      </c>
      <c r="C144" s="12" t="s">
        <v>287</v>
      </c>
      <c r="D144" s="15" t="s">
        <v>162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288</v>
      </c>
      <c r="C145" s="12" t="s">
        <v>289</v>
      </c>
      <c r="D145" s="15" t="s">
        <v>68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60</v>
      </c>
      <c r="C146" s="12" t="s">
        <v>569</v>
      </c>
      <c r="D146" s="15" t="s">
        <v>65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290</v>
      </c>
      <c r="C147" s="4" t="s">
        <v>291</v>
      </c>
      <c r="D147" s="15" t="s">
        <v>137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292</v>
      </c>
      <c r="C148" s="4" t="s">
        <v>570</v>
      </c>
      <c r="D148" s="15" t="s">
        <v>119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293</v>
      </c>
      <c r="C149" s="4" t="s">
        <v>570</v>
      </c>
      <c r="D149" s="15" t="s">
        <v>302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295</v>
      </c>
      <c r="C150" s="4" t="s">
        <v>570</v>
      </c>
      <c r="D150" s="15" t="s">
        <v>302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296</v>
      </c>
      <c r="C151" s="12" t="s">
        <v>297</v>
      </c>
      <c r="D151" s="15" t="s">
        <v>76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298</v>
      </c>
      <c r="C152" s="12" t="s">
        <v>299</v>
      </c>
      <c r="D152" s="10" t="s">
        <v>87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300</v>
      </c>
      <c r="C153" s="12" t="s">
        <v>301</v>
      </c>
      <c r="D153" s="15" t="s">
        <v>119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303</v>
      </c>
      <c r="C154" s="12" t="s">
        <v>304</v>
      </c>
      <c r="D154" s="15" t="s">
        <v>84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305</v>
      </c>
      <c r="C155" s="12" t="s">
        <v>306</v>
      </c>
      <c r="D155" s="15" t="s">
        <v>119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307</v>
      </c>
      <c r="C156" s="12" t="s">
        <v>308</v>
      </c>
      <c r="D156" s="15" t="s">
        <v>84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309</v>
      </c>
      <c r="C157" s="12" t="s">
        <v>310</v>
      </c>
      <c r="D157" s="15" t="s">
        <v>96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314</v>
      </c>
      <c r="C158" s="12" t="s">
        <v>315</v>
      </c>
      <c r="D158" s="15" t="s">
        <v>105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316</v>
      </c>
      <c r="C159" s="12" t="s">
        <v>317</v>
      </c>
      <c r="D159" s="15" t="s">
        <v>105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318</v>
      </c>
      <c r="C160" s="12" t="s">
        <v>319</v>
      </c>
      <c r="D160" s="15" t="s">
        <v>105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320</v>
      </c>
      <c r="C161" s="12" t="s">
        <v>321</v>
      </c>
      <c r="D161" s="15" t="s">
        <v>102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322</v>
      </c>
      <c r="C162" s="12" t="s">
        <v>317</v>
      </c>
      <c r="D162" s="15" t="s">
        <v>105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331</v>
      </c>
      <c r="C163" s="12" t="s">
        <v>332</v>
      </c>
      <c r="D163" s="15" t="s">
        <v>339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334</v>
      </c>
      <c r="C164" s="12" t="s">
        <v>332</v>
      </c>
      <c r="D164" s="15" t="s">
        <v>339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335</v>
      </c>
      <c r="C165" s="12" t="s">
        <v>332</v>
      </c>
      <c r="D165" s="15" t="s">
        <v>339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336</v>
      </c>
      <c r="C166" s="12" t="s">
        <v>332</v>
      </c>
      <c r="D166" s="15" t="s">
        <v>339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337</v>
      </c>
      <c r="C167" s="12" t="s">
        <v>332</v>
      </c>
      <c r="D167" s="15" t="s">
        <v>339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338</v>
      </c>
      <c r="C168" s="12" t="s">
        <v>332</v>
      </c>
      <c r="D168" s="15" t="s">
        <v>350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340</v>
      </c>
      <c r="C169" s="12" t="s">
        <v>332</v>
      </c>
      <c r="D169" s="15" t="s">
        <v>350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341</v>
      </c>
      <c r="C170" s="12" t="s">
        <v>332</v>
      </c>
      <c r="D170" s="15" t="s">
        <v>350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342</v>
      </c>
      <c r="C171" s="12" t="s">
        <v>332</v>
      </c>
      <c r="D171" s="15" t="s">
        <v>350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343</v>
      </c>
      <c r="C172" s="12" t="s">
        <v>332</v>
      </c>
      <c r="D172" s="15" t="s">
        <v>350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344</v>
      </c>
      <c r="C173" s="12" t="s">
        <v>332</v>
      </c>
      <c r="D173" s="15" t="s">
        <v>350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345</v>
      </c>
      <c r="C174" s="12" t="s">
        <v>346</v>
      </c>
      <c r="D174" s="15" t="s">
        <v>353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348</v>
      </c>
      <c r="C175" s="12" t="s">
        <v>346</v>
      </c>
      <c r="D175" s="15" t="s">
        <v>353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349</v>
      </c>
      <c r="C176" s="12" t="s">
        <v>346</v>
      </c>
      <c r="D176" s="15" t="s">
        <v>347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351</v>
      </c>
      <c r="C177" s="12" t="s">
        <v>352</v>
      </c>
      <c r="D177" s="15" t="s">
        <v>356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354</v>
      </c>
      <c r="C178" s="12" t="s">
        <v>355</v>
      </c>
      <c r="D178" s="15" t="s">
        <v>366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357</v>
      </c>
      <c r="C179" s="12" t="s">
        <v>355</v>
      </c>
      <c r="D179" s="15" t="s">
        <v>366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358</v>
      </c>
      <c r="C180" s="12" t="s">
        <v>355</v>
      </c>
      <c r="D180" s="15" t="s">
        <v>366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359</v>
      </c>
      <c r="C181" s="12" t="s">
        <v>355</v>
      </c>
      <c r="D181" s="15" t="s">
        <v>366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360</v>
      </c>
      <c r="C182" s="12" t="s">
        <v>355</v>
      </c>
      <c r="D182" s="15" t="s">
        <v>366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361</v>
      </c>
      <c r="C183" s="12" t="s">
        <v>355</v>
      </c>
      <c r="D183" s="15" t="s">
        <v>366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362</v>
      </c>
      <c r="C184" s="12" t="s">
        <v>355</v>
      </c>
      <c r="D184" s="15" t="s">
        <v>366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499</v>
      </c>
      <c r="C185" s="12" t="s">
        <v>352</v>
      </c>
      <c r="D185" s="15" t="s">
        <v>366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363</v>
      </c>
      <c r="C186" s="12" t="s">
        <v>352</v>
      </c>
      <c r="D186" s="15" t="s">
        <v>366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364</v>
      </c>
      <c r="C187" s="12" t="s">
        <v>365</v>
      </c>
      <c r="D187" s="15" t="s">
        <v>378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369</v>
      </c>
      <c r="C188" s="12" t="s">
        <v>355</v>
      </c>
      <c r="D188" s="15" t="s">
        <v>571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371</v>
      </c>
      <c r="C189" s="12" t="s">
        <v>372</v>
      </c>
      <c r="D189" s="15" t="s">
        <v>572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374</v>
      </c>
      <c r="C190" s="12" t="s">
        <v>372</v>
      </c>
      <c r="D190" s="15" t="s">
        <v>572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375</v>
      </c>
      <c r="C191" s="12" t="s">
        <v>372</v>
      </c>
      <c r="D191" s="15" t="s">
        <v>572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376</v>
      </c>
      <c r="C192" s="12" t="s">
        <v>377</v>
      </c>
      <c r="D192" s="15" t="s">
        <v>368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379</v>
      </c>
      <c r="C193" s="12" t="s">
        <v>377</v>
      </c>
      <c r="D193" s="15" t="s">
        <v>368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111</v>
      </c>
      <c r="C194" s="28" t="s">
        <v>573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381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827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828</v>
      </c>
      <c r="H4" s="24" t="s">
        <v>829</v>
      </c>
      <c r="I4" s="218" t="s">
        <v>830</v>
      </c>
      <c r="J4" s="24" t="s">
        <v>831</v>
      </c>
      <c r="K4" s="24" t="s">
        <v>832</v>
      </c>
      <c r="L4" s="24" t="s">
        <v>833</v>
      </c>
      <c r="M4" s="218" t="s">
        <v>7</v>
      </c>
      <c r="N4" s="218" t="s">
        <v>7</v>
      </c>
      <c r="O4" s="24" t="s">
        <v>834</v>
      </c>
      <c r="P4" s="24" t="s">
        <v>834</v>
      </c>
      <c r="Q4" s="218" t="s">
        <v>8</v>
      </c>
      <c r="R4" s="334" t="s">
        <v>9</v>
      </c>
      <c r="S4" s="218" t="s">
        <v>10</v>
      </c>
      <c r="T4" s="218" t="s">
        <v>449</v>
      </c>
      <c r="U4" s="218" t="s">
        <v>12</v>
      </c>
      <c r="V4" s="218" t="s">
        <v>14</v>
      </c>
      <c r="W4" s="24" t="s">
        <v>15</v>
      </c>
      <c r="X4" s="347" t="s">
        <v>17</v>
      </c>
      <c r="Y4" s="321" t="s">
        <v>440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116</v>
      </c>
      <c r="C7" s="4" t="s">
        <v>802</v>
      </c>
      <c r="D7" s="10" t="s">
        <v>105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835</v>
      </c>
      <c r="C8" s="14" t="s">
        <v>798</v>
      </c>
      <c r="D8" s="10" t="s">
        <v>73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781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509</v>
      </c>
      <c r="Y10" s="455">
        <f>1+(27/31)</f>
        <v>1.87096774193548</v>
      </c>
    </row>
    <row r="11" ht="17.5" spans="23:25">
      <c r="W11" s="453"/>
      <c r="X11" s="454" t="s">
        <v>836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837</v>
      </c>
      <c r="B1" s="384"/>
      <c r="C1" s="383"/>
      <c r="D1" s="383"/>
      <c r="E1" s="385"/>
      <c r="F1" s="385"/>
      <c r="G1" s="386"/>
    </row>
    <row r="2" ht="22" spans="1:7">
      <c r="A2" s="383" t="s">
        <v>838</v>
      </c>
      <c r="B2" s="383"/>
      <c r="C2" s="383"/>
      <c r="D2" s="383"/>
      <c r="E2" s="385"/>
      <c r="F2" s="385"/>
      <c r="G2" s="386"/>
    </row>
    <row r="3" ht="22" spans="1:7">
      <c r="A3" s="383" t="s">
        <v>839</v>
      </c>
      <c r="B3" s="383"/>
      <c r="C3" s="383"/>
      <c r="D3" s="383"/>
      <c r="E3" s="385"/>
      <c r="F3" s="385"/>
      <c r="G3" s="386"/>
    </row>
    <row r="4" ht="45" customHeight="1" spans="1:8">
      <c r="A4" s="387" t="s">
        <v>21</v>
      </c>
      <c r="B4" s="388" t="s">
        <v>840</v>
      </c>
      <c r="C4" s="389" t="s">
        <v>841</v>
      </c>
      <c r="D4" s="390" t="s">
        <v>842</v>
      </c>
      <c r="E4" s="390" t="s">
        <v>843</v>
      </c>
      <c r="F4" s="390" t="s">
        <v>844</v>
      </c>
      <c r="G4" s="390" t="s">
        <v>845</v>
      </c>
      <c r="H4" s="391" t="s">
        <v>111</v>
      </c>
    </row>
    <row r="5" ht="16" spans="1:9">
      <c r="A5" s="990" t="s">
        <v>846</v>
      </c>
      <c r="B5" s="392" t="s">
        <v>847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990" t="s">
        <v>848</v>
      </c>
      <c r="B6" s="396" t="s">
        <v>849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990" t="s">
        <v>850</v>
      </c>
      <c r="B7" s="392" t="s">
        <v>851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990" t="s">
        <v>852</v>
      </c>
      <c r="B8" s="392" t="s">
        <v>853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990" t="s">
        <v>854</v>
      </c>
      <c r="B9" s="392" t="s">
        <v>855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990" t="s">
        <v>856</v>
      </c>
      <c r="B10" s="392" t="s">
        <v>857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990" t="s">
        <v>858</v>
      </c>
      <c r="B11" s="392" t="s">
        <v>859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990" t="s">
        <v>860</v>
      </c>
      <c r="B12" s="392" t="s">
        <v>861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990" t="s">
        <v>862</v>
      </c>
      <c r="B13" s="392" t="s">
        <v>863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990" t="s">
        <v>864</v>
      </c>
      <c r="B14" s="392" t="s">
        <v>865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990" t="s">
        <v>866</v>
      </c>
      <c r="B15" s="392" t="s">
        <v>623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990" t="s">
        <v>867</v>
      </c>
      <c r="B16" s="392" t="s">
        <v>255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990" t="s">
        <v>868</v>
      </c>
      <c r="B17" s="392" t="s">
        <v>869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990" t="s">
        <v>870</v>
      </c>
      <c r="B18" s="392" t="s">
        <v>871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990" t="s">
        <v>872</v>
      </c>
      <c r="B19" s="392" t="s">
        <v>873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990" t="s">
        <v>874</v>
      </c>
      <c r="B20" s="392" t="s">
        <v>875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990" t="s">
        <v>876</v>
      </c>
      <c r="B21" s="392" t="s">
        <v>877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990" t="s">
        <v>878</v>
      </c>
      <c r="B22" s="392" t="s">
        <v>879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990" t="s">
        <v>880</v>
      </c>
      <c r="B23" s="392" t="s">
        <v>881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990" t="s">
        <v>882</v>
      </c>
      <c r="B24" s="392" t="s">
        <v>261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990" t="s">
        <v>883</v>
      </c>
      <c r="B25" s="392" t="s">
        <v>884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990" t="s">
        <v>885</v>
      </c>
      <c r="B26" s="392" t="s">
        <v>886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990" t="s">
        <v>887</v>
      </c>
      <c r="B27" s="392" t="s">
        <v>888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990" t="s">
        <v>889</v>
      </c>
      <c r="B28" s="392" t="s">
        <v>890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990" t="s">
        <v>891</v>
      </c>
      <c r="B29" s="392" t="s">
        <v>892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990" t="s">
        <v>893</v>
      </c>
      <c r="B30" s="392" t="s">
        <v>894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990" t="s">
        <v>895</v>
      </c>
      <c r="B31" s="392" t="s">
        <v>176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990" t="s">
        <v>896</v>
      </c>
      <c r="B32" s="392" t="s">
        <v>897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990" t="s">
        <v>898</v>
      </c>
      <c r="B33" s="392" t="s">
        <v>899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990" t="s">
        <v>900</v>
      </c>
      <c r="B34" s="392" t="s">
        <v>901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990" t="s">
        <v>902</v>
      </c>
      <c r="B35" s="392" t="s">
        <v>903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990" t="s">
        <v>904</v>
      </c>
      <c r="B36" s="392" t="s">
        <v>905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990" t="s">
        <v>906</v>
      </c>
      <c r="B37" s="392" t="s">
        <v>907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990" t="s">
        <v>908</v>
      </c>
      <c r="B38" s="392" t="s">
        <v>282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990" t="s">
        <v>909</v>
      </c>
      <c r="B39" s="392" t="s">
        <v>33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990" t="s">
        <v>910</v>
      </c>
      <c r="B40" s="392" t="s">
        <v>262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990" t="s">
        <v>911</v>
      </c>
      <c r="B41" s="392" t="s">
        <v>288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990" t="s">
        <v>912</v>
      </c>
      <c r="B42" s="392" t="s">
        <v>913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990" t="s">
        <v>914</v>
      </c>
      <c r="B43" s="392" t="s">
        <v>344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990" t="s">
        <v>915</v>
      </c>
      <c r="B44" s="392" t="s">
        <v>916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990" t="s">
        <v>917</v>
      </c>
      <c r="B45" s="392" t="s">
        <v>918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990" t="s">
        <v>919</v>
      </c>
      <c r="B46" s="392" t="s">
        <v>320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990" t="s">
        <v>920</v>
      </c>
      <c r="B47" s="392" t="s">
        <v>921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990" t="s">
        <v>922</v>
      </c>
      <c r="B48" s="392" t="s">
        <v>923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990" t="s">
        <v>924</v>
      </c>
      <c r="B49" s="392" t="s">
        <v>925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990" t="s">
        <v>926</v>
      </c>
      <c r="B50" s="392" t="s">
        <v>335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990" t="s">
        <v>927</v>
      </c>
      <c r="B51" s="392" t="s">
        <v>928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990" t="s">
        <v>929</v>
      </c>
      <c r="B52" s="392" t="s">
        <v>349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990" t="s">
        <v>930</v>
      </c>
      <c r="B53" s="392" t="s">
        <v>337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990" t="s">
        <v>931</v>
      </c>
      <c r="B54" s="392" t="s">
        <v>932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991" t="s">
        <v>933</v>
      </c>
      <c r="B55" s="405" t="s">
        <v>934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990" t="s">
        <v>935</v>
      </c>
      <c r="B56" s="392" t="s">
        <v>561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990" t="s">
        <v>936</v>
      </c>
      <c r="B57" s="392" t="s">
        <v>937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990" t="s">
        <v>938</v>
      </c>
      <c r="B58" s="392" t="s">
        <v>939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991" t="s">
        <v>940</v>
      </c>
      <c r="B59" s="405" t="s">
        <v>941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990" t="s">
        <v>942</v>
      </c>
      <c r="B60" s="392" t="s">
        <v>943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990" t="s">
        <v>944</v>
      </c>
      <c r="B61" s="392" t="s">
        <v>945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990" t="s">
        <v>946</v>
      </c>
      <c r="B62" s="392" t="s">
        <v>947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990" t="s">
        <v>948</v>
      </c>
      <c r="B63" s="392" t="s">
        <v>949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990" t="s">
        <v>950</v>
      </c>
      <c r="B64" s="392" t="s">
        <v>951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990" t="s">
        <v>952</v>
      </c>
      <c r="B65" s="392" t="s">
        <v>280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990" t="s">
        <v>953</v>
      </c>
      <c r="B66" s="392" t="s">
        <v>954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990" t="s">
        <v>955</v>
      </c>
      <c r="B67" s="392" t="s">
        <v>334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990" t="s">
        <v>956</v>
      </c>
      <c r="B68" s="392" t="s">
        <v>129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990" t="s">
        <v>957</v>
      </c>
      <c r="B69" s="392" t="s">
        <v>958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990" t="s">
        <v>959</v>
      </c>
      <c r="B70" s="392" t="s">
        <v>39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990" t="s">
        <v>960</v>
      </c>
      <c r="B71" s="392" t="s">
        <v>961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990" t="s">
        <v>962</v>
      </c>
      <c r="B72" s="392" t="s">
        <v>963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990" t="s">
        <v>964</v>
      </c>
      <c r="B73" s="392" t="s">
        <v>965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990" t="s">
        <v>966</v>
      </c>
      <c r="B74" s="392" t="s">
        <v>343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990" t="s">
        <v>967</v>
      </c>
      <c r="B75" s="392" t="s">
        <v>968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990" t="s">
        <v>969</v>
      </c>
      <c r="B76" s="392" t="s">
        <v>970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990" t="s">
        <v>971</v>
      </c>
      <c r="B77" s="392" t="s">
        <v>972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990" t="s">
        <v>973</v>
      </c>
      <c r="B78" s="392" t="s">
        <v>974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990" t="s">
        <v>975</v>
      </c>
      <c r="B79" s="392" t="s">
        <v>976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990" t="s">
        <v>977</v>
      </c>
      <c r="B80" s="392" t="s">
        <v>978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990" t="s">
        <v>979</v>
      </c>
      <c r="B81" s="392" t="s">
        <v>980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990" t="s">
        <v>981</v>
      </c>
      <c r="B82" s="392" t="s">
        <v>982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990" t="s">
        <v>983</v>
      </c>
      <c r="B83" s="392" t="s">
        <v>984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990" t="s">
        <v>985</v>
      </c>
      <c r="B84" s="392" t="s">
        <v>986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990" t="s">
        <v>987</v>
      </c>
      <c r="B85" s="392" t="s">
        <v>988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990" t="s">
        <v>989</v>
      </c>
      <c r="B86" s="392" t="s">
        <v>990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990" t="s">
        <v>991</v>
      </c>
      <c r="B87" s="392" t="s">
        <v>992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990" t="s">
        <v>993</v>
      </c>
      <c r="B88" s="392" t="s">
        <v>994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990" t="s">
        <v>995</v>
      </c>
      <c r="B89" s="392" t="s">
        <v>996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990" t="s">
        <v>997</v>
      </c>
      <c r="B90" s="392" t="s">
        <v>998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990" t="s">
        <v>999</v>
      </c>
      <c r="B91" s="392" t="s">
        <v>1000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990" t="s">
        <v>1001</v>
      </c>
      <c r="B92" s="392" t="s">
        <v>1002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990" t="s">
        <v>1003</v>
      </c>
      <c r="B93" s="392" t="s">
        <v>1004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990" t="s">
        <v>1005</v>
      </c>
      <c r="B94" s="392" t="s">
        <v>1006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990" t="s">
        <v>1007</v>
      </c>
      <c r="B95" s="392" t="s">
        <v>359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990" t="s">
        <v>1008</v>
      </c>
      <c r="B96" s="392" t="s">
        <v>1009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990" t="s">
        <v>1010</v>
      </c>
      <c r="B97" s="392" t="s">
        <v>1011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990" t="s">
        <v>1012</v>
      </c>
      <c r="B98" s="392" t="s">
        <v>1013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990" t="s">
        <v>1014</v>
      </c>
      <c r="B99" s="392" t="s">
        <v>1015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990" t="s">
        <v>1016</v>
      </c>
      <c r="B100" s="392" t="s">
        <v>1017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990" t="s">
        <v>1018</v>
      </c>
      <c r="B101" s="392" t="s">
        <v>1019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990" t="s">
        <v>1020</v>
      </c>
      <c r="B102" s="392" t="s">
        <v>1021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990" t="s">
        <v>1022</v>
      </c>
      <c r="B103" s="392" t="s">
        <v>1023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990" t="s">
        <v>1024</v>
      </c>
      <c r="B104" s="392" t="s">
        <v>1025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990" t="s">
        <v>1026</v>
      </c>
      <c r="B105" s="392" t="s">
        <v>1027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990" t="s">
        <v>1028</v>
      </c>
      <c r="B106" s="392" t="s">
        <v>1029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992" t="s">
        <v>1030</v>
      </c>
      <c r="B107" s="392" t="s">
        <v>1031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992" t="s">
        <v>1032</v>
      </c>
      <c r="B108" s="392" t="s">
        <v>1033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990" t="s">
        <v>1034</v>
      </c>
      <c r="B109" s="392" t="s">
        <v>1035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990" t="s">
        <v>1036</v>
      </c>
      <c r="B110" s="392" t="s">
        <v>1037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992" t="s">
        <v>1038</v>
      </c>
      <c r="B111" s="392" t="s">
        <v>197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990" t="s">
        <v>1039</v>
      </c>
      <c r="B112" s="392" t="s">
        <v>1040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993" t="s">
        <v>1041</v>
      </c>
      <c r="B113" s="392" t="s">
        <v>198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990" t="s">
        <v>1042</v>
      </c>
      <c r="B114" s="392" t="s">
        <v>1043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990" t="s">
        <v>1044</v>
      </c>
      <c r="B115" s="392" t="s">
        <v>1045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990" t="s">
        <v>1046</v>
      </c>
      <c r="B116" s="392" t="s">
        <v>286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993" t="s">
        <v>1047</v>
      </c>
      <c r="B117" s="392" t="s">
        <v>1048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990" t="s">
        <v>1049</v>
      </c>
      <c r="B118" s="392" t="s">
        <v>1050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990" t="s">
        <v>1051</v>
      </c>
      <c r="B119" s="392" t="s">
        <v>1052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990" t="s">
        <v>1053</v>
      </c>
      <c r="B120" s="392" t="s">
        <v>1054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990" t="s">
        <v>1055</v>
      </c>
      <c r="B121" s="392" t="s">
        <v>1056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990" t="s">
        <v>1057</v>
      </c>
      <c r="B122" s="392" t="s">
        <v>1058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990" t="s">
        <v>1059</v>
      </c>
      <c r="B123" s="392" t="s">
        <v>219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990" t="s">
        <v>1060</v>
      </c>
      <c r="B124" s="392" t="s">
        <v>1061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993" t="s">
        <v>1062</v>
      </c>
      <c r="B125" s="392" t="s">
        <v>1063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993" t="s">
        <v>1064</v>
      </c>
      <c r="B126" s="392" t="s">
        <v>283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993" t="s">
        <v>1065</v>
      </c>
      <c r="B127" s="392" t="s">
        <v>1066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993" t="s">
        <v>1067</v>
      </c>
      <c r="B128" s="392" t="s">
        <v>1068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993" t="s">
        <v>1069</v>
      </c>
      <c r="B129" s="392" t="s">
        <v>1070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993" t="s">
        <v>1069</v>
      </c>
      <c r="B130" s="392" t="s">
        <v>1071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993" t="s">
        <v>1072</v>
      </c>
      <c r="B131" s="392" t="s">
        <v>196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993" t="s">
        <v>1073</v>
      </c>
      <c r="B132" s="392" t="s">
        <v>1074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993" t="s">
        <v>1075</v>
      </c>
      <c r="B133" s="392" t="s">
        <v>1076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993" t="s">
        <v>1077</v>
      </c>
      <c r="B134" s="392" t="s">
        <v>1078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993" t="s">
        <v>1079</v>
      </c>
      <c r="B135" s="392" t="s">
        <v>1080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993" t="s">
        <v>1081</v>
      </c>
      <c r="B136" s="392" t="s">
        <v>1082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993" t="s">
        <v>1083</v>
      </c>
      <c r="B137" s="392" t="s">
        <v>1084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993" t="s">
        <v>1085</v>
      </c>
      <c r="B138" s="392" t="s">
        <v>1086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993" t="s">
        <v>1087</v>
      </c>
      <c r="B139" s="392" t="s">
        <v>305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993" t="s">
        <v>1088</v>
      </c>
      <c r="B140" s="392" t="s">
        <v>183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993" t="s">
        <v>1089</v>
      </c>
      <c r="B141" s="392" t="s">
        <v>1090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993" t="s">
        <v>1091</v>
      </c>
      <c r="B142" s="392" t="s">
        <v>1092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993" t="s">
        <v>1093</v>
      </c>
      <c r="B143" s="392" t="s">
        <v>354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993" t="s">
        <v>1094</v>
      </c>
      <c r="B144" s="392" t="s">
        <v>1095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993" t="s">
        <v>1096</v>
      </c>
      <c r="B145" s="392" t="s">
        <v>1097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993" t="s">
        <v>1098</v>
      </c>
      <c r="B146" s="392" t="s">
        <v>1099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993" t="s">
        <v>1100</v>
      </c>
      <c r="B147" s="392" t="s">
        <v>1101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993" t="s">
        <v>1102</v>
      </c>
      <c r="B148" s="392" t="s">
        <v>1103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993" t="s">
        <v>1104</v>
      </c>
      <c r="B149" s="392" t="s">
        <v>148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993" t="s">
        <v>1105</v>
      </c>
      <c r="B150" s="392" t="s">
        <v>221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993" t="s">
        <v>1106</v>
      </c>
      <c r="B151" s="392" t="s">
        <v>1107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993" t="s">
        <v>1108</v>
      </c>
      <c r="B152" s="392" t="s">
        <v>92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993" t="s">
        <v>1109</v>
      </c>
      <c r="B153" s="392" t="s">
        <v>89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993" t="s">
        <v>1110</v>
      </c>
      <c r="B154" s="392" t="s">
        <v>1111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993" t="s">
        <v>1112</v>
      </c>
      <c r="B155" s="392" t="s">
        <v>1113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993" t="s">
        <v>1114</v>
      </c>
      <c r="B156" s="392" t="s">
        <v>1115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993" t="s">
        <v>1116</v>
      </c>
      <c r="B157" s="392" t="s">
        <v>1117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993" t="s">
        <v>1118</v>
      </c>
      <c r="B158" s="392" t="s">
        <v>1119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993" t="s">
        <v>1120</v>
      </c>
      <c r="B159" s="392" t="s">
        <v>362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993" t="s">
        <v>1121</v>
      </c>
      <c r="B160" s="392" t="s">
        <v>1122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993" t="s">
        <v>1123</v>
      </c>
      <c r="B161" s="392" t="s">
        <v>1124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993" t="s">
        <v>1125</v>
      </c>
      <c r="B162" s="392" t="s">
        <v>1126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993" t="s">
        <v>1127</v>
      </c>
      <c r="B163" s="392" t="s">
        <v>1128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993" t="s">
        <v>1129</v>
      </c>
      <c r="B164" s="392" t="s">
        <v>1130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993" t="s">
        <v>1131</v>
      </c>
      <c r="B165" s="392" t="s">
        <v>1132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993" t="s">
        <v>1133</v>
      </c>
      <c r="B166" s="392" t="s">
        <v>200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993" t="s">
        <v>1134</v>
      </c>
      <c r="B167" s="392" t="s">
        <v>1135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993" t="s">
        <v>1136</v>
      </c>
      <c r="B168" s="392" t="s">
        <v>77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993" t="s">
        <v>1137</v>
      </c>
      <c r="B169" s="392" t="s">
        <v>1138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993" t="s">
        <v>1139</v>
      </c>
      <c r="B170" s="392" t="s">
        <v>1140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993" t="s">
        <v>1141</v>
      </c>
      <c r="B171" s="392" t="s">
        <v>1142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993" t="s">
        <v>1143</v>
      </c>
      <c r="B172" s="392" t="s">
        <v>164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993" t="s">
        <v>1144</v>
      </c>
      <c r="B173" s="392" t="s">
        <v>316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993" t="s">
        <v>1145</v>
      </c>
      <c r="B174" s="392" t="s">
        <v>1146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993" t="s">
        <v>1147</v>
      </c>
      <c r="B175" s="392" t="s">
        <v>1148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993" t="s">
        <v>1149</v>
      </c>
      <c r="B176" s="392" t="s">
        <v>100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993" t="s">
        <v>1150</v>
      </c>
      <c r="B177" s="392" t="s">
        <v>1151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993" t="s">
        <v>1152</v>
      </c>
      <c r="B178" s="392" t="s">
        <v>1153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993" t="s">
        <v>1154</v>
      </c>
      <c r="B179" s="392" t="s">
        <v>1155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993" t="s">
        <v>1156</v>
      </c>
      <c r="B180" s="392" t="s">
        <v>1157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993" t="s">
        <v>1158</v>
      </c>
      <c r="B181" s="392" t="s">
        <v>376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993" t="s">
        <v>1156</v>
      </c>
      <c r="B182" s="392" t="s">
        <v>1159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993" t="s">
        <v>1156</v>
      </c>
      <c r="B183" s="392" t="s">
        <v>371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993" t="s">
        <v>1156</v>
      </c>
      <c r="B184" s="392" t="s">
        <v>1160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111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1161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1162</v>
      </c>
      <c r="D188" s="387" t="s">
        <v>1163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1164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1165</v>
      </c>
      <c r="G189" s="407"/>
      <c r="H189" s="407"/>
      <c r="I189" s="407"/>
      <c r="K189" s="407"/>
    </row>
    <row r="190" ht="17.5" spans="1:11">
      <c r="A190" s="392"/>
      <c r="B190" s="392" t="s">
        <v>1166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1167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376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1159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371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1160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651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1168</v>
      </c>
      <c r="C198" s="387"/>
      <c r="D198" s="392"/>
      <c r="E198" s="392"/>
      <c r="K198" s="407"/>
    </row>
    <row r="199" ht="15" spans="1:11">
      <c r="A199" s="392"/>
      <c r="B199" s="387"/>
      <c r="C199" s="387" t="s">
        <v>1162</v>
      </c>
      <c r="D199" s="387" t="s">
        <v>1163</v>
      </c>
      <c r="E199" s="392"/>
      <c r="K199" s="407"/>
    </row>
    <row r="200" ht="17.5" spans="1:11">
      <c r="A200" s="441"/>
      <c r="B200" s="441" t="s">
        <v>1169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1170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1171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993" t="s">
        <v>898</v>
      </c>
      <c r="B208" s="392" t="s">
        <v>899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993" t="s">
        <v>946</v>
      </c>
      <c r="B209" s="392" t="s">
        <v>947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993" t="s">
        <v>981</v>
      </c>
      <c r="B210" s="392" t="s">
        <v>982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993" t="s">
        <v>1055</v>
      </c>
      <c r="B211" s="392" t="s">
        <v>1056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993" t="s">
        <v>1172</v>
      </c>
      <c r="B212" s="392" t="s">
        <v>1173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993" t="s">
        <v>1174</v>
      </c>
      <c r="B213" s="392" t="s">
        <v>1175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993" t="s">
        <v>1176</v>
      </c>
      <c r="B214" s="392" t="s">
        <v>1177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993" t="s">
        <v>1178</v>
      </c>
      <c r="B215" s="392" t="s">
        <v>1179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993" t="s">
        <v>1180</v>
      </c>
      <c r="B216" s="392" t="s">
        <v>1181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993" t="s">
        <v>1182</v>
      </c>
      <c r="B217" s="392" t="s">
        <v>1183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993" t="s">
        <v>1137</v>
      </c>
      <c r="B218" s="392" t="s">
        <v>1138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993" t="s">
        <v>1152</v>
      </c>
      <c r="B219" s="392" t="s">
        <v>1153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993" t="s">
        <v>1184</v>
      </c>
      <c r="B220" s="392" t="s">
        <v>1185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993" t="s">
        <v>1186</v>
      </c>
      <c r="B221" s="392" t="s">
        <v>1187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993" t="s">
        <v>1188</v>
      </c>
      <c r="B222" s="392" t="s">
        <v>103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993" t="s">
        <v>1189</v>
      </c>
      <c r="B223" s="392" t="s">
        <v>1164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1190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642</v>
      </c>
      <c r="F4" s="80" t="s">
        <v>1191</v>
      </c>
      <c r="G4" s="80" t="s">
        <v>1192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21</v>
      </c>
      <c r="B6" s="8" t="s">
        <v>22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29</v>
      </c>
      <c r="C9" s="4" t="s">
        <v>30</v>
      </c>
      <c r="D9" s="10" t="s">
        <v>28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31</v>
      </c>
      <c r="C10" s="17" t="s">
        <v>32</v>
      </c>
      <c r="D10" s="10" t="s">
        <v>28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273</v>
      </c>
      <c r="C11" s="4" t="s">
        <v>535</v>
      </c>
      <c r="D11" s="10" t="s">
        <v>28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536</v>
      </c>
      <c r="C12" s="10" t="s">
        <v>537</v>
      </c>
      <c r="D12" s="10" t="s">
        <v>28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33</v>
      </c>
      <c r="C13" s="12" t="s">
        <v>538</v>
      </c>
      <c r="D13" s="15" t="s">
        <v>131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36</v>
      </c>
      <c r="C14" s="4" t="s">
        <v>37</v>
      </c>
      <c r="D14" s="10" t="s">
        <v>49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39</v>
      </c>
      <c r="C15" s="4" t="s">
        <v>40</v>
      </c>
      <c r="D15" s="15" t="s">
        <v>41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42</v>
      </c>
      <c r="C16" s="17" t="s">
        <v>156</v>
      </c>
      <c r="D16" s="15" t="s">
        <v>178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47</v>
      </c>
      <c r="C17" s="4" t="s">
        <v>539</v>
      </c>
      <c r="D17" s="10" t="s">
        <v>52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50</v>
      </c>
      <c r="C18" s="12" t="s">
        <v>51</v>
      </c>
      <c r="D18" s="15" t="s">
        <v>460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53</v>
      </c>
      <c r="C19" s="4" t="s">
        <v>54</v>
      </c>
      <c r="D19" s="15" t="s">
        <v>540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63</v>
      </c>
      <c r="C20" s="12" t="s">
        <v>64</v>
      </c>
      <c r="D20" s="15" t="s">
        <v>162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66</v>
      </c>
      <c r="C21" s="17" t="s">
        <v>67</v>
      </c>
      <c r="D21" s="10" t="s">
        <v>137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71</v>
      </c>
      <c r="C22" s="17" t="s">
        <v>72</v>
      </c>
      <c r="D22" s="10" t="s">
        <v>73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77</v>
      </c>
      <c r="C23" s="4" t="s">
        <v>78</v>
      </c>
      <c r="D23" s="10" t="s">
        <v>84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80</v>
      </c>
      <c r="C24" s="12" t="s">
        <v>78</v>
      </c>
      <c r="D24" s="15" t="s">
        <v>84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87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96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89</v>
      </c>
      <c r="C27" s="17" t="s">
        <v>90</v>
      </c>
      <c r="D27" s="15" t="s">
        <v>87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92</v>
      </c>
      <c r="C28" s="4" t="s">
        <v>93</v>
      </c>
      <c r="D28" s="10" t="s">
        <v>102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1193</v>
      </c>
      <c r="C29" s="12" t="s">
        <v>101</v>
      </c>
      <c r="D29" s="10" t="s">
        <v>102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100</v>
      </c>
      <c r="C30" s="12" t="s">
        <v>101</v>
      </c>
      <c r="D30" s="15" t="s">
        <v>105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111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112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113</v>
      </c>
      <c r="C34" s="4" t="s">
        <v>114</v>
      </c>
      <c r="D34" s="10" t="s">
        <v>115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116</v>
      </c>
      <c r="C35" s="4" t="s">
        <v>802</v>
      </c>
      <c r="D35" s="10" t="s">
        <v>105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118</v>
      </c>
      <c r="C36" s="12" t="s">
        <v>799</v>
      </c>
      <c r="D36" s="15" t="s">
        <v>76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125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541</v>
      </c>
      <c r="C40" s="4" t="s">
        <v>542</v>
      </c>
      <c r="D40" s="10" t="s">
        <v>115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543</v>
      </c>
      <c r="C41" s="4" t="s">
        <v>43</v>
      </c>
      <c r="D41" s="10" t="s">
        <v>131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126</v>
      </c>
      <c r="C42" s="4" t="s">
        <v>127</v>
      </c>
      <c r="D42" s="10" t="s">
        <v>35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132</v>
      </c>
      <c r="C44" s="4" t="s">
        <v>130</v>
      </c>
      <c r="D44" s="10" t="s">
        <v>131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133</v>
      </c>
      <c r="C45" s="4" t="s">
        <v>130</v>
      </c>
      <c r="D45" s="10" t="s">
        <v>49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134</v>
      </c>
      <c r="C46" s="4" t="s">
        <v>156</v>
      </c>
      <c r="D46" s="16" t="s">
        <v>178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44</v>
      </c>
      <c r="C47" s="4" t="s">
        <v>45</v>
      </c>
      <c r="D47" s="10" t="s">
        <v>199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138</v>
      </c>
      <c r="C48" s="4" t="s">
        <v>139</v>
      </c>
      <c r="D48" s="10" t="s">
        <v>76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142</v>
      </c>
      <c r="C49" s="4" t="s">
        <v>139</v>
      </c>
      <c r="D49" s="10" t="s">
        <v>87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544</v>
      </c>
      <c r="C50" s="4" t="s">
        <v>139</v>
      </c>
      <c r="D50" s="10" t="s">
        <v>87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143</v>
      </c>
      <c r="C51" s="4" t="s">
        <v>139</v>
      </c>
      <c r="D51" s="10" t="s">
        <v>87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111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145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545</v>
      </c>
      <c r="C55" s="12" t="s">
        <v>147</v>
      </c>
      <c r="D55" s="15" t="s">
        <v>115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148</v>
      </c>
      <c r="C56" s="12" t="s">
        <v>149</v>
      </c>
      <c r="D56" s="15" t="s">
        <v>150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111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151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546</v>
      </c>
      <c r="C60" s="17" t="s">
        <v>547</v>
      </c>
      <c r="D60" s="10" t="s">
        <v>115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548</v>
      </c>
      <c r="C61" s="17" t="s">
        <v>549</v>
      </c>
      <c r="D61" s="15" t="s">
        <v>38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155</v>
      </c>
      <c r="C62" s="4" t="s">
        <v>156</v>
      </c>
      <c r="D62" s="10" t="s">
        <v>199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550</v>
      </c>
      <c r="C63" s="17" t="s">
        <v>158</v>
      </c>
      <c r="D63" s="15" t="s">
        <v>460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551</v>
      </c>
      <c r="C64" s="17" t="s">
        <v>156</v>
      </c>
      <c r="D64" s="15" t="s">
        <v>41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161</v>
      </c>
      <c r="C65" s="4" t="s">
        <v>139</v>
      </c>
      <c r="D65" s="10" t="s">
        <v>68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163</v>
      </c>
      <c r="C66" s="17" t="s">
        <v>70</v>
      </c>
      <c r="D66" s="10" t="s">
        <v>68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164</v>
      </c>
      <c r="C67" s="17" t="s">
        <v>70</v>
      </c>
      <c r="D67" s="10" t="s">
        <v>68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165</v>
      </c>
      <c r="C68" s="4" t="s">
        <v>166</v>
      </c>
      <c r="D68" s="10" t="s">
        <v>162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168</v>
      </c>
      <c r="C69" s="4" t="s">
        <v>139</v>
      </c>
      <c r="D69" s="10" t="s">
        <v>76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81</v>
      </c>
      <c r="C70" s="17" t="s">
        <v>67</v>
      </c>
      <c r="D70" s="10" t="s">
        <v>84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111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169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170</v>
      </c>
      <c r="C74" s="4" t="s">
        <v>171</v>
      </c>
      <c r="D74" s="10" t="s">
        <v>115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552</v>
      </c>
      <c r="C75" s="4" t="s">
        <v>553</v>
      </c>
      <c r="D75" s="15" t="s">
        <v>554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172</v>
      </c>
      <c r="C76" s="12" t="s">
        <v>555</v>
      </c>
      <c r="D76" s="10" t="s">
        <v>150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176</v>
      </c>
      <c r="C77" s="4" t="s">
        <v>177</v>
      </c>
      <c r="D77" s="15" t="s">
        <v>46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183</v>
      </c>
      <c r="C78" s="4" t="s">
        <v>186</v>
      </c>
      <c r="D78" s="10" t="s">
        <v>119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185</v>
      </c>
      <c r="C79" s="4" t="s">
        <v>186</v>
      </c>
      <c r="D79" s="10" t="s">
        <v>87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187</v>
      </c>
      <c r="C80" s="4" t="s">
        <v>188</v>
      </c>
      <c r="D80" s="10" t="s">
        <v>105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111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189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192</v>
      </c>
      <c r="C84" s="4" t="s">
        <v>130</v>
      </c>
      <c r="D84" s="10" t="s">
        <v>131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190</v>
      </c>
      <c r="C85" s="4" t="s">
        <v>130</v>
      </c>
      <c r="D85" s="10" t="s">
        <v>131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152</v>
      </c>
      <c r="C86" s="4" t="s">
        <v>130</v>
      </c>
      <c r="D86" s="10" t="s">
        <v>38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195</v>
      </c>
      <c r="C87" s="4" t="s">
        <v>130</v>
      </c>
      <c r="D87" s="10" t="s">
        <v>49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196</v>
      </c>
      <c r="C88" s="4" t="s">
        <v>556</v>
      </c>
      <c r="D88" s="15" t="s">
        <v>52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197</v>
      </c>
      <c r="C89" s="12" t="s">
        <v>158</v>
      </c>
      <c r="D89" s="15" t="s">
        <v>460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198</v>
      </c>
      <c r="C90" s="12" t="s">
        <v>156</v>
      </c>
      <c r="D90" s="15" t="s">
        <v>230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200</v>
      </c>
      <c r="C91" s="17" t="s">
        <v>70</v>
      </c>
      <c r="D91" s="15" t="s">
        <v>68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201</v>
      </c>
      <c r="C92" s="17" t="s">
        <v>70</v>
      </c>
      <c r="D92" s="15" t="s">
        <v>159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204</v>
      </c>
      <c r="C93" s="4" t="s">
        <v>205</v>
      </c>
      <c r="D93" s="10" t="s">
        <v>76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206</v>
      </c>
      <c r="C94" s="17" t="s">
        <v>207</v>
      </c>
      <c r="D94" s="15" t="s">
        <v>102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111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209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210</v>
      </c>
      <c r="C98" s="4" t="s">
        <v>211</v>
      </c>
      <c r="D98" s="16" t="s">
        <v>154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213</v>
      </c>
      <c r="C99" s="4" t="s">
        <v>214</v>
      </c>
      <c r="D99" s="15" t="s">
        <v>46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219</v>
      </c>
      <c r="C100" s="4" t="s">
        <v>220</v>
      </c>
      <c r="D100" s="15" t="s">
        <v>162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221</v>
      </c>
      <c r="C101" s="4" t="s">
        <v>222</v>
      </c>
      <c r="D101" s="15" t="s">
        <v>76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111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223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224</v>
      </c>
      <c r="C105" s="12" t="s">
        <v>225</v>
      </c>
      <c r="D105" s="15" t="s">
        <v>115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226</v>
      </c>
      <c r="C106" s="4" t="s">
        <v>227</v>
      </c>
      <c r="D106" s="16" t="s">
        <v>154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228</v>
      </c>
      <c r="C107" s="4" t="s">
        <v>442</v>
      </c>
      <c r="D107" s="10" t="s">
        <v>52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231</v>
      </c>
      <c r="C108" s="4" t="s">
        <v>442</v>
      </c>
      <c r="D108" s="10" t="s">
        <v>52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232</v>
      </c>
      <c r="C109" s="4" t="s">
        <v>233</v>
      </c>
      <c r="D109" s="15" t="s">
        <v>557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235</v>
      </c>
      <c r="C110" s="4" t="s">
        <v>233</v>
      </c>
      <c r="D110" s="10" t="s">
        <v>558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236</v>
      </c>
      <c r="C111" s="4" t="s">
        <v>233</v>
      </c>
      <c r="D111" s="15" t="s">
        <v>102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111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237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238</v>
      </c>
      <c r="C115" s="4" t="s">
        <v>239</v>
      </c>
      <c r="D115" s="15" t="s">
        <v>162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179</v>
      </c>
      <c r="C116" s="12" t="s">
        <v>559</v>
      </c>
      <c r="D116" s="15" t="s">
        <v>65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111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252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253</v>
      </c>
      <c r="C120" s="12" t="s">
        <v>254</v>
      </c>
      <c r="D120" s="15" t="s">
        <v>115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255</v>
      </c>
      <c r="C121" s="12" t="s">
        <v>256</v>
      </c>
      <c r="D121" s="15" t="s">
        <v>35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257</v>
      </c>
      <c r="C122" s="12" t="s">
        <v>258</v>
      </c>
      <c r="D122" s="15" t="s">
        <v>131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560</v>
      </c>
      <c r="C123" s="12" t="s">
        <v>258</v>
      </c>
      <c r="D123" s="15" t="s">
        <v>38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259</v>
      </c>
      <c r="C124" s="12" t="s">
        <v>260</v>
      </c>
      <c r="D124" s="15" t="s">
        <v>178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261</v>
      </c>
      <c r="C125" s="12" t="s">
        <v>495</v>
      </c>
      <c r="D125" s="15" t="s">
        <v>199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262</v>
      </c>
      <c r="C126" s="12" t="s">
        <v>260</v>
      </c>
      <c r="D126" s="15" t="s">
        <v>46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265</v>
      </c>
      <c r="C127" s="12" t="s">
        <v>266</v>
      </c>
      <c r="D127" s="10" t="s">
        <v>84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267</v>
      </c>
      <c r="C128" s="12" t="s">
        <v>268</v>
      </c>
      <c r="D128" s="15" t="s">
        <v>105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269</v>
      </c>
      <c r="C129" s="12" t="s">
        <v>264</v>
      </c>
      <c r="D129" s="15" t="s">
        <v>105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111</v>
      </c>
      <c r="C130" s="26" t="s">
        <v>496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272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561</v>
      </c>
      <c r="C133" s="12" t="s">
        <v>562</v>
      </c>
      <c r="D133" s="15" t="s">
        <v>115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563</v>
      </c>
      <c r="C134" s="12" t="s">
        <v>564</v>
      </c>
      <c r="D134" s="15" t="s">
        <v>154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276</v>
      </c>
      <c r="C135" s="4" t="s">
        <v>277</v>
      </c>
      <c r="D135" s="16" t="s">
        <v>154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278</v>
      </c>
      <c r="C136" s="12" t="s">
        <v>565</v>
      </c>
      <c r="D136" s="15" t="s">
        <v>41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280</v>
      </c>
      <c r="C137" s="4" t="s">
        <v>566</v>
      </c>
      <c r="D137" s="15" t="s">
        <v>41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282</v>
      </c>
      <c r="C138" s="4" t="s">
        <v>566</v>
      </c>
      <c r="D138" s="15" t="s">
        <v>41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215</v>
      </c>
      <c r="C139" s="12" t="s">
        <v>567</v>
      </c>
      <c r="D139" s="15" t="s">
        <v>65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283</v>
      </c>
      <c r="C140" s="12" t="s">
        <v>567</v>
      </c>
      <c r="D140" s="15" t="s">
        <v>65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284</v>
      </c>
      <c r="C141" s="4" t="s">
        <v>568</v>
      </c>
      <c r="D141" s="15" t="s">
        <v>65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286</v>
      </c>
      <c r="C142" s="12" t="s">
        <v>287</v>
      </c>
      <c r="D142" s="15" t="s">
        <v>162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288</v>
      </c>
      <c r="C143" s="12" t="s">
        <v>289</v>
      </c>
      <c r="D143" s="15" t="s">
        <v>68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60</v>
      </c>
      <c r="C144" s="12" t="s">
        <v>569</v>
      </c>
      <c r="D144" s="15" t="s">
        <v>65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290</v>
      </c>
      <c r="C145" s="4" t="s">
        <v>291</v>
      </c>
      <c r="D145" s="15" t="s">
        <v>137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292</v>
      </c>
      <c r="C146" s="4" t="s">
        <v>570</v>
      </c>
      <c r="D146" s="15" t="s">
        <v>119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293</v>
      </c>
      <c r="C147" s="4" t="s">
        <v>570</v>
      </c>
      <c r="D147" s="15" t="s">
        <v>302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295</v>
      </c>
      <c r="C148" s="4" t="s">
        <v>570</v>
      </c>
      <c r="D148" s="15" t="s">
        <v>302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296</v>
      </c>
      <c r="C149" s="12" t="s">
        <v>297</v>
      </c>
      <c r="D149" s="15" t="s">
        <v>76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298</v>
      </c>
      <c r="C150" s="12" t="s">
        <v>299</v>
      </c>
      <c r="D150" s="10" t="s">
        <v>87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300</v>
      </c>
      <c r="C151" s="12" t="s">
        <v>301</v>
      </c>
      <c r="D151" s="15" t="s">
        <v>119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303</v>
      </c>
      <c r="C152" s="12" t="s">
        <v>304</v>
      </c>
      <c r="D152" s="15" t="s">
        <v>84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305</v>
      </c>
      <c r="C153" s="12" t="s">
        <v>306</v>
      </c>
      <c r="D153" s="15" t="s">
        <v>119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307</v>
      </c>
      <c r="C154" s="12" t="s">
        <v>308</v>
      </c>
      <c r="D154" s="15" t="s">
        <v>84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309</v>
      </c>
      <c r="C155" s="12" t="s">
        <v>310</v>
      </c>
      <c r="D155" s="15" t="s">
        <v>96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314</v>
      </c>
      <c r="C156" s="12" t="s">
        <v>315</v>
      </c>
      <c r="D156" s="15" t="s">
        <v>105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316</v>
      </c>
      <c r="C157" s="12" t="s">
        <v>317</v>
      </c>
      <c r="D157" s="15" t="s">
        <v>105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318</v>
      </c>
      <c r="C158" s="12" t="s">
        <v>319</v>
      </c>
      <c r="D158" s="15" t="s">
        <v>105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320</v>
      </c>
      <c r="C159" s="12" t="s">
        <v>321</v>
      </c>
      <c r="D159" s="15" t="s">
        <v>102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322</v>
      </c>
      <c r="C160" s="12" t="s">
        <v>317</v>
      </c>
      <c r="D160" s="15" t="s">
        <v>105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331</v>
      </c>
      <c r="C161" s="12" t="s">
        <v>332</v>
      </c>
      <c r="D161" s="15" t="s">
        <v>339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334</v>
      </c>
      <c r="C162" s="12" t="s">
        <v>332</v>
      </c>
      <c r="D162" s="15" t="s">
        <v>339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335</v>
      </c>
      <c r="C163" s="12" t="s">
        <v>332</v>
      </c>
      <c r="D163" s="15" t="s">
        <v>339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336</v>
      </c>
      <c r="C164" s="12" t="s">
        <v>332</v>
      </c>
      <c r="D164" s="15" t="s">
        <v>339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337</v>
      </c>
      <c r="C165" s="12" t="s">
        <v>332</v>
      </c>
      <c r="D165" s="15" t="s">
        <v>339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338</v>
      </c>
      <c r="C166" s="12" t="s">
        <v>332</v>
      </c>
      <c r="D166" s="15" t="s">
        <v>350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340</v>
      </c>
      <c r="C167" s="12" t="s">
        <v>332</v>
      </c>
      <c r="D167" s="15" t="s">
        <v>350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341</v>
      </c>
      <c r="C168" s="12" t="s">
        <v>332</v>
      </c>
      <c r="D168" s="15" t="s">
        <v>350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342</v>
      </c>
      <c r="C169" s="12" t="s">
        <v>332</v>
      </c>
      <c r="D169" s="15" t="s">
        <v>350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343</v>
      </c>
      <c r="C170" s="12" t="s">
        <v>332</v>
      </c>
      <c r="D170" s="15" t="s">
        <v>350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344</v>
      </c>
      <c r="C171" s="12" t="s">
        <v>332</v>
      </c>
      <c r="D171" s="15" t="s">
        <v>350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345</v>
      </c>
      <c r="C172" s="12" t="s">
        <v>346</v>
      </c>
      <c r="D172" s="15" t="s">
        <v>353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348</v>
      </c>
      <c r="C173" s="12" t="s">
        <v>346</v>
      </c>
      <c r="D173" s="15" t="s">
        <v>353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349</v>
      </c>
      <c r="C174" s="12" t="s">
        <v>346</v>
      </c>
      <c r="D174" s="15" t="s">
        <v>347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351</v>
      </c>
      <c r="C175" s="12" t="s">
        <v>352</v>
      </c>
      <c r="D175" s="15" t="s">
        <v>356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354</v>
      </c>
      <c r="C176" s="12" t="s">
        <v>355</v>
      </c>
      <c r="D176" s="15" t="s">
        <v>366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357</v>
      </c>
      <c r="C177" s="12" t="s">
        <v>355</v>
      </c>
      <c r="D177" s="15" t="s">
        <v>366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358</v>
      </c>
      <c r="C178" s="12" t="s">
        <v>355</v>
      </c>
      <c r="D178" s="15" t="s">
        <v>366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359</v>
      </c>
      <c r="C179" s="12" t="s">
        <v>355</v>
      </c>
      <c r="D179" s="15" t="s">
        <v>366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360</v>
      </c>
      <c r="C180" s="12" t="s">
        <v>355</v>
      </c>
      <c r="D180" s="15" t="s">
        <v>366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361</v>
      </c>
      <c r="C181" s="12" t="s">
        <v>355</v>
      </c>
      <c r="D181" s="15" t="s">
        <v>366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362</v>
      </c>
      <c r="C182" s="12" t="s">
        <v>355</v>
      </c>
      <c r="D182" s="15" t="s">
        <v>366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499</v>
      </c>
      <c r="C183" s="12" t="s">
        <v>352</v>
      </c>
      <c r="D183" s="15" t="s">
        <v>366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363</v>
      </c>
      <c r="C184" s="12" t="s">
        <v>352</v>
      </c>
      <c r="D184" s="15" t="s">
        <v>366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364</v>
      </c>
      <c r="C185" s="12" t="s">
        <v>365</v>
      </c>
      <c r="D185" s="15" t="s">
        <v>378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369</v>
      </c>
      <c r="C186" s="12" t="s">
        <v>355</v>
      </c>
      <c r="D186" s="15" t="s">
        <v>571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371</v>
      </c>
      <c r="C187" s="12" t="s">
        <v>372</v>
      </c>
      <c r="D187" s="15" t="s">
        <v>572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374</v>
      </c>
      <c r="C188" s="12" t="s">
        <v>372</v>
      </c>
      <c r="D188" s="15" t="s">
        <v>572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375</v>
      </c>
      <c r="C189" s="12" t="s">
        <v>372</v>
      </c>
      <c r="D189" s="15" t="s">
        <v>572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376</v>
      </c>
      <c r="C190" s="12" t="s">
        <v>377</v>
      </c>
      <c r="D190" s="15" t="s">
        <v>368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379</v>
      </c>
      <c r="C191" s="12" t="s">
        <v>377</v>
      </c>
      <c r="D191" s="15" t="s">
        <v>368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111</v>
      </c>
      <c r="C192" s="28" t="s">
        <v>573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381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1194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1195</v>
      </c>
      <c r="E4" s="80" t="s">
        <v>5</v>
      </c>
      <c r="F4" s="21" t="s">
        <v>828</v>
      </c>
      <c r="G4" s="21" t="s">
        <v>829</v>
      </c>
      <c r="H4" s="80" t="s">
        <v>830</v>
      </c>
      <c r="I4" s="21" t="s">
        <v>831</v>
      </c>
      <c r="J4" s="21" t="s">
        <v>832</v>
      </c>
      <c r="K4" s="21" t="s">
        <v>833</v>
      </c>
      <c r="L4" s="80" t="s">
        <v>7</v>
      </c>
      <c r="M4" s="80" t="s">
        <v>7</v>
      </c>
      <c r="N4" s="21" t="s">
        <v>834</v>
      </c>
      <c r="O4" s="21" t="s">
        <v>834</v>
      </c>
      <c r="P4" s="80" t="s">
        <v>8</v>
      </c>
      <c r="Q4" s="306" t="s">
        <v>703</v>
      </c>
      <c r="R4" s="7" t="s">
        <v>704</v>
      </c>
      <c r="S4" s="306" t="s">
        <v>705</v>
      </c>
      <c r="T4" s="80" t="s">
        <v>706</v>
      </c>
      <c r="U4" s="80" t="s">
        <v>707</v>
      </c>
      <c r="V4" s="80" t="s">
        <v>471</v>
      </c>
      <c r="W4" s="80" t="s">
        <v>708</v>
      </c>
      <c r="X4" s="80" t="s">
        <v>709</v>
      </c>
      <c r="Y4" s="319" t="s">
        <v>710</v>
      </c>
      <c r="Z4" s="320" t="s">
        <v>711</v>
      </c>
      <c r="AA4" s="80" t="s">
        <v>509</v>
      </c>
      <c r="AB4" s="321" t="s">
        <v>712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1196</v>
      </c>
      <c r="C7" s="1" t="s">
        <v>1197</v>
      </c>
      <c r="D7" s="15" t="s">
        <v>208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96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111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126</v>
      </c>
      <c r="C11" s="4" t="s">
        <v>130</v>
      </c>
      <c r="D11" s="10" t="s">
        <v>131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194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133</v>
      </c>
      <c r="C12" s="4" t="s">
        <v>45</v>
      </c>
      <c r="D12" s="10" t="s">
        <v>178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49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111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252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255</v>
      </c>
      <c r="C17" s="12" t="s">
        <v>258</v>
      </c>
      <c r="D17" s="15" t="s">
        <v>131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194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261</v>
      </c>
      <c r="C18" s="12" t="s">
        <v>495</v>
      </c>
      <c r="D18" s="15" t="s">
        <v>460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1198</v>
      </c>
      <c r="S18" s="85">
        <f>'AUGUST 2025'!J152</f>
        <v>643911.083333334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111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252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345</v>
      </c>
      <c r="C22" s="12" t="s">
        <v>352</v>
      </c>
      <c r="D22" s="15" t="s">
        <v>356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353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348</v>
      </c>
      <c r="C23" s="302" t="s">
        <v>352</v>
      </c>
      <c r="D23" s="303" t="s">
        <v>356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353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349</v>
      </c>
      <c r="C24" s="12" t="s">
        <v>352</v>
      </c>
      <c r="D24" s="15" t="s">
        <v>1199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353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381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1200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642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358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356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356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5" t="s">
        <v>35</v>
      </c>
      <c r="E9" s="356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6" t="s">
        <v>35</v>
      </c>
      <c r="E10" s="356">
        <v>180000</v>
      </c>
      <c r="F10" s="13"/>
    </row>
    <row r="11" customHeight="1" spans="1:6">
      <c r="A11" s="10">
        <v>5</v>
      </c>
      <c r="B11" s="14" t="s">
        <v>273</v>
      </c>
      <c r="C11" s="4" t="s">
        <v>535</v>
      </c>
      <c r="D11" s="16" t="s">
        <v>35</v>
      </c>
      <c r="E11" s="356">
        <v>180000</v>
      </c>
      <c r="F11" s="13"/>
    </row>
    <row r="12" customHeight="1" spans="1:6">
      <c r="A12" s="10">
        <v>6</v>
      </c>
      <c r="B12" s="18" t="s">
        <v>536</v>
      </c>
      <c r="C12" s="10" t="s">
        <v>537</v>
      </c>
      <c r="D12" s="15" t="s">
        <v>35</v>
      </c>
      <c r="E12" s="356">
        <v>180000</v>
      </c>
      <c r="F12" s="13"/>
    </row>
    <row r="13" customHeight="1" spans="1:6">
      <c r="A13" s="10">
        <v>7</v>
      </c>
      <c r="B13" s="11" t="s">
        <v>33</v>
      </c>
      <c r="C13" s="12" t="s">
        <v>538</v>
      </c>
      <c r="D13" s="15" t="s">
        <v>131</v>
      </c>
      <c r="E13" s="356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49</v>
      </c>
      <c r="E14" s="356">
        <v>126000</v>
      </c>
      <c r="F14" s="13"/>
    </row>
    <row r="15" customHeight="1" spans="1:6">
      <c r="A15" s="10">
        <v>9</v>
      </c>
      <c r="B15" s="11" t="s">
        <v>39</v>
      </c>
      <c r="C15" s="4" t="s">
        <v>40</v>
      </c>
      <c r="D15" s="15" t="s">
        <v>178</v>
      </c>
      <c r="E15" s="356">
        <f>90000</f>
        <v>90000</v>
      </c>
      <c r="F15" s="13"/>
    </row>
    <row r="16" customHeight="1" spans="1:6">
      <c r="A16" s="10">
        <v>10</v>
      </c>
      <c r="B16" s="14" t="s">
        <v>42</v>
      </c>
      <c r="C16" s="17" t="s">
        <v>156</v>
      </c>
      <c r="D16" s="15" t="s">
        <v>46</v>
      </c>
      <c r="E16" s="356">
        <f>90000</f>
        <v>90000</v>
      </c>
      <c r="F16" s="13"/>
    </row>
    <row r="17" customHeight="1" spans="1:5">
      <c r="A17" s="10">
        <v>11</v>
      </c>
      <c r="B17" s="11" t="s">
        <v>47</v>
      </c>
      <c r="C17" s="4" t="s">
        <v>539</v>
      </c>
      <c r="D17" s="10" t="s">
        <v>52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1201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53</v>
      </c>
      <c r="C19" s="4" t="s">
        <v>54</v>
      </c>
      <c r="D19" s="15" t="s">
        <v>58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63</v>
      </c>
      <c r="C20" s="12" t="s">
        <v>64</v>
      </c>
      <c r="D20" s="15" t="s">
        <v>68</v>
      </c>
      <c r="E20" s="356">
        <v>54000</v>
      </c>
      <c r="F20" s="13"/>
    </row>
    <row r="21" customHeight="1" spans="1:6">
      <c r="A21" s="10">
        <v>15</v>
      </c>
      <c r="B21" s="14" t="s">
        <v>66</v>
      </c>
      <c r="C21" s="17" t="s">
        <v>67</v>
      </c>
      <c r="D21" s="10" t="s">
        <v>137</v>
      </c>
      <c r="E21" s="356">
        <v>54000</v>
      </c>
      <c r="F21" s="13"/>
    </row>
    <row r="22" customHeight="1" spans="1:6">
      <c r="A22" s="10">
        <v>16</v>
      </c>
      <c r="B22" s="14" t="s">
        <v>71</v>
      </c>
      <c r="C22" s="17" t="s">
        <v>72</v>
      </c>
      <c r="D22" s="10" t="s">
        <v>73</v>
      </c>
      <c r="E22" s="356">
        <v>54000</v>
      </c>
      <c r="F22" s="13"/>
    </row>
    <row r="23" ht="18.75" customHeight="1" spans="1:6">
      <c r="A23" s="10">
        <v>17</v>
      </c>
      <c r="B23" s="4" t="s">
        <v>77</v>
      </c>
      <c r="C23" s="4" t="s">
        <v>78</v>
      </c>
      <c r="D23" s="10" t="s">
        <v>87</v>
      </c>
      <c r="E23" s="356">
        <v>54000</v>
      </c>
      <c r="F23" s="13"/>
    </row>
    <row r="24" ht="18.75" customHeight="1" spans="1:6">
      <c r="A24" s="10">
        <v>18</v>
      </c>
      <c r="B24" s="18" t="s">
        <v>80</v>
      </c>
      <c r="C24" s="12" t="s">
        <v>78</v>
      </c>
      <c r="D24" s="15" t="s">
        <v>87</v>
      </c>
      <c r="E24" s="356">
        <v>54000</v>
      </c>
      <c r="F24" s="13"/>
    </row>
    <row r="25" ht="18.75" customHeight="1" spans="1:6">
      <c r="A25" s="10">
        <v>19</v>
      </c>
      <c r="B25" s="18" t="s">
        <v>82</v>
      </c>
      <c r="C25" s="12" t="s">
        <v>83</v>
      </c>
      <c r="D25" s="15" t="s">
        <v>96</v>
      </c>
      <c r="E25" s="356">
        <v>54000</v>
      </c>
      <c r="F25" s="13"/>
    </row>
    <row r="26" ht="18.75" customHeight="1" spans="1:6">
      <c r="A26" s="10">
        <v>20</v>
      </c>
      <c r="B26" s="18" t="s">
        <v>85</v>
      </c>
      <c r="C26" s="4" t="s">
        <v>86</v>
      </c>
      <c r="D26" s="10" t="s">
        <v>96</v>
      </c>
      <c r="E26" s="356">
        <v>54000</v>
      </c>
      <c r="F26" s="13"/>
    </row>
    <row r="27" ht="18.75" customHeight="1" spans="1:6">
      <c r="A27" s="10">
        <v>21</v>
      </c>
      <c r="B27" s="18" t="s">
        <v>89</v>
      </c>
      <c r="C27" s="17" t="s">
        <v>90</v>
      </c>
      <c r="D27" s="15" t="s">
        <v>87</v>
      </c>
      <c r="E27" s="356">
        <v>54000</v>
      </c>
      <c r="F27" s="13"/>
    </row>
    <row r="28" ht="18.75" customHeight="1" spans="1:6">
      <c r="A28" s="10">
        <v>22</v>
      </c>
      <c r="B28" s="18" t="s">
        <v>92</v>
      </c>
      <c r="C28" s="4" t="s">
        <v>93</v>
      </c>
      <c r="D28" s="10" t="s">
        <v>105</v>
      </c>
      <c r="E28" s="356">
        <v>54000</v>
      </c>
      <c r="F28" s="13"/>
    </row>
    <row r="29" ht="18.75" customHeight="1" spans="1:6">
      <c r="A29" s="10">
        <v>23</v>
      </c>
      <c r="B29" s="18" t="s">
        <v>1193</v>
      </c>
      <c r="C29" s="12" t="s">
        <v>101</v>
      </c>
      <c r="D29" s="15" t="s">
        <v>105</v>
      </c>
      <c r="E29" s="356">
        <v>54000</v>
      </c>
      <c r="F29" s="13"/>
    </row>
    <row r="30" ht="18.75" customHeight="1" spans="1:6">
      <c r="A30" s="10">
        <v>24</v>
      </c>
      <c r="B30" s="18" t="s">
        <v>100</v>
      </c>
      <c r="C30" s="12" t="s">
        <v>101</v>
      </c>
      <c r="D30" s="15" t="s">
        <v>108</v>
      </c>
      <c r="E30" s="356">
        <v>54000</v>
      </c>
      <c r="F30" s="13"/>
    </row>
    <row r="31" ht="26.25" customHeight="1" spans="1:6">
      <c r="A31" s="10"/>
      <c r="B31" s="20" t="s">
        <v>111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112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113</v>
      </c>
      <c r="C34" s="4" t="s">
        <v>114</v>
      </c>
      <c r="D34" s="10" t="s">
        <v>115</v>
      </c>
      <c r="E34" s="356">
        <v>270000</v>
      </c>
      <c r="F34" s="13"/>
    </row>
    <row r="35" ht="18.75" customHeight="1" spans="1:6">
      <c r="A35" s="10">
        <v>2</v>
      </c>
      <c r="B35" s="18" t="s">
        <v>116</v>
      </c>
      <c r="C35" s="4" t="s">
        <v>802</v>
      </c>
      <c r="D35" s="10" t="s">
        <v>108</v>
      </c>
      <c r="E35" s="356">
        <v>54000</v>
      </c>
      <c r="F35" s="13"/>
    </row>
    <row r="36" ht="18.75" customHeight="1" spans="1:6">
      <c r="A36" s="10">
        <v>3</v>
      </c>
      <c r="B36" s="11" t="s">
        <v>118</v>
      </c>
      <c r="C36" s="12" t="s">
        <v>799</v>
      </c>
      <c r="D36" s="15" t="s">
        <v>73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125</v>
      </c>
      <c r="C39" s="5"/>
      <c r="D39" s="24"/>
      <c r="E39" s="359"/>
      <c r="F39" s="13"/>
    </row>
    <row r="40" customHeight="1" spans="1:6">
      <c r="A40" s="10">
        <v>1</v>
      </c>
      <c r="B40" s="11" t="s">
        <v>541</v>
      </c>
      <c r="C40" s="4" t="s">
        <v>542</v>
      </c>
      <c r="D40" s="10" t="s">
        <v>115</v>
      </c>
      <c r="E40" s="356">
        <v>270000</v>
      </c>
      <c r="F40" s="13"/>
    </row>
    <row r="41" customHeight="1" spans="1:6">
      <c r="A41" s="10">
        <v>2</v>
      </c>
      <c r="B41" s="11" t="s">
        <v>126</v>
      </c>
      <c r="C41" s="4" t="s">
        <v>127</v>
      </c>
      <c r="D41" s="10" t="s">
        <v>194</v>
      </c>
      <c r="E41" s="356">
        <f>180000</f>
        <v>180000</v>
      </c>
      <c r="F41" s="13"/>
    </row>
    <row r="42" customHeight="1" spans="1:6">
      <c r="A42" s="10">
        <v>3</v>
      </c>
      <c r="B42" s="11" t="s">
        <v>543</v>
      </c>
      <c r="C42" s="4" t="s">
        <v>43</v>
      </c>
      <c r="D42" s="10" t="s">
        <v>131</v>
      </c>
      <c r="E42" s="356">
        <v>126000</v>
      </c>
      <c r="F42" s="13"/>
    </row>
    <row r="43" customHeight="1" spans="1:6">
      <c r="A43" s="10">
        <v>4</v>
      </c>
      <c r="B43" s="11" t="s">
        <v>129</v>
      </c>
      <c r="C43" s="4" t="s">
        <v>130</v>
      </c>
      <c r="D43" s="10" t="s">
        <v>131</v>
      </c>
      <c r="E43" s="356">
        <v>126000</v>
      </c>
      <c r="F43" s="13"/>
    </row>
    <row r="44" customHeight="1" spans="1:6">
      <c r="A44" s="10">
        <v>5</v>
      </c>
      <c r="B44" s="11" t="s">
        <v>132</v>
      </c>
      <c r="C44" s="4" t="s">
        <v>130</v>
      </c>
      <c r="D44" s="10" t="s">
        <v>38</v>
      </c>
      <c r="E44" s="356">
        <v>126000</v>
      </c>
      <c r="F44" s="13"/>
    </row>
    <row r="45" customHeight="1" spans="1:6">
      <c r="A45" s="10">
        <v>6</v>
      </c>
      <c r="B45" s="11" t="s">
        <v>133</v>
      </c>
      <c r="C45" s="4" t="s">
        <v>130</v>
      </c>
      <c r="D45" s="10" t="s">
        <v>49</v>
      </c>
      <c r="E45" s="356">
        <v>126000</v>
      </c>
      <c r="F45" s="13"/>
    </row>
    <row r="46" customHeight="1" spans="1:6">
      <c r="A46" s="10">
        <v>7</v>
      </c>
      <c r="B46" s="14" t="s">
        <v>134</v>
      </c>
      <c r="C46" s="4" t="s">
        <v>156</v>
      </c>
      <c r="D46" s="16" t="s">
        <v>178</v>
      </c>
      <c r="E46" s="356">
        <v>90000</v>
      </c>
      <c r="F46" s="13"/>
    </row>
    <row r="47" customHeight="1" spans="1:6">
      <c r="A47" s="10">
        <v>8</v>
      </c>
      <c r="B47" s="11" t="s">
        <v>44</v>
      </c>
      <c r="C47" s="4" t="s">
        <v>45</v>
      </c>
      <c r="D47" s="10" t="s">
        <v>199</v>
      </c>
      <c r="E47" s="356">
        <v>90000</v>
      </c>
      <c r="F47" s="13"/>
    </row>
    <row r="48" customHeight="1" spans="1:6">
      <c r="A48" s="10">
        <v>9</v>
      </c>
      <c r="B48" s="11" t="s">
        <v>138</v>
      </c>
      <c r="C48" s="4" t="s">
        <v>139</v>
      </c>
      <c r="D48" s="10" t="s">
        <v>73</v>
      </c>
      <c r="E48" s="356">
        <v>54000</v>
      </c>
      <c r="F48" s="13"/>
    </row>
    <row r="49" customHeight="1" spans="1:6">
      <c r="A49" s="10">
        <v>10</v>
      </c>
      <c r="B49" s="11" t="s">
        <v>142</v>
      </c>
      <c r="C49" s="4" t="s">
        <v>139</v>
      </c>
      <c r="D49" s="10" t="s">
        <v>96</v>
      </c>
      <c r="E49" s="356">
        <v>54000</v>
      </c>
      <c r="F49" s="13"/>
    </row>
    <row r="50" customHeight="1" spans="1:6">
      <c r="A50" s="10">
        <v>11</v>
      </c>
      <c r="B50" s="11" t="s">
        <v>544</v>
      </c>
      <c r="C50" s="4" t="s">
        <v>139</v>
      </c>
      <c r="D50" s="10" t="s">
        <v>96</v>
      </c>
      <c r="E50" s="356">
        <v>54000</v>
      </c>
      <c r="F50" s="13"/>
    </row>
    <row r="51" customHeight="1" spans="1:6">
      <c r="A51" s="10">
        <v>12</v>
      </c>
      <c r="B51" s="11" t="s">
        <v>143</v>
      </c>
      <c r="C51" s="4" t="s">
        <v>139</v>
      </c>
      <c r="D51" s="10" t="s">
        <v>96</v>
      </c>
      <c r="E51" s="356">
        <v>54000</v>
      </c>
      <c r="F51" s="13"/>
    </row>
    <row r="52" ht="25.5" customHeight="1" spans="1:6">
      <c r="A52" s="10"/>
      <c r="B52" s="20" t="s">
        <v>111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145</v>
      </c>
      <c r="C54" s="21"/>
      <c r="D54" s="21"/>
      <c r="E54" s="361"/>
      <c r="F54" s="13"/>
    </row>
    <row r="55" customHeight="1" spans="1:6">
      <c r="A55" s="10">
        <v>1</v>
      </c>
      <c r="B55" s="11" t="s">
        <v>545</v>
      </c>
      <c r="C55" s="12" t="s">
        <v>147</v>
      </c>
      <c r="D55" s="15" t="s">
        <v>115</v>
      </c>
      <c r="E55" s="356">
        <v>270000</v>
      </c>
      <c r="F55" s="13"/>
    </row>
    <row r="56" customHeight="1" spans="1:6">
      <c r="A56" s="10">
        <v>2</v>
      </c>
      <c r="B56" s="11" t="s">
        <v>148</v>
      </c>
      <c r="C56" s="12" t="s">
        <v>149</v>
      </c>
      <c r="D56" s="15" t="s">
        <v>554</v>
      </c>
      <c r="E56" s="356">
        <v>126000</v>
      </c>
      <c r="F56" s="13"/>
    </row>
    <row r="57" customHeight="1" spans="1:6">
      <c r="A57" s="10"/>
      <c r="B57" s="20" t="s">
        <v>111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151</v>
      </c>
      <c r="C59" s="21"/>
      <c r="D59" s="21"/>
      <c r="E59" s="361"/>
      <c r="F59" s="13"/>
    </row>
    <row r="60" customHeight="1" spans="1:6">
      <c r="A60" s="10">
        <v>1</v>
      </c>
      <c r="B60" s="11" t="s">
        <v>546</v>
      </c>
      <c r="C60" s="17" t="s">
        <v>547</v>
      </c>
      <c r="D60" s="10" t="s">
        <v>115</v>
      </c>
      <c r="E60" s="356">
        <v>270000</v>
      </c>
      <c r="F60" s="13"/>
    </row>
    <row r="61" customHeight="1" spans="1:6">
      <c r="A61" s="10">
        <v>2</v>
      </c>
      <c r="B61" s="351" t="s">
        <v>548</v>
      </c>
      <c r="C61" s="17" t="s">
        <v>549</v>
      </c>
      <c r="D61" s="15" t="s">
        <v>1202</v>
      </c>
      <c r="E61" s="356">
        <v>126000</v>
      </c>
      <c r="F61" s="13"/>
    </row>
    <row r="62" customHeight="1" spans="1:6">
      <c r="A62" s="10">
        <v>3</v>
      </c>
      <c r="B62" s="11" t="s">
        <v>155</v>
      </c>
      <c r="C62" s="4" t="s">
        <v>156</v>
      </c>
      <c r="D62" s="10" t="s">
        <v>199</v>
      </c>
      <c r="E62" s="356">
        <v>90000</v>
      </c>
      <c r="F62" s="13"/>
    </row>
    <row r="63" customHeight="1" spans="1:6">
      <c r="A63" s="10">
        <v>4</v>
      </c>
      <c r="B63" s="18" t="s">
        <v>550</v>
      </c>
      <c r="C63" s="17" t="s">
        <v>158</v>
      </c>
      <c r="D63" s="15" t="s">
        <v>1201</v>
      </c>
      <c r="E63" s="356">
        <v>90000</v>
      </c>
      <c r="F63" s="13"/>
    </row>
    <row r="64" customHeight="1" spans="1:6">
      <c r="A64" s="10">
        <v>5</v>
      </c>
      <c r="B64" s="14" t="s">
        <v>551</v>
      </c>
      <c r="C64" s="17" t="s">
        <v>156</v>
      </c>
      <c r="D64" s="15" t="s">
        <v>178</v>
      </c>
      <c r="E64" s="356">
        <v>90000</v>
      </c>
      <c r="F64" s="13"/>
    </row>
    <row r="65" customHeight="1" spans="1:6">
      <c r="A65" s="10">
        <v>7</v>
      </c>
      <c r="B65" s="11" t="s">
        <v>161</v>
      </c>
      <c r="C65" s="4" t="s">
        <v>139</v>
      </c>
      <c r="D65" s="10" t="s">
        <v>137</v>
      </c>
      <c r="E65" s="356">
        <v>54000</v>
      </c>
      <c r="F65" s="13"/>
    </row>
    <row r="66" customHeight="1" spans="1:6">
      <c r="A66" s="10">
        <v>8</v>
      </c>
      <c r="B66" s="11" t="s">
        <v>163</v>
      </c>
      <c r="C66" s="17" t="s">
        <v>70</v>
      </c>
      <c r="D66" s="15" t="s">
        <v>137</v>
      </c>
      <c r="E66" s="356">
        <v>54000</v>
      </c>
      <c r="F66" s="13"/>
    </row>
    <row r="67" customHeight="1" spans="1:6">
      <c r="A67" s="10">
        <v>9</v>
      </c>
      <c r="B67" s="11" t="s">
        <v>164</v>
      </c>
      <c r="C67" s="17" t="s">
        <v>70</v>
      </c>
      <c r="D67" s="15" t="s">
        <v>137</v>
      </c>
      <c r="E67" s="356">
        <v>54000</v>
      </c>
      <c r="F67" s="13"/>
    </row>
    <row r="68" customHeight="1" spans="1:6">
      <c r="A68" s="10">
        <v>10</v>
      </c>
      <c r="B68" s="11" t="s">
        <v>165</v>
      </c>
      <c r="C68" s="4" t="s">
        <v>166</v>
      </c>
      <c r="D68" s="10" t="s">
        <v>68</v>
      </c>
      <c r="E68" s="356">
        <v>54000</v>
      </c>
      <c r="F68" s="13"/>
    </row>
    <row r="69" ht="21.6" customHeight="1" spans="1:5">
      <c r="A69" s="10">
        <v>11</v>
      </c>
      <c r="B69" s="11" t="s">
        <v>168</v>
      </c>
      <c r="C69" s="4" t="s">
        <v>139</v>
      </c>
      <c r="D69" s="10" t="s">
        <v>73</v>
      </c>
      <c r="E69" s="356">
        <v>54000</v>
      </c>
    </row>
    <row r="70" customHeight="1" spans="1:6">
      <c r="A70" s="10">
        <v>12</v>
      </c>
      <c r="B70" s="11" t="s">
        <v>81</v>
      </c>
      <c r="C70" s="17" t="s">
        <v>67</v>
      </c>
      <c r="D70" s="10" t="s">
        <v>87</v>
      </c>
      <c r="E70" s="356">
        <v>54000</v>
      </c>
      <c r="F70" s="13"/>
    </row>
    <row r="71" ht="27" customHeight="1" spans="1:6">
      <c r="A71" s="10"/>
      <c r="B71" s="20" t="s">
        <v>111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169</v>
      </c>
      <c r="C73" s="21"/>
      <c r="D73" s="21"/>
      <c r="E73" s="361"/>
      <c r="F73" s="13"/>
    </row>
    <row r="74" customHeight="1" spans="1:6">
      <c r="A74" s="10">
        <v>1</v>
      </c>
      <c r="B74" s="11" t="s">
        <v>170</v>
      </c>
      <c r="C74" s="4" t="s">
        <v>171</v>
      </c>
      <c r="D74" s="10" t="s">
        <v>115</v>
      </c>
      <c r="E74" s="356">
        <v>270000</v>
      </c>
      <c r="F74" s="13"/>
    </row>
    <row r="75" customHeight="1" spans="1:6">
      <c r="A75" s="10">
        <v>2</v>
      </c>
      <c r="B75" s="14" t="s">
        <v>552</v>
      </c>
      <c r="C75" s="4" t="s">
        <v>553</v>
      </c>
      <c r="D75" s="15" t="s">
        <v>1202</v>
      </c>
      <c r="E75" s="356">
        <v>126000</v>
      </c>
      <c r="F75" s="13"/>
    </row>
    <row r="76" customHeight="1" spans="1:6">
      <c r="A76" s="10">
        <v>3</v>
      </c>
      <c r="B76" s="18" t="s">
        <v>172</v>
      </c>
      <c r="C76" s="12" t="s">
        <v>555</v>
      </c>
      <c r="D76" s="10" t="s">
        <v>554</v>
      </c>
      <c r="E76" s="356">
        <v>126000</v>
      </c>
      <c r="F76" s="13"/>
    </row>
    <row r="77" customHeight="1" spans="1:6">
      <c r="A77" s="10">
        <v>4</v>
      </c>
      <c r="B77" s="11" t="s">
        <v>176</v>
      </c>
      <c r="C77" s="4" t="s">
        <v>177</v>
      </c>
      <c r="D77" s="15" t="s">
        <v>199</v>
      </c>
      <c r="E77" s="356">
        <v>90000</v>
      </c>
      <c r="F77" s="13"/>
    </row>
    <row r="78" customHeight="1" spans="1:6">
      <c r="A78" s="10">
        <v>5</v>
      </c>
      <c r="B78" s="11" t="s">
        <v>183</v>
      </c>
      <c r="C78" s="4" t="s">
        <v>186</v>
      </c>
      <c r="D78" s="10" t="s">
        <v>76</v>
      </c>
      <c r="E78" s="356">
        <v>54000</v>
      </c>
      <c r="F78" s="13"/>
    </row>
    <row r="79" customHeight="1" spans="1:6">
      <c r="A79" s="10">
        <v>6</v>
      </c>
      <c r="B79" s="11" t="s">
        <v>185</v>
      </c>
      <c r="C79" s="4" t="s">
        <v>186</v>
      </c>
      <c r="D79" s="10" t="s">
        <v>96</v>
      </c>
      <c r="E79" s="356">
        <v>54000</v>
      </c>
      <c r="F79" s="13"/>
    </row>
    <row r="80" customHeight="1" spans="1:6">
      <c r="A80" s="10">
        <v>7</v>
      </c>
      <c r="B80" s="11" t="s">
        <v>187</v>
      </c>
      <c r="C80" s="4" t="s">
        <v>188</v>
      </c>
      <c r="D80" s="10" t="s">
        <v>108</v>
      </c>
      <c r="E80" s="356">
        <v>54000</v>
      </c>
      <c r="F80" s="13"/>
    </row>
    <row r="81" customHeight="1" spans="1:6">
      <c r="A81" s="10"/>
      <c r="B81" s="20" t="s">
        <v>111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189</v>
      </c>
      <c r="C83" s="25"/>
      <c r="D83" s="21"/>
      <c r="E83" s="361"/>
      <c r="F83" s="13"/>
    </row>
    <row r="84" customHeight="1" spans="1:6">
      <c r="A84" s="10">
        <v>1</v>
      </c>
      <c r="B84" s="11" t="s">
        <v>192</v>
      </c>
      <c r="C84" s="4" t="s">
        <v>130</v>
      </c>
      <c r="D84" s="10" t="s">
        <v>131</v>
      </c>
      <c r="E84" s="356">
        <v>126000</v>
      </c>
      <c r="F84" s="13"/>
    </row>
    <row r="85" customHeight="1" spans="1:6">
      <c r="A85" s="10">
        <v>2</v>
      </c>
      <c r="B85" s="11" t="s">
        <v>190</v>
      </c>
      <c r="C85" s="4" t="s">
        <v>130</v>
      </c>
      <c r="D85" s="10" t="s">
        <v>131</v>
      </c>
      <c r="E85" s="356">
        <v>126000</v>
      </c>
      <c r="F85" s="13"/>
    </row>
    <row r="86" customHeight="1" spans="1:6">
      <c r="A86" s="10">
        <v>3</v>
      </c>
      <c r="B86" s="14" t="s">
        <v>152</v>
      </c>
      <c r="C86" s="4" t="s">
        <v>130</v>
      </c>
      <c r="D86" s="10" t="s">
        <v>49</v>
      </c>
      <c r="E86" s="356">
        <v>126000</v>
      </c>
      <c r="F86" s="13"/>
    </row>
    <row r="87" customHeight="1" spans="1:6">
      <c r="A87" s="10">
        <v>4</v>
      </c>
      <c r="B87" s="11" t="s">
        <v>195</v>
      </c>
      <c r="C87" s="4" t="s">
        <v>130</v>
      </c>
      <c r="D87" s="10" t="s">
        <v>49</v>
      </c>
      <c r="E87" s="356">
        <v>126000</v>
      </c>
      <c r="F87" s="13"/>
    </row>
    <row r="88" ht="21.6" customHeight="1" spans="1:6">
      <c r="A88" s="10">
        <v>5</v>
      </c>
      <c r="B88" s="11" t="s">
        <v>196</v>
      </c>
      <c r="C88" s="4" t="s">
        <v>556</v>
      </c>
      <c r="D88" s="15" t="s">
        <v>460</v>
      </c>
      <c r="E88" s="356">
        <v>90000</v>
      </c>
      <c r="F88" s="13"/>
    </row>
    <row r="89" ht="21.6" customHeight="1" spans="1:6">
      <c r="A89" s="10">
        <v>6</v>
      </c>
      <c r="B89" s="11" t="s">
        <v>197</v>
      </c>
      <c r="C89" s="12" t="s">
        <v>158</v>
      </c>
      <c r="D89" s="15" t="s">
        <v>1201</v>
      </c>
      <c r="E89" s="356">
        <v>90000</v>
      </c>
      <c r="F89" s="13"/>
    </row>
    <row r="90" ht="21.6" customHeight="1" spans="1:6">
      <c r="A90" s="10">
        <v>7</v>
      </c>
      <c r="B90" s="11" t="s">
        <v>198</v>
      </c>
      <c r="C90" s="12" t="s">
        <v>156</v>
      </c>
      <c r="D90" s="15" t="s">
        <v>230</v>
      </c>
      <c r="E90" s="356">
        <v>90000</v>
      </c>
      <c r="F90" s="13"/>
    </row>
    <row r="91" ht="21.6" customHeight="1" spans="1:6">
      <c r="A91" s="10">
        <v>8</v>
      </c>
      <c r="B91" s="11" t="s">
        <v>200</v>
      </c>
      <c r="C91" s="17" t="s">
        <v>70</v>
      </c>
      <c r="D91" s="15" t="s">
        <v>137</v>
      </c>
      <c r="E91" s="356">
        <v>54000</v>
      </c>
      <c r="F91" s="13"/>
    </row>
    <row r="92" ht="21.6" customHeight="1" spans="1:6">
      <c r="A92" s="10">
        <v>9</v>
      </c>
      <c r="B92" s="11" t="s">
        <v>201</v>
      </c>
      <c r="C92" s="17" t="s">
        <v>70</v>
      </c>
      <c r="D92" s="15" t="s">
        <v>137</v>
      </c>
      <c r="E92" s="356">
        <v>54000</v>
      </c>
      <c r="F92" s="13"/>
    </row>
    <row r="93" ht="21.6" customHeight="1" spans="1:6">
      <c r="A93" s="10">
        <v>10</v>
      </c>
      <c r="B93" s="11" t="s">
        <v>204</v>
      </c>
      <c r="C93" s="4" t="s">
        <v>205</v>
      </c>
      <c r="D93" s="10" t="s">
        <v>73</v>
      </c>
      <c r="E93" s="356">
        <v>54000</v>
      </c>
      <c r="F93" s="13"/>
    </row>
    <row r="94" ht="21.6" customHeight="1" spans="1:6">
      <c r="A94" s="10">
        <v>11</v>
      </c>
      <c r="B94" s="11" t="s">
        <v>206</v>
      </c>
      <c r="C94" s="17" t="s">
        <v>207</v>
      </c>
      <c r="D94" s="15" t="s">
        <v>105</v>
      </c>
      <c r="E94" s="356">
        <v>54000</v>
      </c>
      <c r="F94" s="13"/>
    </row>
    <row r="95" customHeight="1" spans="1:6">
      <c r="A95" s="10"/>
      <c r="B95" s="20" t="s">
        <v>111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209</v>
      </c>
      <c r="C97" s="21"/>
      <c r="D97" s="21"/>
      <c r="E97" s="361"/>
      <c r="F97" s="13"/>
    </row>
    <row r="98" customHeight="1" spans="1:6">
      <c r="A98" s="10">
        <v>1</v>
      </c>
      <c r="B98" s="14" t="s">
        <v>210</v>
      </c>
      <c r="C98" s="4" t="s">
        <v>211</v>
      </c>
      <c r="D98" s="16" t="s">
        <v>35</v>
      </c>
      <c r="E98" s="356">
        <f>180000</f>
        <v>180000</v>
      </c>
      <c r="F98" s="13"/>
    </row>
    <row r="99" customHeight="1" spans="1:6">
      <c r="A99" s="10">
        <v>2</v>
      </c>
      <c r="B99" s="11" t="s">
        <v>213</v>
      </c>
      <c r="C99" s="4" t="s">
        <v>214</v>
      </c>
      <c r="D99" s="15" t="s">
        <v>199</v>
      </c>
      <c r="E99" s="356">
        <v>90000</v>
      </c>
      <c r="F99" s="13"/>
    </row>
    <row r="100" customHeight="1" spans="1:6">
      <c r="A100" s="10">
        <v>3</v>
      </c>
      <c r="B100" s="11" t="s">
        <v>219</v>
      </c>
      <c r="C100" s="4" t="s">
        <v>220</v>
      </c>
      <c r="D100" s="15" t="s">
        <v>68</v>
      </c>
      <c r="E100" s="356">
        <v>54000</v>
      </c>
      <c r="F100" s="13"/>
    </row>
    <row r="101" customHeight="1" spans="1:6">
      <c r="A101" s="10">
        <v>4</v>
      </c>
      <c r="B101" s="11" t="s">
        <v>221</v>
      </c>
      <c r="C101" s="4" t="s">
        <v>222</v>
      </c>
      <c r="D101" s="15" t="s">
        <v>73</v>
      </c>
      <c r="E101" s="356">
        <v>54000</v>
      </c>
      <c r="F101" s="13"/>
    </row>
    <row r="102" customHeight="1" spans="1:6">
      <c r="A102" s="4"/>
      <c r="B102" s="20" t="s">
        <v>111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223</v>
      </c>
      <c r="C104" s="4"/>
      <c r="D104" s="4"/>
      <c r="E104" s="362"/>
      <c r="F104" s="13"/>
    </row>
    <row r="105" customHeight="1" spans="1:6">
      <c r="A105" s="4">
        <v>1</v>
      </c>
      <c r="B105" s="11" t="s">
        <v>224</v>
      </c>
      <c r="C105" s="12" t="s">
        <v>225</v>
      </c>
      <c r="D105" s="15" t="s">
        <v>115</v>
      </c>
      <c r="E105" s="356">
        <v>270000</v>
      </c>
      <c r="F105" s="13"/>
    </row>
    <row r="106" customHeight="1" spans="1:6">
      <c r="A106" s="4">
        <v>2</v>
      </c>
      <c r="B106" s="11" t="s">
        <v>226</v>
      </c>
      <c r="C106" s="4" t="s">
        <v>227</v>
      </c>
      <c r="D106" s="16" t="s">
        <v>35</v>
      </c>
      <c r="E106" s="356">
        <v>180000</v>
      </c>
      <c r="F106" s="13"/>
    </row>
    <row r="107" customHeight="1" spans="1:6">
      <c r="A107" s="4">
        <v>3</v>
      </c>
      <c r="B107" s="11" t="s">
        <v>228</v>
      </c>
      <c r="C107" s="4" t="s">
        <v>442</v>
      </c>
      <c r="D107" s="10" t="s">
        <v>52</v>
      </c>
      <c r="E107" s="356">
        <v>90000</v>
      </c>
      <c r="F107" s="13"/>
    </row>
    <row r="108" customHeight="1" spans="1:6">
      <c r="A108" s="4">
        <v>4</v>
      </c>
      <c r="B108" s="11" t="s">
        <v>231</v>
      </c>
      <c r="C108" s="4" t="s">
        <v>442</v>
      </c>
      <c r="D108" s="10" t="s">
        <v>52</v>
      </c>
      <c r="E108" s="356">
        <v>90000</v>
      </c>
      <c r="F108" s="13"/>
    </row>
    <row r="109" customHeight="1" spans="1:6">
      <c r="A109" s="4">
        <v>5</v>
      </c>
      <c r="B109" s="11" t="s">
        <v>232</v>
      </c>
      <c r="C109" s="4" t="s">
        <v>233</v>
      </c>
      <c r="D109" s="15" t="s">
        <v>558</v>
      </c>
      <c r="E109" s="363">
        <v>54000</v>
      </c>
      <c r="F109" s="13"/>
    </row>
    <row r="110" customHeight="1" spans="1:6">
      <c r="A110" s="4">
        <v>6</v>
      </c>
      <c r="B110" s="18" t="s">
        <v>235</v>
      </c>
      <c r="C110" s="4" t="s">
        <v>233</v>
      </c>
      <c r="D110" s="10" t="s">
        <v>208</v>
      </c>
      <c r="E110" s="363">
        <v>54000</v>
      </c>
      <c r="F110" s="13"/>
    </row>
    <row r="111" customHeight="1" spans="1:6">
      <c r="A111" s="4">
        <v>7</v>
      </c>
      <c r="B111" s="18" t="s">
        <v>236</v>
      </c>
      <c r="C111" s="4" t="s">
        <v>233</v>
      </c>
      <c r="D111" s="15" t="s">
        <v>105</v>
      </c>
      <c r="E111" s="363">
        <v>54000</v>
      </c>
      <c r="F111" s="13"/>
    </row>
    <row r="112" ht="25.5" customHeight="1" spans="1:6">
      <c r="A112" s="4"/>
      <c r="B112" s="20" t="s">
        <v>111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237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238</v>
      </c>
      <c r="C115" s="4" t="s">
        <v>239</v>
      </c>
      <c r="D115" s="15" t="s">
        <v>68</v>
      </c>
      <c r="E115" s="356">
        <v>54000</v>
      </c>
      <c r="F115" s="13"/>
    </row>
    <row r="116" customHeight="1" spans="1:6">
      <c r="A116" s="10">
        <v>2</v>
      </c>
      <c r="B116" s="11" t="s">
        <v>179</v>
      </c>
      <c r="C116" s="12" t="s">
        <v>559</v>
      </c>
      <c r="D116" s="15" t="s">
        <v>162</v>
      </c>
      <c r="E116" s="356">
        <v>54000</v>
      </c>
      <c r="F116" s="13"/>
    </row>
    <row r="117" ht="24.75" customHeight="1" spans="1:6">
      <c r="A117" s="4"/>
      <c r="B117" s="20" t="s">
        <v>111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252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253</v>
      </c>
      <c r="C120" s="12" t="s">
        <v>254</v>
      </c>
      <c r="D120" s="15" t="s">
        <v>115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255</v>
      </c>
      <c r="C121" s="12" t="s">
        <v>256</v>
      </c>
      <c r="D121" s="15" t="s">
        <v>194</v>
      </c>
      <c r="E121" s="356">
        <v>180000</v>
      </c>
      <c r="F121" s="13"/>
    </row>
    <row r="122" customHeight="1" spans="1:6">
      <c r="A122" s="4">
        <v>3</v>
      </c>
      <c r="B122" s="14" t="s">
        <v>257</v>
      </c>
      <c r="C122" s="12" t="s">
        <v>258</v>
      </c>
      <c r="D122" s="15" t="s">
        <v>131</v>
      </c>
      <c r="E122" s="356">
        <v>126000</v>
      </c>
      <c r="F122" s="13"/>
    </row>
    <row r="123" customHeight="1" spans="1:6">
      <c r="A123" s="4">
        <v>4</v>
      </c>
      <c r="B123" s="14" t="s">
        <v>560</v>
      </c>
      <c r="C123" s="12" t="s">
        <v>258</v>
      </c>
      <c r="D123" s="15" t="s">
        <v>49</v>
      </c>
      <c r="E123" s="356">
        <v>126000</v>
      </c>
      <c r="F123" s="13"/>
    </row>
    <row r="124" customHeight="1" spans="1:6">
      <c r="A124" s="4">
        <v>5</v>
      </c>
      <c r="B124" s="11" t="s">
        <v>259</v>
      </c>
      <c r="C124" s="12" t="s">
        <v>260</v>
      </c>
      <c r="D124" s="15" t="s">
        <v>46</v>
      </c>
      <c r="E124" s="356">
        <v>90000</v>
      </c>
      <c r="F124" s="13"/>
    </row>
    <row r="125" customHeight="1" spans="1:6">
      <c r="A125" s="4">
        <v>6</v>
      </c>
      <c r="B125" s="11" t="s">
        <v>261</v>
      </c>
      <c r="C125" s="12" t="s">
        <v>495</v>
      </c>
      <c r="D125" s="15" t="s">
        <v>199</v>
      </c>
      <c r="E125" s="356">
        <v>90000</v>
      </c>
      <c r="F125" s="13"/>
    </row>
    <row r="126" customHeight="1" spans="1:6">
      <c r="A126" s="4">
        <v>7</v>
      </c>
      <c r="B126" s="11" t="s">
        <v>262</v>
      </c>
      <c r="C126" s="12" t="s">
        <v>260</v>
      </c>
      <c r="D126" s="15" t="s">
        <v>199</v>
      </c>
      <c r="E126" s="356">
        <v>90000</v>
      </c>
      <c r="F126" s="13"/>
    </row>
    <row r="127" customHeight="1" spans="1:6">
      <c r="A127" s="4">
        <v>8</v>
      </c>
      <c r="B127" s="11" t="s">
        <v>265</v>
      </c>
      <c r="C127" s="12" t="s">
        <v>266</v>
      </c>
      <c r="D127" s="10" t="s">
        <v>87</v>
      </c>
      <c r="E127" s="356">
        <v>54000</v>
      </c>
      <c r="F127" s="13"/>
    </row>
    <row r="128" customHeight="1" spans="1:6">
      <c r="A128" s="4">
        <v>9</v>
      </c>
      <c r="B128" s="18" t="s">
        <v>267</v>
      </c>
      <c r="C128" s="12" t="s">
        <v>268</v>
      </c>
      <c r="D128" s="15" t="s">
        <v>108</v>
      </c>
      <c r="E128" s="356">
        <v>54000</v>
      </c>
      <c r="F128" s="13"/>
    </row>
    <row r="129" customHeight="1" spans="1:6">
      <c r="A129" s="4">
        <v>10</v>
      </c>
      <c r="B129" s="18" t="s">
        <v>269</v>
      </c>
      <c r="C129" s="12" t="s">
        <v>264</v>
      </c>
      <c r="D129" s="15" t="s">
        <v>108</v>
      </c>
      <c r="E129" s="356">
        <v>54000</v>
      </c>
      <c r="F129" s="13"/>
    </row>
    <row r="130" ht="28.5" customHeight="1" spans="1:6">
      <c r="A130" s="4"/>
      <c r="B130" s="20" t="s">
        <v>111</v>
      </c>
      <c r="C130" s="26" t="s">
        <v>496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272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561</v>
      </c>
      <c r="C133" s="12" t="s">
        <v>562</v>
      </c>
      <c r="D133" s="15" t="s">
        <v>115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563</v>
      </c>
      <c r="C134" s="12" t="s">
        <v>564</v>
      </c>
      <c r="D134" s="15" t="s">
        <v>154</v>
      </c>
      <c r="E134" s="356">
        <v>180000</v>
      </c>
      <c r="F134" s="13"/>
    </row>
    <row r="135" customHeight="1" spans="1:6">
      <c r="A135" s="27">
        <v>3</v>
      </c>
      <c r="B135" s="14" t="s">
        <v>276</v>
      </c>
      <c r="C135" s="4" t="s">
        <v>277</v>
      </c>
      <c r="D135" s="16" t="s">
        <v>35</v>
      </c>
      <c r="E135" s="356">
        <v>180000</v>
      </c>
      <c r="F135" s="13"/>
    </row>
    <row r="136" customHeight="1" spans="1:6">
      <c r="A136" s="27">
        <v>4</v>
      </c>
      <c r="B136" s="11" t="s">
        <v>278</v>
      </c>
      <c r="C136" s="12" t="s">
        <v>565</v>
      </c>
      <c r="D136" s="15" t="s">
        <v>178</v>
      </c>
      <c r="E136" s="356">
        <v>90000</v>
      </c>
      <c r="F136" s="13"/>
    </row>
    <row r="137" customHeight="1" spans="1:6">
      <c r="A137" s="27">
        <v>5</v>
      </c>
      <c r="B137" s="11" t="s">
        <v>280</v>
      </c>
      <c r="C137" s="4" t="s">
        <v>566</v>
      </c>
      <c r="D137" s="15" t="s">
        <v>178</v>
      </c>
      <c r="E137" s="356">
        <v>90000</v>
      </c>
      <c r="F137" s="13"/>
    </row>
    <row r="138" customHeight="1" spans="1:6">
      <c r="A138" s="27">
        <v>6</v>
      </c>
      <c r="B138" s="11" t="s">
        <v>282</v>
      </c>
      <c r="C138" s="4" t="s">
        <v>566</v>
      </c>
      <c r="D138" s="15" t="s">
        <v>178</v>
      </c>
      <c r="E138" s="356">
        <v>90000</v>
      </c>
      <c r="F138" s="13"/>
    </row>
    <row r="139" customHeight="1" spans="1:6">
      <c r="A139" s="27">
        <v>7</v>
      </c>
      <c r="B139" s="11" t="s">
        <v>215</v>
      </c>
      <c r="C139" s="12" t="s">
        <v>567</v>
      </c>
      <c r="D139" s="15" t="s">
        <v>162</v>
      </c>
      <c r="E139" s="356">
        <v>54000</v>
      </c>
      <c r="F139" s="13"/>
    </row>
    <row r="140" customHeight="1" spans="1:6">
      <c r="A140" s="27">
        <v>8</v>
      </c>
      <c r="B140" s="11" t="s">
        <v>283</v>
      </c>
      <c r="C140" s="12" t="s">
        <v>567</v>
      </c>
      <c r="D140" s="15" t="s">
        <v>162</v>
      </c>
      <c r="E140" s="356">
        <v>54000</v>
      </c>
      <c r="F140" s="13"/>
    </row>
    <row r="141" customHeight="1" spans="1:6">
      <c r="A141" s="27">
        <v>9</v>
      </c>
      <c r="B141" s="11" t="s">
        <v>284</v>
      </c>
      <c r="C141" s="4" t="s">
        <v>568</v>
      </c>
      <c r="D141" s="15" t="s">
        <v>162</v>
      </c>
      <c r="E141" s="356">
        <v>54000</v>
      </c>
      <c r="F141" s="13"/>
    </row>
    <row r="142" customHeight="1" spans="1:6">
      <c r="A142" s="27">
        <v>10</v>
      </c>
      <c r="B142" s="11" t="s">
        <v>286</v>
      </c>
      <c r="C142" s="12" t="s">
        <v>287</v>
      </c>
      <c r="D142" s="15" t="s">
        <v>68</v>
      </c>
      <c r="E142" s="356">
        <v>54000</v>
      </c>
      <c r="F142" s="13"/>
    </row>
    <row r="143" customHeight="1" spans="1:6">
      <c r="A143" s="27">
        <v>11</v>
      </c>
      <c r="B143" s="11" t="s">
        <v>288</v>
      </c>
      <c r="C143" s="12" t="s">
        <v>289</v>
      </c>
      <c r="D143" s="15" t="s">
        <v>137</v>
      </c>
      <c r="E143" s="356">
        <v>54000</v>
      </c>
      <c r="F143" s="13"/>
    </row>
    <row r="144" customHeight="1" spans="1:6">
      <c r="A144" s="27">
        <v>12</v>
      </c>
      <c r="B144" s="11" t="s">
        <v>60</v>
      </c>
      <c r="C144" s="12" t="s">
        <v>569</v>
      </c>
      <c r="D144" s="15" t="s">
        <v>162</v>
      </c>
      <c r="E144" s="356">
        <v>54000</v>
      </c>
      <c r="F144" s="13"/>
    </row>
    <row r="145" customHeight="1" spans="1:6">
      <c r="A145" s="27">
        <v>13</v>
      </c>
      <c r="B145" s="18" t="s">
        <v>290</v>
      </c>
      <c r="C145" s="4" t="s">
        <v>291</v>
      </c>
      <c r="D145" s="15" t="s">
        <v>137</v>
      </c>
      <c r="E145" s="356">
        <v>54000</v>
      </c>
      <c r="F145" s="13"/>
    </row>
    <row r="146" customHeight="1" spans="1:6">
      <c r="A146" s="27">
        <v>14</v>
      </c>
      <c r="B146" s="11" t="s">
        <v>292</v>
      </c>
      <c r="C146" s="4" t="s">
        <v>570</v>
      </c>
      <c r="D146" s="15" t="s">
        <v>76</v>
      </c>
      <c r="E146" s="356">
        <v>54000</v>
      </c>
      <c r="F146" s="13"/>
    </row>
    <row r="147" customHeight="1" spans="1:6">
      <c r="A147" s="27">
        <v>15</v>
      </c>
      <c r="B147" s="11" t="s">
        <v>293</v>
      </c>
      <c r="C147" s="4" t="s">
        <v>570</v>
      </c>
      <c r="D147" s="15" t="s">
        <v>119</v>
      </c>
      <c r="E147" s="356">
        <v>54000</v>
      </c>
      <c r="F147" s="13"/>
    </row>
    <row r="148" customHeight="1" spans="1:6">
      <c r="A148" s="27">
        <v>16</v>
      </c>
      <c r="B148" s="11" t="s">
        <v>295</v>
      </c>
      <c r="C148" s="4" t="s">
        <v>570</v>
      </c>
      <c r="D148" s="15" t="s">
        <v>119</v>
      </c>
      <c r="E148" s="356">
        <v>54000</v>
      </c>
      <c r="F148" s="13"/>
    </row>
    <row r="149" customHeight="1" spans="1:6">
      <c r="A149" s="27">
        <v>17</v>
      </c>
      <c r="B149" s="11" t="s">
        <v>296</v>
      </c>
      <c r="C149" s="12" t="s">
        <v>297</v>
      </c>
      <c r="D149" s="15" t="s">
        <v>73</v>
      </c>
      <c r="E149" s="356">
        <v>54000</v>
      </c>
      <c r="F149" s="13"/>
    </row>
    <row r="150" customHeight="1" spans="1:6">
      <c r="A150" s="27">
        <v>18</v>
      </c>
      <c r="B150" s="11" t="s">
        <v>1203</v>
      </c>
      <c r="C150" s="12" t="s">
        <v>299</v>
      </c>
      <c r="D150" s="10" t="s">
        <v>96</v>
      </c>
      <c r="E150" s="356">
        <v>54000</v>
      </c>
      <c r="F150" s="13"/>
    </row>
    <row r="151" customHeight="1" spans="1:6">
      <c r="A151" s="27">
        <v>19</v>
      </c>
      <c r="B151" s="11" t="s">
        <v>300</v>
      </c>
      <c r="C151" s="12" t="s">
        <v>301</v>
      </c>
      <c r="D151" s="15" t="s">
        <v>76</v>
      </c>
      <c r="E151" s="356">
        <v>54000</v>
      </c>
      <c r="F151" s="13"/>
    </row>
    <row r="152" customHeight="1" spans="1:6">
      <c r="A152" s="27">
        <v>20</v>
      </c>
      <c r="B152" s="11" t="s">
        <v>303</v>
      </c>
      <c r="C152" s="12" t="s">
        <v>304</v>
      </c>
      <c r="D152" s="15" t="s">
        <v>87</v>
      </c>
      <c r="E152" s="356">
        <v>54000</v>
      </c>
      <c r="F152" s="13"/>
    </row>
    <row r="153" customHeight="1" spans="1:6">
      <c r="A153" s="27">
        <v>21</v>
      </c>
      <c r="B153" s="11" t="s">
        <v>305</v>
      </c>
      <c r="C153" s="12" t="s">
        <v>306</v>
      </c>
      <c r="D153" s="15" t="s">
        <v>76</v>
      </c>
      <c r="E153" s="356">
        <v>54000</v>
      </c>
      <c r="F153" s="13"/>
    </row>
    <row r="154" customHeight="1" spans="1:6">
      <c r="A154" s="27">
        <v>22</v>
      </c>
      <c r="B154" s="11" t="s">
        <v>307</v>
      </c>
      <c r="C154" s="12" t="s">
        <v>308</v>
      </c>
      <c r="D154" s="15" t="s">
        <v>87</v>
      </c>
      <c r="E154" s="356">
        <v>54000</v>
      </c>
      <c r="F154" s="13"/>
    </row>
    <row r="155" customHeight="1" spans="1:6">
      <c r="A155" s="27">
        <v>23</v>
      </c>
      <c r="B155" s="18" t="s">
        <v>309</v>
      </c>
      <c r="C155" s="12" t="s">
        <v>310</v>
      </c>
      <c r="D155" s="15" t="s">
        <v>96</v>
      </c>
      <c r="E155" s="356">
        <v>54000</v>
      </c>
      <c r="F155" s="13"/>
    </row>
    <row r="156" customHeight="1" spans="1:6">
      <c r="A156" s="27">
        <v>24</v>
      </c>
      <c r="B156" s="18" t="s">
        <v>314</v>
      </c>
      <c r="C156" s="12" t="s">
        <v>315</v>
      </c>
      <c r="D156" s="15" t="s">
        <v>108</v>
      </c>
      <c r="E156" s="356">
        <v>54000</v>
      </c>
      <c r="F156" s="13"/>
    </row>
    <row r="157" customHeight="1" spans="1:6">
      <c r="A157" s="27">
        <v>25</v>
      </c>
      <c r="B157" s="18" t="s">
        <v>316</v>
      </c>
      <c r="C157" s="12" t="s">
        <v>317</v>
      </c>
      <c r="D157" s="15" t="s">
        <v>108</v>
      </c>
      <c r="E157" s="356">
        <v>54000</v>
      </c>
      <c r="F157" s="13"/>
    </row>
    <row r="158" customHeight="1" spans="1:6">
      <c r="A158" s="27">
        <v>26</v>
      </c>
      <c r="B158" s="18" t="s">
        <v>318</v>
      </c>
      <c r="C158" s="12" t="s">
        <v>319</v>
      </c>
      <c r="D158" s="15" t="s">
        <v>108</v>
      </c>
      <c r="E158" s="356">
        <v>54000</v>
      </c>
      <c r="F158" s="13"/>
    </row>
    <row r="159" customHeight="1" spans="1:6">
      <c r="A159" s="27">
        <v>27</v>
      </c>
      <c r="B159" s="18" t="s">
        <v>320</v>
      </c>
      <c r="C159" s="12" t="s">
        <v>321</v>
      </c>
      <c r="D159" s="15" t="s">
        <v>105</v>
      </c>
      <c r="E159" s="356">
        <v>54000</v>
      </c>
      <c r="F159" s="13"/>
    </row>
    <row r="160" customHeight="1" spans="1:6">
      <c r="A160" s="27">
        <v>28</v>
      </c>
      <c r="B160" s="18" t="s">
        <v>322</v>
      </c>
      <c r="C160" s="12" t="s">
        <v>317</v>
      </c>
      <c r="D160" s="15" t="s">
        <v>108</v>
      </c>
      <c r="E160" s="356">
        <v>54000</v>
      </c>
      <c r="F160" s="13"/>
    </row>
    <row r="161" customHeight="1" spans="1:6">
      <c r="A161" s="27">
        <v>29</v>
      </c>
      <c r="B161" s="11" t="s">
        <v>331</v>
      </c>
      <c r="C161" s="12" t="s">
        <v>332</v>
      </c>
      <c r="D161" s="15" t="s">
        <v>350</v>
      </c>
      <c r="E161" s="366">
        <v>36000</v>
      </c>
      <c r="F161" s="13"/>
    </row>
    <row r="162" customHeight="1" spans="1:6">
      <c r="A162" s="27">
        <v>30</v>
      </c>
      <c r="B162" s="11" t="s">
        <v>334</v>
      </c>
      <c r="C162" s="12" t="s">
        <v>332</v>
      </c>
      <c r="D162" s="15" t="s">
        <v>350</v>
      </c>
      <c r="E162" s="366">
        <v>36000</v>
      </c>
      <c r="F162" s="13"/>
    </row>
    <row r="163" customHeight="1" spans="1:6">
      <c r="A163" s="27">
        <v>31</v>
      </c>
      <c r="B163" s="11" t="s">
        <v>335</v>
      </c>
      <c r="C163" s="12" t="s">
        <v>332</v>
      </c>
      <c r="D163" s="15" t="s">
        <v>350</v>
      </c>
      <c r="E163" s="366">
        <v>36000</v>
      </c>
      <c r="F163" s="13"/>
    </row>
    <row r="164" customHeight="1" spans="1:6">
      <c r="A164" s="27">
        <v>32</v>
      </c>
      <c r="B164" s="11" t="s">
        <v>336</v>
      </c>
      <c r="C164" s="12" t="s">
        <v>332</v>
      </c>
      <c r="D164" s="15" t="s">
        <v>350</v>
      </c>
      <c r="E164" s="366">
        <v>36000</v>
      </c>
      <c r="F164" s="13"/>
    </row>
    <row r="165" customHeight="1" spans="1:6">
      <c r="A165" s="27">
        <v>33</v>
      </c>
      <c r="B165" s="11" t="s">
        <v>337</v>
      </c>
      <c r="C165" s="12" t="s">
        <v>332</v>
      </c>
      <c r="D165" s="15" t="s">
        <v>350</v>
      </c>
      <c r="E165" s="366">
        <v>36000</v>
      </c>
      <c r="F165" s="13"/>
    </row>
    <row r="166" customHeight="1" spans="1:6">
      <c r="A166" s="27">
        <v>34</v>
      </c>
      <c r="B166" s="11" t="s">
        <v>338</v>
      </c>
      <c r="C166" s="12" t="s">
        <v>332</v>
      </c>
      <c r="D166" s="15" t="s">
        <v>347</v>
      </c>
      <c r="E166" s="366">
        <v>36000</v>
      </c>
      <c r="F166" s="13"/>
    </row>
    <row r="167" customHeight="1" spans="1:6">
      <c r="A167" s="27">
        <v>35</v>
      </c>
      <c r="B167" s="11" t="s">
        <v>340</v>
      </c>
      <c r="C167" s="12" t="s">
        <v>332</v>
      </c>
      <c r="D167" s="15" t="s">
        <v>347</v>
      </c>
      <c r="E167" s="366">
        <v>36000</v>
      </c>
      <c r="F167" s="13"/>
    </row>
    <row r="168" customHeight="1" spans="1:6">
      <c r="A168" s="27">
        <v>36</v>
      </c>
      <c r="B168" s="14" t="s">
        <v>341</v>
      </c>
      <c r="C168" s="12" t="s">
        <v>332</v>
      </c>
      <c r="D168" s="15" t="s">
        <v>347</v>
      </c>
      <c r="E168" s="366">
        <v>36000</v>
      </c>
      <c r="F168" s="13"/>
    </row>
    <row r="169" customHeight="1" spans="1:6">
      <c r="A169" s="27">
        <v>37</v>
      </c>
      <c r="B169" s="11" t="s">
        <v>342</v>
      </c>
      <c r="C169" s="12" t="s">
        <v>332</v>
      </c>
      <c r="D169" s="15" t="s">
        <v>347</v>
      </c>
      <c r="E169" s="366">
        <v>36000</v>
      </c>
      <c r="F169" s="13"/>
    </row>
    <row r="170" customHeight="1" spans="1:6">
      <c r="A170" s="27">
        <v>38</v>
      </c>
      <c r="B170" s="18" t="s">
        <v>343</v>
      </c>
      <c r="C170" s="12" t="s">
        <v>332</v>
      </c>
      <c r="D170" s="15" t="s">
        <v>347</v>
      </c>
      <c r="E170" s="366">
        <v>36000</v>
      </c>
      <c r="F170" s="13"/>
    </row>
    <row r="171" customHeight="1" spans="1:6">
      <c r="A171" s="27">
        <v>39</v>
      </c>
      <c r="B171" s="18" t="s">
        <v>344</v>
      </c>
      <c r="C171" s="12" t="s">
        <v>332</v>
      </c>
      <c r="D171" s="15" t="s">
        <v>347</v>
      </c>
      <c r="E171" s="366">
        <v>36000</v>
      </c>
      <c r="F171" s="13"/>
    </row>
    <row r="172" customHeight="1" spans="1:6">
      <c r="A172" s="27">
        <v>40</v>
      </c>
      <c r="B172" s="11" t="s">
        <v>345</v>
      </c>
      <c r="C172" s="12" t="s">
        <v>346</v>
      </c>
      <c r="D172" s="15" t="s">
        <v>353</v>
      </c>
      <c r="E172" s="366">
        <v>36000</v>
      </c>
      <c r="F172" s="13"/>
    </row>
    <row r="173" customHeight="1" spans="1:6">
      <c r="A173" s="27">
        <v>41</v>
      </c>
      <c r="B173" s="11" t="s">
        <v>348</v>
      </c>
      <c r="C173" s="12" t="s">
        <v>346</v>
      </c>
      <c r="D173" s="15" t="s">
        <v>353</v>
      </c>
      <c r="E173" s="366">
        <v>36000</v>
      </c>
      <c r="F173" s="13"/>
    </row>
    <row r="174" customHeight="1" spans="1:6">
      <c r="A174" s="27">
        <v>42</v>
      </c>
      <c r="B174" s="18" t="s">
        <v>349</v>
      </c>
      <c r="C174" s="12" t="s">
        <v>346</v>
      </c>
      <c r="D174" s="15" t="s">
        <v>353</v>
      </c>
      <c r="E174" s="366">
        <v>36000</v>
      </c>
      <c r="F174" s="13"/>
    </row>
    <row r="175" customHeight="1" spans="1:6">
      <c r="A175" s="27">
        <v>43</v>
      </c>
      <c r="B175" s="11" t="s">
        <v>351</v>
      </c>
      <c r="C175" s="12" t="s">
        <v>352</v>
      </c>
      <c r="D175" s="15" t="s">
        <v>1204</v>
      </c>
      <c r="E175" s="366">
        <v>36000</v>
      </c>
      <c r="F175" s="13"/>
    </row>
    <row r="176" customHeight="1" spans="1:6">
      <c r="A176" s="27">
        <v>44</v>
      </c>
      <c r="B176" s="11" t="s">
        <v>354</v>
      </c>
      <c r="C176" s="12" t="s">
        <v>355</v>
      </c>
      <c r="D176" s="15" t="s">
        <v>1205</v>
      </c>
      <c r="E176" s="366">
        <v>36000</v>
      </c>
      <c r="F176" s="13"/>
    </row>
    <row r="177" customHeight="1" spans="1:6">
      <c r="A177" s="27">
        <v>45</v>
      </c>
      <c r="B177" s="11" t="s">
        <v>357</v>
      </c>
      <c r="C177" s="12" t="s">
        <v>355</v>
      </c>
      <c r="D177" s="15" t="s">
        <v>1205</v>
      </c>
      <c r="E177" s="366">
        <v>36000</v>
      </c>
      <c r="F177" s="13"/>
    </row>
    <row r="178" customHeight="1" spans="1:6">
      <c r="A178" s="27">
        <v>46</v>
      </c>
      <c r="B178" s="11" t="s">
        <v>358</v>
      </c>
      <c r="C178" s="12" t="s">
        <v>355</v>
      </c>
      <c r="D178" s="15" t="s">
        <v>1205</v>
      </c>
      <c r="E178" s="366">
        <v>36000</v>
      </c>
      <c r="F178" s="13"/>
    </row>
    <row r="179" customHeight="1" spans="1:6">
      <c r="A179" s="27">
        <v>47</v>
      </c>
      <c r="B179" s="11" t="s">
        <v>359</v>
      </c>
      <c r="C179" s="12" t="s">
        <v>355</v>
      </c>
      <c r="D179" s="15" t="s">
        <v>1205</v>
      </c>
      <c r="E179" s="366">
        <v>36000</v>
      </c>
      <c r="F179" s="13"/>
    </row>
    <row r="180" customHeight="1" spans="1:6">
      <c r="A180" s="27">
        <v>48</v>
      </c>
      <c r="B180" s="11" t="s">
        <v>360</v>
      </c>
      <c r="C180" s="12" t="s">
        <v>355</v>
      </c>
      <c r="D180" s="15" t="s">
        <v>1205</v>
      </c>
      <c r="E180" s="366">
        <v>36000</v>
      </c>
      <c r="F180" s="13"/>
    </row>
    <row r="181" customHeight="1" spans="1:6">
      <c r="A181" s="27">
        <v>49</v>
      </c>
      <c r="B181" s="18" t="s">
        <v>361</v>
      </c>
      <c r="C181" s="12" t="s">
        <v>355</v>
      </c>
      <c r="D181" s="15" t="s">
        <v>1205</v>
      </c>
      <c r="E181" s="366">
        <v>36000</v>
      </c>
      <c r="F181" s="13"/>
    </row>
    <row r="182" customHeight="1" spans="1:6">
      <c r="A182" s="27">
        <v>50</v>
      </c>
      <c r="B182" s="18" t="s">
        <v>362</v>
      </c>
      <c r="C182" s="12" t="s">
        <v>355</v>
      </c>
      <c r="D182" s="15" t="s">
        <v>1205</v>
      </c>
      <c r="E182" s="366">
        <v>36000</v>
      </c>
      <c r="F182" s="13"/>
    </row>
    <row r="183" customHeight="1" spans="1:6">
      <c r="A183" s="27">
        <v>51</v>
      </c>
      <c r="B183" s="11" t="s">
        <v>499</v>
      </c>
      <c r="C183" s="12" t="s">
        <v>352</v>
      </c>
      <c r="D183" s="15" t="s">
        <v>1205</v>
      </c>
      <c r="E183" s="366">
        <v>36000</v>
      </c>
      <c r="F183" s="13"/>
    </row>
    <row r="184" customHeight="1" spans="1:6">
      <c r="A184" s="27">
        <v>52</v>
      </c>
      <c r="B184" s="11" t="s">
        <v>363</v>
      </c>
      <c r="C184" s="12" t="s">
        <v>352</v>
      </c>
      <c r="D184" s="15" t="s">
        <v>1205</v>
      </c>
      <c r="E184" s="366">
        <v>36000</v>
      </c>
      <c r="F184" s="13"/>
    </row>
    <row r="185" customHeight="1" spans="1:6">
      <c r="A185" s="27">
        <v>53</v>
      </c>
      <c r="B185" s="18" t="s">
        <v>364</v>
      </c>
      <c r="C185" s="12" t="s">
        <v>365</v>
      </c>
      <c r="D185" s="15" t="s">
        <v>368</v>
      </c>
      <c r="E185" s="366">
        <v>36000</v>
      </c>
      <c r="F185" s="13"/>
    </row>
    <row r="186" customHeight="1" spans="1:6">
      <c r="A186" s="27">
        <v>54</v>
      </c>
      <c r="B186" s="18" t="s">
        <v>369</v>
      </c>
      <c r="C186" s="12" t="s">
        <v>355</v>
      </c>
      <c r="D186" s="15" t="s">
        <v>373</v>
      </c>
      <c r="E186" s="366">
        <v>36000</v>
      </c>
      <c r="F186" s="13"/>
    </row>
    <row r="187" customHeight="1" spans="1:6">
      <c r="A187" s="27">
        <v>55</v>
      </c>
      <c r="B187" s="18" t="s">
        <v>371</v>
      </c>
      <c r="C187" s="12" t="s">
        <v>372</v>
      </c>
      <c r="D187" s="15" t="s">
        <v>1206</v>
      </c>
      <c r="E187" s="366">
        <v>36000</v>
      </c>
      <c r="F187" s="13"/>
    </row>
    <row r="188" customHeight="1" spans="1:6">
      <c r="A188" s="27">
        <v>56</v>
      </c>
      <c r="B188" s="18" t="s">
        <v>374</v>
      </c>
      <c r="C188" s="12" t="s">
        <v>372</v>
      </c>
      <c r="D188" s="15" t="s">
        <v>1206</v>
      </c>
      <c r="E188" s="366">
        <v>36000</v>
      </c>
      <c r="F188" s="13"/>
    </row>
    <row r="189" customHeight="1" spans="1:6">
      <c r="A189" s="27">
        <v>57</v>
      </c>
      <c r="B189" s="18" t="s">
        <v>375</v>
      </c>
      <c r="C189" s="12" t="s">
        <v>372</v>
      </c>
      <c r="D189" s="15" t="s">
        <v>1206</v>
      </c>
      <c r="E189" s="366">
        <v>36000</v>
      </c>
      <c r="F189" s="13"/>
    </row>
    <row r="190" customHeight="1" spans="1:6">
      <c r="A190" s="27">
        <v>58</v>
      </c>
      <c r="B190" s="18" t="s">
        <v>376</v>
      </c>
      <c r="C190" s="12" t="s">
        <v>377</v>
      </c>
      <c r="D190" s="15" t="s">
        <v>370</v>
      </c>
      <c r="E190" s="366">
        <v>36000</v>
      </c>
      <c r="F190" s="13"/>
    </row>
    <row r="191" customHeight="1" spans="1:6">
      <c r="A191" s="27">
        <v>59</v>
      </c>
      <c r="B191" s="18" t="s">
        <v>379</v>
      </c>
      <c r="C191" s="12" t="s">
        <v>377</v>
      </c>
      <c r="D191" s="15" t="s">
        <v>370</v>
      </c>
      <c r="E191" s="366">
        <v>36000</v>
      </c>
      <c r="F191" s="13"/>
    </row>
    <row r="192" ht="24.75" customHeight="1" spans="1:6">
      <c r="A192" s="27"/>
      <c r="B192" s="8" t="s">
        <v>111</v>
      </c>
      <c r="C192" s="28" t="s">
        <v>573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381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1207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445</v>
      </c>
      <c r="F4" s="321" t="s">
        <v>730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21</v>
      </c>
      <c r="B6" s="8" t="s">
        <v>22</v>
      </c>
      <c r="C6" s="8"/>
      <c r="D6" s="8"/>
      <c r="E6" s="307"/>
      <c r="F6" s="230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29</v>
      </c>
      <c r="C9" s="4" t="s">
        <v>30</v>
      </c>
      <c r="D9" s="15" t="s">
        <v>35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31</v>
      </c>
      <c r="C10" s="17" t="s">
        <v>32</v>
      </c>
      <c r="D10" s="16" t="s">
        <v>35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273</v>
      </c>
      <c r="C11" s="4" t="s">
        <v>535</v>
      </c>
      <c r="D11" s="16" t="s">
        <v>35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536</v>
      </c>
      <c r="C12" s="10" t="s">
        <v>537</v>
      </c>
      <c r="D12" s="15" t="s">
        <v>35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33</v>
      </c>
      <c r="C13" s="12" t="s">
        <v>538</v>
      </c>
      <c r="D13" s="15" t="s">
        <v>131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36</v>
      </c>
      <c r="C14" s="4" t="s">
        <v>37</v>
      </c>
      <c r="D14" s="10" t="s">
        <v>49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39</v>
      </c>
      <c r="C15" s="4" t="s">
        <v>40</v>
      </c>
      <c r="D15" s="15" t="s">
        <v>178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42</v>
      </c>
      <c r="C16" s="17" t="s">
        <v>156</v>
      </c>
      <c r="D16" s="15" t="s">
        <v>46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47</v>
      </c>
      <c r="C17" s="4" t="s">
        <v>539</v>
      </c>
      <c r="D17" s="10" t="s">
        <v>52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50</v>
      </c>
      <c r="C18" s="12" t="s">
        <v>51</v>
      </c>
      <c r="D18" s="15" t="s">
        <v>1201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53</v>
      </c>
      <c r="C19" s="4" t="s">
        <v>54</v>
      </c>
      <c r="D19" s="15" t="s">
        <v>58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63</v>
      </c>
      <c r="C20" s="12" t="s">
        <v>64</v>
      </c>
      <c r="D20" s="15" t="s">
        <v>68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66</v>
      </c>
      <c r="C21" s="17" t="s">
        <v>67</v>
      </c>
      <c r="D21" s="10" t="s">
        <v>137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71</v>
      </c>
      <c r="C22" s="17" t="s">
        <v>72</v>
      </c>
      <c r="D22" s="10" t="s">
        <v>73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77</v>
      </c>
      <c r="C23" s="4" t="s">
        <v>78</v>
      </c>
      <c r="D23" s="10" t="s">
        <v>87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80</v>
      </c>
      <c r="C24" s="12" t="s">
        <v>78</v>
      </c>
      <c r="D24" s="15" t="s">
        <v>87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96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96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89</v>
      </c>
      <c r="C27" s="17" t="s">
        <v>90</v>
      </c>
      <c r="D27" s="15" t="s">
        <v>87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92</v>
      </c>
      <c r="C28" s="4" t="s">
        <v>93</v>
      </c>
      <c r="D28" s="10" t="s">
        <v>105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1193</v>
      </c>
      <c r="C29" s="12" t="s">
        <v>101</v>
      </c>
      <c r="D29" s="15" t="s">
        <v>105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100</v>
      </c>
      <c r="C30" s="12" t="s">
        <v>101</v>
      </c>
      <c r="D30" s="15" t="s">
        <v>108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111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112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113</v>
      </c>
      <c r="C34" s="4" t="s">
        <v>114</v>
      </c>
      <c r="D34" s="10" t="s">
        <v>115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116</v>
      </c>
      <c r="C35" s="4" t="s">
        <v>802</v>
      </c>
      <c r="D35" s="10" t="s">
        <v>108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118</v>
      </c>
      <c r="C36" s="12" t="s">
        <v>799</v>
      </c>
      <c r="D36" s="15" t="s">
        <v>73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125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541</v>
      </c>
      <c r="C40" s="4" t="s">
        <v>542</v>
      </c>
      <c r="D40" s="10" t="s">
        <v>115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543</v>
      </c>
      <c r="C41" s="4" t="s">
        <v>43</v>
      </c>
      <c r="D41" s="10" t="s">
        <v>131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126</v>
      </c>
      <c r="C42" s="4" t="s">
        <v>127</v>
      </c>
      <c r="D42" s="10" t="s">
        <v>194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132</v>
      </c>
      <c r="C44" s="4" t="s">
        <v>130</v>
      </c>
      <c r="D44" s="10" t="s">
        <v>38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133</v>
      </c>
      <c r="C45" s="4" t="s">
        <v>130</v>
      </c>
      <c r="D45" s="10" t="s">
        <v>49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134</v>
      </c>
      <c r="C46" s="4" t="s">
        <v>156</v>
      </c>
      <c r="D46" s="16" t="s">
        <v>178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44</v>
      </c>
      <c r="C47" s="4" t="s">
        <v>45</v>
      </c>
      <c r="D47" s="10" t="s">
        <v>199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138</v>
      </c>
      <c r="C48" s="4" t="s">
        <v>139</v>
      </c>
      <c r="D48" s="10" t="s">
        <v>73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142</v>
      </c>
      <c r="C49" s="4" t="s">
        <v>139</v>
      </c>
      <c r="D49" s="10" t="s">
        <v>96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544</v>
      </c>
      <c r="C50" s="4" t="s">
        <v>139</v>
      </c>
      <c r="D50" s="10" t="s">
        <v>96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143</v>
      </c>
      <c r="C51" s="4" t="s">
        <v>139</v>
      </c>
      <c r="D51" s="10" t="s">
        <v>96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111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145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545</v>
      </c>
      <c r="C55" s="12" t="s">
        <v>147</v>
      </c>
      <c r="D55" s="15" t="s">
        <v>115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148</v>
      </c>
      <c r="C56" s="12" t="s">
        <v>149</v>
      </c>
      <c r="D56" s="15" t="s">
        <v>554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111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151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546</v>
      </c>
      <c r="C60" s="17" t="s">
        <v>547</v>
      </c>
      <c r="D60" s="10" t="s">
        <v>115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548</v>
      </c>
      <c r="C61" s="17" t="s">
        <v>549</v>
      </c>
      <c r="D61" s="15" t="s">
        <v>1202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155</v>
      </c>
      <c r="C62" s="4" t="s">
        <v>156</v>
      </c>
      <c r="D62" s="10" t="s">
        <v>199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550</v>
      </c>
      <c r="C63" s="17" t="s">
        <v>158</v>
      </c>
      <c r="D63" s="15" t="s">
        <v>1201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551</v>
      </c>
      <c r="C64" s="17" t="s">
        <v>156</v>
      </c>
      <c r="D64" s="15" t="s">
        <v>178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161</v>
      </c>
      <c r="C65" s="4" t="s">
        <v>139</v>
      </c>
      <c r="D65" s="10" t="s">
        <v>137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163</v>
      </c>
      <c r="C66" s="17" t="s">
        <v>70</v>
      </c>
      <c r="D66" s="15" t="s">
        <v>137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164</v>
      </c>
      <c r="C67" s="17" t="s">
        <v>70</v>
      </c>
      <c r="D67" s="15" t="s">
        <v>137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165</v>
      </c>
      <c r="C68" s="4" t="s">
        <v>166</v>
      </c>
      <c r="D68" s="10" t="s">
        <v>68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168</v>
      </c>
      <c r="C69" s="4" t="s">
        <v>139</v>
      </c>
      <c r="D69" s="10" t="s">
        <v>73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81</v>
      </c>
      <c r="C70" s="17" t="s">
        <v>67</v>
      </c>
      <c r="D70" s="10" t="s">
        <v>87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111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169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170</v>
      </c>
      <c r="C74" s="4" t="s">
        <v>171</v>
      </c>
      <c r="D74" s="10" t="s">
        <v>115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552</v>
      </c>
      <c r="C75" s="4" t="s">
        <v>553</v>
      </c>
      <c r="D75" s="15" t="s">
        <v>1202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172</v>
      </c>
      <c r="C76" s="12" t="s">
        <v>555</v>
      </c>
      <c r="D76" s="10" t="s">
        <v>554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176</v>
      </c>
      <c r="C77" s="4" t="s">
        <v>177</v>
      </c>
      <c r="D77" s="15" t="s">
        <v>199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183</v>
      </c>
      <c r="C78" s="4" t="s">
        <v>186</v>
      </c>
      <c r="D78" s="10" t="s">
        <v>76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185</v>
      </c>
      <c r="C79" s="4" t="s">
        <v>186</v>
      </c>
      <c r="D79" s="10" t="s">
        <v>96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187</v>
      </c>
      <c r="C80" s="4" t="s">
        <v>188</v>
      </c>
      <c r="D80" s="10" t="s">
        <v>108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111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189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192</v>
      </c>
      <c r="C84" s="4" t="s">
        <v>130</v>
      </c>
      <c r="D84" s="10" t="s">
        <v>131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190</v>
      </c>
      <c r="C85" s="4" t="s">
        <v>130</v>
      </c>
      <c r="D85" s="10" t="s">
        <v>131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152</v>
      </c>
      <c r="C86" s="4" t="s">
        <v>130</v>
      </c>
      <c r="D86" s="10" t="s">
        <v>49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195</v>
      </c>
      <c r="C87" s="4" t="s">
        <v>130</v>
      </c>
      <c r="D87" s="10" t="s">
        <v>49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196</v>
      </c>
      <c r="C88" s="4" t="s">
        <v>556</v>
      </c>
      <c r="D88" s="15" t="s">
        <v>460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197</v>
      </c>
      <c r="C89" s="12" t="s">
        <v>158</v>
      </c>
      <c r="D89" s="15" t="s">
        <v>1201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198</v>
      </c>
      <c r="C90" s="12" t="s">
        <v>156</v>
      </c>
      <c r="D90" s="15" t="s">
        <v>230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200</v>
      </c>
      <c r="C91" s="17" t="s">
        <v>70</v>
      </c>
      <c r="D91" s="15" t="s">
        <v>137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201</v>
      </c>
      <c r="C92" s="17" t="s">
        <v>70</v>
      </c>
      <c r="D92" s="15" t="s">
        <v>137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204</v>
      </c>
      <c r="C93" s="4" t="s">
        <v>205</v>
      </c>
      <c r="D93" s="10" t="s">
        <v>73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206</v>
      </c>
      <c r="C94" s="17" t="s">
        <v>207</v>
      </c>
      <c r="D94" s="15" t="s">
        <v>105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111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209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210</v>
      </c>
      <c r="C98" s="4" t="s">
        <v>211</v>
      </c>
      <c r="D98" s="16" t="s">
        <v>35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213</v>
      </c>
      <c r="C99" s="4" t="s">
        <v>214</v>
      </c>
      <c r="D99" s="15" t="s">
        <v>199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219</v>
      </c>
      <c r="C100" s="4" t="s">
        <v>220</v>
      </c>
      <c r="D100" s="15" t="s">
        <v>68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221</v>
      </c>
      <c r="C101" s="4" t="s">
        <v>222</v>
      </c>
      <c r="D101" s="15" t="s">
        <v>73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111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223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224</v>
      </c>
      <c r="C105" s="12" t="s">
        <v>225</v>
      </c>
      <c r="D105" s="15" t="s">
        <v>115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226</v>
      </c>
      <c r="C106" s="4" t="s">
        <v>227</v>
      </c>
      <c r="D106" s="16" t="s">
        <v>35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228</v>
      </c>
      <c r="C107" s="4" t="s">
        <v>442</v>
      </c>
      <c r="D107" s="10" t="s">
        <v>52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231</v>
      </c>
      <c r="C108" s="4" t="s">
        <v>442</v>
      </c>
      <c r="D108" s="10" t="s">
        <v>52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232</v>
      </c>
      <c r="C109" s="4" t="s">
        <v>233</v>
      </c>
      <c r="D109" s="15" t="s">
        <v>558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235</v>
      </c>
      <c r="C110" s="4" t="s">
        <v>233</v>
      </c>
      <c r="D110" s="10" t="s">
        <v>208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236</v>
      </c>
      <c r="C111" s="4" t="s">
        <v>233</v>
      </c>
      <c r="D111" s="15" t="s">
        <v>105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111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237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238</v>
      </c>
      <c r="C115" s="4" t="s">
        <v>239</v>
      </c>
      <c r="D115" s="15" t="s">
        <v>68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179</v>
      </c>
      <c r="C116" s="12" t="s">
        <v>559</v>
      </c>
      <c r="D116" s="15" t="s">
        <v>162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111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252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253</v>
      </c>
      <c r="C120" s="12" t="s">
        <v>254</v>
      </c>
      <c r="D120" s="15" t="s">
        <v>115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255</v>
      </c>
      <c r="C121" s="12" t="s">
        <v>256</v>
      </c>
      <c r="D121" s="15" t="s">
        <v>194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257</v>
      </c>
      <c r="C122" s="12" t="s">
        <v>258</v>
      </c>
      <c r="D122" s="15" t="s">
        <v>131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560</v>
      </c>
      <c r="C123" s="12" t="s">
        <v>258</v>
      </c>
      <c r="D123" s="15" t="s">
        <v>49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259</v>
      </c>
      <c r="C124" s="12" t="s">
        <v>260</v>
      </c>
      <c r="D124" s="15" t="s">
        <v>46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261</v>
      </c>
      <c r="C125" s="12" t="s">
        <v>495</v>
      </c>
      <c r="D125" s="15" t="s">
        <v>199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262</v>
      </c>
      <c r="C126" s="12" t="s">
        <v>260</v>
      </c>
      <c r="D126" s="15" t="s">
        <v>199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265</v>
      </c>
      <c r="C127" s="12" t="s">
        <v>266</v>
      </c>
      <c r="D127" s="10" t="s">
        <v>87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267</v>
      </c>
      <c r="C128" s="12" t="s">
        <v>268</v>
      </c>
      <c r="D128" s="15" t="s">
        <v>108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269</v>
      </c>
      <c r="C129" s="12" t="s">
        <v>264</v>
      </c>
      <c r="D129" s="15" t="s">
        <v>108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111</v>
      </c>
      <c r="C130" s="26" t="s">
        <v>496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272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561</v>
      </c>
      <c r="C133" s="12" t="s">
        <v>562</v>
      </c>
      <c r="D133" s="15" t="s">
        <v>115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563</v>
      </c>
      <c r="C134" s="12" t="s">
        <v>564</v>
      </c>
      <c r="D134" s="15" t="s">
        <v>154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276</v>
      </c>
      <c r="C135" s="4" t="s">
        <v>277</v>
      </c>
      <c r="D135" s="16" t="s">
        <v>35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278</v>
      </c>
      <c r="C136" s="12" t="s">
        <v>565</v>
      </c>
      <c r="D136" s="15" t="s">
        <v>178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280</v>
      </c>
      <c r="C137" s="4" t="s">
        <v>566</v>
      </c>
      <c r="D137" s="15" t="s">
        <v>178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282</v>
      </c>
      <c r="C138" s="4" t="s">
        <v>566</v>
      </c>
      <c r="D138" s="15" t="s">
        <v>178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215</v>
      </c>
      <c r="C139" s="12" t="s">
        <v>567</v>
      </c>
      <c r="D139" s="15" t="s">
        <v>162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283</v>
      </c>
      <c r="C140" s="12" t="s">
        <v>567</v>
      </c>
      <c r="D140" s="15" t="s">
        <v>162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284</v>
      </c>
      <c r="C141" s="4" t="s">
        <v>568</v>
      </c>
      <c r="D141" s="15" t="s">
        <v>162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286</v>
      </c>
      <c r="C142" s="12" t="s">
        <v>287</v>
      </c>
      <c r="D142" s="15" t="s">
        <v>68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288</v>
      </c>
      <c r="C143" s="12" t="s">
        <v>289</v>
      </c>
      <c r="D143" s="15" t="s">
        <v>137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60</v>
      </c>
      <c r="C144" s="12" t="s">
        <v>569</v>
      </c>
      <c r="D144" s="15" t="s">
        <v>162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290</v>
      </c>
      <c r="C145" s="4" t="s">
        <v>291</v>
      </c>
      <c r="D145" s="15" t="s">
        <v>137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292</v>
      </c>
      <c r="C146" s="4" t="s">
        <v>570</v>
      </c>
      <c r="D146" s="15" t="s">
        <v>76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293</v>
      </c>
      <c r="C147" s="4" t="s">
        <v>570</v>
      </c>
      <c r="D147" s="15" t="s">
        <v>119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295</v>
      </c>
      <c r="C148" s="4" t="s">
        <v>570</v>
      </c>
      <c r="D148" s="15" t="s">
        <v>119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296</v>
      </c>
      <c r="C149" s="12" t="s">
        <v>297</v>
      </c>
      <c r="D149" s="15" t="s">
        <v>73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1203</v>
      </c>
      <c r="C150" s="12" t="s">
        <v>299</v>
      </c>
      <c r="D150" s="10" t="s">
        <v>96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300</v>
      </c>
      <c r="C151" s="12" t="s">
        <v>301</v>
      </c>
      <c r="D151" s="15" t="s">
        <v>76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303</v>
      </c>
      <c r="C152" s="12" t="s">
        <v>304</v>
      </c>
      <c r="D152" s="15" t="s">
        <v>87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305</v>
      </c>
      <c r="C153" s="12" t="s">
        <v>306</v>
      </c>
      <c r="D153" s="15" t="s">
        <v>76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307</v>
      </c>
      <c r="C154" s="12" t="s">
        <v>308</v>
      </c>
      <c r="D154" s="15" t="s">
        <v>87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309</v>
      </c>
      <c r="C155" s="12" t="s">
        <v>310</v>
      </c>
      <c r="D155" s="15" t="s">
        <v>96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314</v>
      </c>
      <c r="C156" s="12" t="s">
        <v>315</v>
      </c>
      <c r="D156" s="15" t="s">
        <v>108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316</v>
      </c>
      <c r="C157" s="12" t="s">
        <v>317</v>
      </c>
      <c r="D157" s="15" t="s">
        <v>108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318</v>
      </c>
      <c r="C158" s="12" t="s">
        <v>319</v>
      </c>
      <c r="D158" s="15" t="s">
        <v>108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320</v>
      </c>
      <c r="C159" s="12" t="s">
        <v>321</v>
      </c>
      <c r="D159" s="15" t="s">
        <v>105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322</v>
      </c>
      <c r="C160" s="12" t="s">
        <v>317</v>
      </c>
      <c r="D160" s="15" t="s">
        <v>108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331</v>
      </c>
      <c r="C161" s="12" t="s">
        <v>332</v>
      </c>
      <c r="D161" s="15" t="s">
        <v>350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334</v>
      </c>
      <c r="C162" s="12" t="s">
        <v>332</v>
      </c>
      <c r="D162" s="15" t="s">
        <v>350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335</v>
      </c>
      <c r="C163" s="12" t="s">
        <v>332</v>
      </c>
      <c r="D163" s="15" t="s">
        <v>350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336</v>
      </c>
      <c r="C164" s="12" t="s">
        <v>332</v>
      </c>
      <c r="D164" s="15" t="s">
        <v>350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337</v>
      </c>
      <c r="C165" s="12" t="s">
        <v>332</v>
      </c>
      <c r="D165" s="15" t="s">
        <v>350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338</v>
      </c>
      <c r="C166" s="12" t="s">
        <v>332</v>
      </c>
      <c r="D166" s="15" t="s">
        <v>347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340</v>
      </c>
      <c r="C167" s="12" t="s">
        <v>332</v>
      </c>
      <c r="D167" s="15" t="s">
        <v>347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341</v>
      </c>
      <c r="C168" s="12" t="s">
        <v>332</v>
      </c>
      <c r="D168" s="15" t="s">
        <v>347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342</v>
      </c>
      <c r="C169" s="12" t="s">
        <v>332</v>
      </c>
      <c r="D169" s="15" t="s">
        <v>347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343</v>
      </c>
      <c r="C170" s="12" t="s">
        <v>332</v>
      </c>
      <c r="D170" s="15" t="s">
        <v>347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344</v>
      </c>
      <c r="C171" s="12" t="s">
        <v>332</v>
      </c>
      <c r="D171" s="15" t="s">
        <v>347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345</v>
      </c>
      <c r="C172" s="12" t="s">
        <v>346</v>
      </c>
      <c r="D172" s="15" t="s">
        <v>353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348</v>
      </c>
      <c r="C173" s="12" t="s">
        <v>346</v>
      </c>
      <c r="D173" s="15" t="s">
        <v>353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349</v>
      </c>
      <c r="C174" s="12" t="s">
        <v>346</v>
      </c>
      <c r="D174" s="15" t="s">
        <v>353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351</v>
      </c>
      <c r="C175" s="12" t="s">
        <v>352</v>
      </c>
      <c r="D175" s="15" t="s">
        <v>1204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354</v>
      </c>
      <c r="C176" s="12" t="s">
        <v>355</v>
      </c>
      <c r="D176" s="15" t="s">
        <v>1205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357</v>
      </c>
      <c r="C177" s="12" t="s">
        <v>355</v>
      </c>
      <c r="D177" s="15" t="s">
        <v>1205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358</v>
      </c>
      <c r="C178" s="12" t="s">
        <v>355</v>
      </c>
      <c r="D178" s="15" t="s">
        <v>1205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359</v>
      </c>
      <c r="C179" s="12" t="s">
        <v>355</v>
      </c>
      <c r="D179" s="15" t="s">
        <v>1205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360</v>
      </c>
      <c r="C180" s="12" t="s">
        <v>355</v>
      </c>
      <c r="D180" s="15" t="s">
        <v>1205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361</v>
      </c>
      <c r="C181" s="12" t="s">
        <v>355</v>
      </c>
      <c r="D181" s="15" t="s">
        <v>1205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362</v>
      </c>
      <c r="C182" s="12" t="s">
        <v>355</v>
      </c>
      <c r="D182" s="15" t="s">
        <v>1205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499</v>
      </c>
      <c r="C183" s="12" t="s">
        <v>352</v>
      </c>
      <c r="D183" s="15" t="s">
        <v>1205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363</v>
      </c>
      <c r="C184" s="12" t="s">
        <v>352</v>
      </c>
      <c r="D184" s="15" t="s">
        <v>1205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364</v>
      </c>
      <c r="C185" s="12" t="s">
        <v>365</v>
      </c>
      <c r="D185" s="15" t="s">
        <v>368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369</v>
      </c>
      <c r="C186" s="12" t="s">
        <v>355</v>
      </c>
      <c r="D186" s="15" t="s">
        <v>373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371</v>
      </c>
      <c r="C187" s="12" t="s">
        <v>372</v>
      </c>
      <c r="D187" s="15" t="s">
        <v>1206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374</v>
      </c>
      <c r="C188" s="12" t="s">
        <v>372</v>
      </c>
      <c r="D188" s="15" t="s">
        <v>1206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375</v>
      </c>
      <c r="C189" s="12" t="s">
        <v>372</v>
      </c>
      <c r="D189" s="15" t="s">
        <v>1206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376</v>
      </c>
      <c r="C190" s="12" t="s">
        <v>377</v>
      </c>
      <c r="D190" s="15" t="s">
        <v>370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379</v>
      </c>
      <c r="C191" s="12" t="s">
        <v>377</v>
      </c>
      <c r="D191" s="15" t="s">
        <v>370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111</v>
      </c>
      <c r="C192" s="28" t="s">
        <v>573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381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1194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828</v>
      </c>
      <c r="H4" s="24" t="s">
        <v>829</v>
      </c>
      <c r="I4" s="218" t="s">
        <v>830</v>
      </c>
      <c r="J4" s="24" t="s">
        <v>831</v>
      </c>
      <c r="K4" s="24" t="s">
        <v>832</v>
      </c>
      <c r="L4" s="24" t="s">
        <v>833</v>
      </c>
      <c r="M4" s="218" t="s">
        <v>7</v>
      </c>
      <c r="N4" s="218" t="s">
        <v>7</v>
      </c>
      <c r="O4" s="24" t="s">
        <v>834</v>
      </c>
      <c r="P4" s="24" t="s">
        <v>834</v>
      </c>
      <c r="Q4" s="218" t="s">
        <v>8</v>
      </c>
      <c r="R4" s="334" t="s">
        <v>9</v>
      </c>
      <c r="S4" s="24" t="s">
        <v>15</v>
      </c>
      <c r="T4" s="347" t="s">
        <v>17</v>
      </c>
      <c r="U4" s="80" t="s">
        <v>1208</v>
      </c>
      <c r="V4" s="321" t="s">
        <v>1209</v>
      </c>
      <c r="W4" s="80" t="s">
        <v>509</v>
      </c>
      <c r="X4" s="321" t="s">
        <v>712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47</v>
      </c>
      <c r="C7" s="4" t="s">
        <v>539</v>
      </c>
      <c r="D7" s="10" t="s">
        <v>52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111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1210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168</v>
      </c>
      <c r="C11" s="4" t="s">
        <v>139</v>
      </c>
      <c r="D11" s="10" t="s">
        <v>73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111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381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1194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828</v>
      </c>
      <c r="H4" s="24" t="s">
        <v>829</v>
      </c>
      <c r="I4" s="218" t="s">
        <v>830</v>
      </c>
      <c r="J4" s="24" t="s">
        <v>831</v>
      </c>
      <c r="K4" s="24" t="s">
        <v>832</v>
      </c>
      <c r="L4" s="24" t="s">
        <v>833</v>
      </c>
      <c r="M4" s="218" t="s">
        <v>7</v>
      </c>
      <c r="N4" s="218" t="s">
        <v>7</v>
      </c>
      <c r="O4" s="24" t="s">
        <v>834</v>
      </c>
      <c r="P4" s="24" t="s">
        <v>834</v>
      </c>
      <c r="Q4" s="218" t="s">
        <v>8</v>
      </c>
      <c r="R4" s="334" t="s">
        <v>9</v>
      </c>
      <c r="S4" s="7" t="s">
        <v>704</v>
      </c>
      <c r="T4" s="306" t="s">
        <v>705</v>
      </c>
      <c r="U4" s="80" t="s">
        <v>706</v>
      </c>
      <c r="V4" s="80" t="s">
        <v>707</v>
      </c>
      <c r="W4" s="80" t="s">
        <v>471</v>
      </c>
      <c r="X4" s="80" t="s">
        <v>708</v>
      </c>
      <c r="Y4" s="80" t="s">
        <v>709</v>
      </c>
      <c r="Z4" s="319" t="s">
        <v>710</v>
      </c>
      <c r="AA4" s="320" t="s">
        <v>711</v>
      </c>
      <c r="AB4" s="80" t="s">
        <v>509</v>
      </c>
      <c r="AC4" s="321" t="s">
        <v>712</v>
      </c>
      <c r="AD4" s="321" t="s">
        <v>1211</v>
      </c>
      <c r="AE4" s="321" t="s">
        <v>1212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1213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345</v>
      </c>
      <c r="C8" s="329" t="s">
        <v>346</v>
      </c>
      <c r="D8" s="330" t="s">
        <v>353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353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348</v>
      </c>
      <c r="C9" s="329" t="s">
        <v>346</v>
      </c>
      <c r="D9" s="330" t="s">
        <v>353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353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349</v>
      </c>
      <c r="C10" s="329" t="s">
        <v>346</v>
      </c>
      <c r="D10" s="330" t="s">
        <v>353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353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345</v>
      </c>
      <c r="C13" s="329" t="s">
        <v>346</v>
      </c>
      <c r="D13" s="330" t="s">
        <v>353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348</v>
      </c>
      <c r="C14" s="329" t="s">
        <v>346</v>
      </c>
      <c r="D14" s="330" t="s">
        <v>353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349</v>
      </c>
      <c r="C15" s="329" t="s">
        <v>346</v>
      </c>
      <c r="D15" s="330" t="s">
        <v>353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381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1214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1195</v>
      </c>
      <c r="E4" s="80" t="s">
        <v>5</v>
      </c>
      <c r="F4" s="21" t="s">
        <v>828</v>
      </c>
      <c r="G4" s="21" t="s">
        <v>829</v>
      </c>
      <c r="H4" s="80" t="s">
        <v>830</v>
      </c>
      <c r="I4" s="21" t="s">
        <v>831</v>
      </c>
      <c r="J4" s="21" t="s">
        <v>832</v>
      </c>
      <c r="K4" s="21" t="s">
        <v>833</v>
      </c>
      <c r="L4" s="80" t="s">
        <v>7</v>
      </c>
      <c r="M4" s="80" t="s">
        <v>7</v>
      </c>
      <c r="N4" s="21" t="s">
        <v>834</v>
      </c>
      <c r="O4" s="21" t="s">
        <v>834</v>
      </c>
      <c r="P4" s="80" t="s">
        <v>8</v>
      </c>
      <c r="Q4" s="306" t="s">
        <v>703</v>
      </c>
      <c r="R4" s="7" t="s">
        <v>704</v>
      </c>
      <c r="S4" s="306" t="s">
        <v>705</v>
      </c>
      <c r="T4" s="80" t="s">
        <v>706</v>
      </c>
      <c r="U4" s="80" t="s">
        <v>707</v>
      </c>
      <c r="V4" s="80" t="s">
        <v>471</v>
      </c>
      <c r="W4" s="80" t="s">
        <v>708</v>
      </c>
      <c r="X4" s="80" t="s">
        <v>709</v>
      </c>
      <c r="Y4" s="319" t="s">
        <v>710</v>
      </c>
      <c r="Z4" s="320" t="s">
        <v>711</v>
      </c>
      <c r="AA4" s="80" t="s">
        <v>509</v>
      </c>
      <c r="AB4" s="321" t="s">
        <v>712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82</v>
      </c>
      <c r="C7" s="12" t="s">
        <v>1215</v>
      </c>
      <c r="D7" s="15" t="s">
        <v>208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96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111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44</v>
      </c>
      <c r="C11" s="4" t="s">
        <v>556</v>
      </c>
      <c r="D11" s="10" t="s">
        <v>460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199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111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151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152</v>
      </c>
      <c r="C15" s="4" t="s">
        <v>156</v>
      </c>
      <c r="D15" s="10" t="s">
        <v>41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49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155</v>
      </c>
      <c r="C16" s="4" t="s">
        <v>158</v>
      </c>
      <c r="D16" s="10" t="s">
        <v>460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199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111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169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176</v>
      </c>
      <c r="C20" s="4" t="s">
        <v>1216</v>
      </c>
      <c r="D20" s="15" t="s">
        <v>460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199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111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189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195</v>
      </c>
      <c r="C24" s="4" t="s">
        <v>45</v>
      </c>
      <c r="D24" s="10" t="s">
        <v>178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49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198</v>
      </c>
      <c r="C25" s="12" t="s">
        <v>158</v>
      </c>
      <c r="D25" s="15" t="s">
        <v>1201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230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111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209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36</v>
      </c>
      <c r="C29" s="4" t="s">
        <v>214</v>
      </c>
      <c r="D29" s="10" t="s">
        <v>178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49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213</v>
      </c>
      <c r="C30" s="4" t="s">
        <v>568</v>
      </c>
      <c r="D30" s="15" t="s">
        <v>460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199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221</v>
      </c>
      <c r="C31" s="4" t="s">
        <v>1217</v>
      </c>
      <c r="D31" s="15" t="s">
        <v>208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73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111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252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262</v>
      </c>
      <c r="C35" s="12" t="s">
        <v>1218</v>
      </c>
      <c r="D35" s="15" t="s">
        <v>460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199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111</v>
      </c>
      <c r="C36" s="26" t="s">
        <v>1219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272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288</v>
      </c>
      <c r="C39" s="12" t="s">
        <v>1220</v>
      </c>
      <c r="D39" s="15" t="s">
        <v>302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137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290</v>
      </c>
      <c r="C40" s="4" t="s">
        <v>299</v>
      </c>
      <c r="D40" s="15" t="s">
        <v>302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137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309</v>
      </c>
      <c r="C41" s="12" t="s">
        <v>317</v>
      </c>
      <c r="D41" s="15" t="s">
        <v>208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96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345</v>
      </c>
      <c r="C42" s="12" t="s">
        <v>352</v>
      </c>
      <c r="D42" s="15" t="s">
        <v>356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353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348</v>
      </c>
      <c r="C43" s="302" t="s">
        <v>352</v>
      </c>
      <c r="D43" s="303" t="s">
        <v>356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353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349</v>
      </c>
      <c r="C44" s="12" t="s">
        <v>352</v>
      </c>
      <c r="D44" s="15" t="s">
        <v>1199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353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364</v>
      </c>
      <c r="C45" s="12" t="s">
        <v>355</v>
      </c>
      <c r="D45" s="15" t="s">
        <v>1221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368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111</v>
      </c>
      <c r="C46" s="28" t="s">
        <v>1222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381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1223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1224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1225</v>
      </c>
      <c r="C3" s="271" t="s">
        <v>1226</v>
      </c>
      <c r="D3" s="271" t="s">
        <v>1227</v>
      </c>
      <c r="E3" s="271" t="s">
        <v>1228</v>
      </c>
      <c r="F3" s="271" t="s">
        <v>1229</v>
      </c>
      <c r="G3" s="271" t="s">
        <v>1230</v>
      </c>
      <c r="H3" s="291" t="s">
        <v>1231</v>
      </c>
      <c r="I3" s="271" t="s">
        <v>1232</v>
      </c>
      <c r="J3" s="271" t="s">
        <v>1233</v>
      </c>
      <c r="K3" s="271" t="s">
        <v>1234</v>
      </c>
      <c r="L3" s="271" t="s">
        <v>1235</v>
      </c>
      <c r="M3" s="271" t="s">
        <v>1236</v>
      </c>
      <c r="N3" s="271" t="s">
        <v>1237</v>
      </c>
      <c r="O3" s="271" t="s">
        <v>1238</v>
      </c>
      <c r="P3" s="271" t="s">
        <v>1239</v>
      </c>
      <c r="Q3" s="294"/>
      <c r="R3" s="294"/>
    </row>
    <row r="4" ht="13" spans="1:18">
      <c r="A4" s="271" t="s">
        <v>1240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1241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1242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1243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1244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1245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1246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1247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1248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1249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1250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1251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1252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1253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1254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1255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1256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532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1257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21</v>
      </c>
      <c r="B5" s="277" t="s">
        <v>2</v>
      </c>
      <c r="C5" s="277" t="s">
        <v>3</v>
      </c>
      <c r="D5" s="278" t="s">
        <v>4</v>
      </c>
      <c r="E5" s="278" t="s">
        <v>1258</v>
      </c>
      <c r="F5" s="278" t="s">
        <v>1259</v>
      </c>
      <c r="G5" s="278" t="s">
        <v>1260</v>
      </c>
      <c r="H5" s="278" t="s">
        <v>1261</v>
      </c>
      <c r="I5" s="285" t="s">
        <v>1262</v>
      </c>
    </row>
    <row r="6" spans="2:2">
      <c r="B6" s="271" t="s">
        <v>22</v>
      </c>
    </row>
    <row r="7" spans="1:9">
      <c r="A7" s="279">
        <v>1</v>
      </c>
      <c r="B7" s="279" t="s">
        <v>23</v>
      </c>
      <c r="C7" s="279" t="s">
        <v>24</v>
      </c>
      <c r="D7" s="279" t="s">
        <v>577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1263</v>
      </c>
      <c r="C8" s="279" t="s">
        <v>1264</v>
      </c>
      <c r="D8" s="279" t="s">
        <v>154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26</v>
      </c>
      <c r="C9" s="279" t="s">
        <v>27</v>
      </c>
      <c r="D9" s="279" t="s">
        <v>28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29</v>
      </c>
      <c r="C10" s="279" t="s">
        <v>30</v>
      </c>
      <c r="D10" s="279" t="s">
        <v>35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210</v>
      </c>
      <c r="C11" s="279" t="s">
        <v>1265</v>
      </c>
      <c r="D11" s="279" t="s">
        <v>35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31</v>
      </c>
      <c r="C12" s="279" t="s">
        <v>32</v>
      </c>
      <c r="D12" s="279" t="s">
        <v>35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273</v>
      </c>
      <c r="C13" s="279" t="s">
        <v>535</v>
      </c>
      <c r="D13" s="279" t="s">
        <v>35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33</v>
      </c>
      <c r="C14" s="279" t="s">
        <v>538</v>
      </c>
      <c r="D14" s="279" t="s">
        <v>131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1266</v>
      </c>
      <c r="C15" s="279" t="s">
        <v>40</v>
      </c>
      <c r="D15" s="279" t="s">
        <v>178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39</v>
      </c>
      <c r="C16" s="279" t="s">
        <v>40</v>
      </c>
      <c r="D16" s="279" t="s">
        <v>178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50</v>
      </c>
      <c r="C17" s="279" t="s">
        <v>51</v>
      </c>
      <c r="D17" s="279" t="s">
        <v>1201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53</v>
      </c>
      <c r="C18" s="279" t="s">
        <v>54</v>
      </c>
      <c r="D18" s="279" t="s">
        <v>58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63</v>
      </c>
      <c r="C19" s="279" t="s">
        <v>64</v>
      </c>
      <c r="D19" s="279" t="s">
        <v>68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80</v>
      </c>
      <c r="C20" s="279" t="s">
        <v>78</v>
      </c>
      <c r="D20" s="279" t="s">
        <v>87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1267</v>
      </c>
      <c r="C21" s="279" t="s">
        <v>1268</v>
      </c>
      <c r="D21" s="279" t="s">
        <v>87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82</v>
      </c>
      <c r="C22" s="279" t="s">
        <v>1215</v>
      </c>
      <c r="D22" s="279" t="s">
        <v>208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85</v>
      </c>
      <c r="C23" s="279" t="s">
        <v>1269</v>
      </c>
      <c r="D23" s="279" t="s">
        <v>208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89</v>
      </c>
      <c r="C24" s="279" t="s">
        <v>90</v>
      </c>
      <c r="D24" s="279" t="s">
        <v>87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92</v>
      </c>
      <c r="C25" s="279" t="s">
        <v>93</v>
      </c>
      <c r="D25" s="279" t="s">
        <v>105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1193</v>
      </c>
      <c r="C26" s="279" t="s">
        <v>101</v>
      </c>
      <c r="D26" s="279" t="s">
        <v>105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100</v>
      </c>
      <c r="C27" s="279" t="s">
        <v>101</v>
      </c>
      <c r="D27" s="279" t="s">
        <v>108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1270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112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113</v>
      </c>
      <c r="C31" s="279" t="s">
        <v>114</v>
      </c>
      <c r="D31" s="279" t="s">
        <v>115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116</v>
      </c>
      <c r="C32" s="279" t="s">
        <v>802</v>
      </c>
      <c r="D32" s="279" t="s">
        <v>108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1271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125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541</v>
      </c>
      <c r="C36" s="279" t="s">
        <v>542</v>
      </c>
      <c r="D36" s="279" t="s">
        <v>115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543</v>
      </c>
      <c r="C37" s="279" t="s">
        <v>43</v>
      </c>
      <c r="D37" s="279" t="s">
        <v>131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126</v>
      </c>
      <c r="C38" s="279" t="s">
        <v>130</v>
      </c>
      <c r="D38" s="279" t="s">
        <v>131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129</v>
      </c>
      <c r="C39" s="279" t="s">
        <v>130</v>
      </c>
      <c r="D39" s="279" t="s">
        <v>131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132</v>
      </c>
      <c r="C40" s="279" t="s">
        <v>130</v>
      </c>
      <c r="D40" s="279" t="s">
        <v>38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133</v>
      </c>
      <c r="C41" s="279" t="s">
        <v>45</v>
      </c>
      <c r="D41" s="279" t="s">
        <v>178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134</v>
      </c>
      <c r="C42" s="279" t="s">
        <v>156</v>
      </c>
      <c r="D42" s="279" t="s">
        <v>178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1272</v>
      </c>
      <c r="C43" s="279" t="s">
        <v>156</v>
      </c>
      <c r="D43" s="279" t="s">
        <v>46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44</v>
      </c>
      <c r="C44" s="279" t="s">
        <v>556</v>
      </c>
      <c r="D44" s="279" t="s">
        <v>460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138</v>
      </c>
      <c r="C45" s="279" t="s">
        <v>139</v>
      </c>
      <c r="D45" s="279" t="s">
        <v>73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142</v>
      </c>
      <c r="C46" s="279" t="s">
        <v>139</v>
      </c>
      <c r="D46" s="279" t="s">
        <v>96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544</v>
      </c>
      <c r="C47" s="279" t="s">
        <v>139</v>
      </c>
      <c r="D47" s="279" t="s">
        <v>96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143</v>
      </c>
      <c r="C48" s="279" t="s">
        <v>139</v>
      </c>
      <c r="D48" s="279" t="s">
        <v>96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1273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145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545</v>
      </c>
      <c r="C52" s="279" t="s">
        <v>147</v>
      </c>
      <c r="D52" s="279" t="s">
        <v>115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148</v>
      </c>
      <c r="C53" s="279" t="s">
        <v>149</v>
      </c>
      <c r="D53" s="279" t="s">
        <v>554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1274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151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546</v>
      </c>
      <c r="C57" s="279" t="s">
        <v>547</v>
      </c>
      <c r="D57" s="279" t="s">
        <v>115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548</v>
      </c>
      <c r="C58" s="279" t="s">
        <v>549</v>
      </c>
      <c r="D58" s="279" t="s">
        <v>1202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155</v>
      </c>
      <c r="C59" s="279" t="s">
        <v>158</v>
      </c>
      <c r="D59" s="279" t="s">
        <v>460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550</v>
      </c>
      <c r="C60" s="279" t="s">
        <v>158</v>
      </c>
      <c r="D60" s="279" t="s">
        <v>1201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551</v>
      </c>
      <c r="C61" s="279" t="s">
        <v>156</v>
      </c>
      <c r="D61" s="279" t="s">
        <v>178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42</v>
      </c>
      <c r="C62" s="279" t="s">
        <v>156</v>
      </c>
      <c r="D62" s="279" t="s">
        <v>46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161</v>
      </c>
      <c r="C63" s="279" t="s">
        <v>139</v>
      </c>
      <c r="D63" s="279" t="s">
        <v>137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163</v>
      </c>
      <c r="C64" s="279" t="s">
        <v>70</v>
      </c>
      <c r="D64" s="279" t="s">
        <v>137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164</v>
      </c>
      <c r="C65" s="279" t="s">
        <v>70</v>
      </c>
      <c r="D65" s="279" t="s">
        <v>137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165</v>
      </c>
      <c r="C66" s="279" t="s">
        <v>166</v>
      </c>
      <c r="D66" s="279" t="s">
        <v>68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81</v>
      </c>
      <c r="C67" s="279" t="s">
        <v>67</v>
      </c>
      <c r="D67" s="279" t="s">
        <v>87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66</v>
      </c>
      <c r="C68" s="279" t="s">
        <v>67</v>
      </c>
      <c r="D68" s="279" t="s">
        <v>105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1275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169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170</v>
      </c>
      <c r="C72" s="279" t="s">
        <v>171</v>
      </c>
      <c r="D72" s="279" t="s">
        <v>115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552</v>
      </c>
      <c r="C73" s="279" t="s">
        <v>553</v>
      </c>
      <c r="D73" s="279" t="s">
        <v>1202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172</v>
      </c>
      <c r="C74" s="279" t="s">
        <v>555</v>
      </c>
      <c r="D74" s="279" t="s">
        <v>554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176</v>
      </c>
      <c r="C75" s="279" t="s">
        <v>1216</v>
      </c>
      <c r="D75" s="279" t="s">
        <v>460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183</v>
      </c>
      <c r="C76" s="279" t="s">
        <v>186</v>
      </c>
      <c r="D76" s="279" t="s">
        <v>76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185</v>
      </c>
      <c r="C77" s="279" t="s">
        <v>186</v>
      </c>
      <c r="D77" s="279" t="s">
        <v>96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187</v>
      </c>
      <c r="C78" s="279" t="s">
        <v>188</v>
      </c>
      <c r="D78" s="279" t="s">
        <v>108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1276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189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192</v>
      </c>
      <c r="C82" s="279" t="s">
        <v>130</v>
      </c>
      <c r="D82" s="279" t="s">
        <v>131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190</v>
      </c>
      <c r="C83" s="279" t="s">
        <v>130</v>
      </c>
      <c r="D83" s="279" t="s">
        <v>131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152</v>
      </c>
      <c r="C84" s="279" t="s">
        <v>156</v>
      </c>
      <c r="D84" s="279" t="s">
        <v>41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195</v>
      </c>
      <c r="C85" s="279" t="s">
        <v>45</v>
      </c>
      <c r="D85" s="279" t="s">
        <v>178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196</v>
      </c>
      <c r="C86" s="279" t="s">
        <v>556</v>
      </c>
      <c r="D86" s="279" t="s">
        <v>460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197</v>
      </c>
      <c r="C87" s="279" t="s">
        <v>158</v>
      </c>
      <c r="D87" s="279" t="s">
        <v>1201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198</v>
      </c>
      <c r="C88" s="279" t="s">
        <v>158</v>
      </c>
      <c r="D88" s="279" t="s">
        <v>1201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200</v>
      </c>
      <c r="C89" s="279" t="s">
        <v>70</v>
      </c>
      <c r="D89" s="279" t="s">
        <v>137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201</v>
      </c>
      <c r="C90" s="279" t="s">
        <v>70</v>
      </c>
      <c r="D90" s="279" t="s">
        <v>137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204</v>
      </c>
      <c r="C91" s="279" t="s">
        <v>205</v>
      </c>
      <c r="D91" s="279" t="s">
        <v>73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206</v>
      </c>
      <c r="C92" s="279" t="s">
        <v>207</v>
      </c>
      <c r="D92" s="279" t="s">
        <v>105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1277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209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536</v>
      </c>
      <c r="C96" s="279" t="s">
        <v>537</v>
      </c>
      <c r="D96" s="279" t="s">
        <v>35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36</v>
      </c>
      <c r="C97" s="279" t="s">
        <v>214</v>
      </c>
      <c r="D97" s="279" t="s">
        <v>178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219</v>
      </c>
      <c r="C98" s="279" t="s">
        <v>220</v>
      </c>
      <c r="D98" s="279" t="s">
        <v>68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221</v>
      </c>
      <c r="C99" s="279" t="s">
        <v>1217</v>
      </c>
      <c r="D99" s="279" t="s">
        <v>208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1278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223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224</v>
      </c>
      <c r="C103" s="279" t="s">
        <v>225</v>
      </c>
      <c r="D103" s="279" t="s">
        <v>115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226</v>
      </c>
      <c r="C104" s="279" t="s">
        <v>227</v>
      </c>
      <c r="D104" s="279" t="s">
        <v>35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228</v>
      </c>
      <c r="C105" s="279" t="s">
        <v>442</v>
      </c>
      <c r="D105" s="279" t="s">
        <v>52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231</v>
      </c>
      <c r="C106" s="279" t="s">
        <v>442</v>
      </c>
      <c r="D106" s="279" t="s">
        <v>52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232</v>
      </c>
      <c r="C107" s="279" t="s">
        <v>233</v>
      </c>
      <c r="D107" s="279" t="s">
        <v>558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235</v>
      </c>
      <c r="C108" s="279" t="s">
        <v>233</v>
      </c>
      <c r="D108" s="279" t="s">
        <v>208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236</v>
      </c>
      <c r="C109" s="279" t="s">
        <v>233</v>
      </c>
      <c r="D109" s="279" t="s">
        <v>105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1279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237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1280</v>
      </c>
      <c r="C113" s="279" t="s">
        <v>70</v>
      </c>
      <c r="D113" s="279" t="s">
        <v>162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238</v>
      </c>
      <c r="C114" s="279" t="s">
        <v>239</v>
      </c>
      <c r="D114" s="279" t="s">
        <v>68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179</v>
      </c>
      <c r="C115" s="279" t="s">
        <v>559</v>
      </c>
      <c r="D115" s="279" t="s">
        <v>162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1281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252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253</v>
      </c>
      <c r="C119" s="279" t="s">
        <v>254</v>
      </c>
      <c r="D119" s="279" t="s">
        <v>115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255</v>
      </c>
      <c r="C120" s="279" t="s">
        <v>258</v>
      </c>
      <c r="D120" s="279" t="s">
        <v>131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257</v>
      </c>
      <c r="C121" s="279" t="s">
        <v>258</v>
      </c>
      <c r="D121" s="279" t="s">
        <v>131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259</v>
      </c>
      <c r="C122" s="279" t="s">
        <v>260</v>
      </c>
      <c r="D122" s="279" t="s">
        <v>46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261</v>
      </c>
      <c r="C123" s="279" t="s">
        <v>495</v>
      </c>
      <c r="D123" s="279" t="s">
        <v>460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262</v>
      </c>
      <c r="C124" s="279" t="s">
        <v>1218</v>
      </c>
      <c r="D124" s="279" t="s">
        <v>460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265</v>
      </c>
      <c r="C125" s="279" t="s">
        <v>266</v>
      </c>
      <c r="D125" s="279" t="s">
        <v>87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267</v>
      </c>
      <c r="C126" s="279" t="s">
        <v>268</v>
      </c>
      <c r="D126" s="279" t="s">
        <v>108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269</v>
      </c>
      <c r="C127" s="279" t="s">
        <v>264</v>
      </c>
      <c r="D127" s="279" t="s">
        <v>108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1282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272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561</v>
      </c>
      <c r="C131" s="279" t="s">
        <v>562</v>
      </c>
      <c r="D131" s="279" t="s">
        <v>115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276</v>
      </c>
      <c r="C132" s="279" t="s">
        <v>277</v>
      </c>
      <c r="D132" s="279" t="s">
        <v>35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278</v>
      </c>
      <c r="C133" s="279" t="s">
        <v>565</v>
      </c>
      <c r="D133" s="279" t="s">
        <v>178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280</v>
      </c>
      <c r="C134" s="279" t="s">
        <v>566</v>
      </c>
      <c r="D134" s="279" t="s">
        <v>178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282</v>
      </c>
      <c r="C135" s="279" t="s">
        <v>566</v>
      </c>
      <c r="D135" s="279" t="s">
        <v>178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213</v>
      </c>
      <c r="C136" s="279" t="s">
        <v>568</v>
      </c>
      <c r="D136" s="279" t="s">
        <v>460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215</v>
      </c>
      <c r="C137" s="279" t="s">
        <v>567</v>
      </c>
      <c r="D137" s="279" t="s">
        <v>162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283</v>
      </c>
      <c r="C138" s="279" t="s">
        <v>567</v>
      </c>
      <c r="D138" s="279" t="s">
        <v>162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284</v>
      </c>
      <c r="C139" s="279" t="s">
        <v>568</v>
      </c>
      <c r="D139" s="279" t="s">
        <v>162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286</v>
      </c>
      <c r="C140" s="279" t="s">
        <v>287</v>
      </c>
      <c r="D140" s="279" t="s">
        <v>68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288</v>
      </c>
      <c r="C141" s="279" t="s">
        <v>1220</v>
      </c>
      <c r="D141" s="279" t="s">
        <v>302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60</v>
      </c>
      <c r="C142" s="279" t="s">
        <v>569</v>
      </c>
      <c r="D142" s="279" t="s">
        <v>162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290</v>
      </c>
      <c r="C143" s="279" t="s">
        <v>299</v>
      </c>
      <c r="D143" s="279" t="s">
        <v>302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292</v>
      </c>
      <c r="C144" s="279" t="s">
        <v>570</v>
      </c>
      <c r="D144" s="279" t="s">
        <v>76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293</v>
      </c>
      <c r="C145" s="279" t="s">
        <v>570</v>
      </c>
      <c r="D145" s="279" t="s">
        <v>119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295</v>
      </c>
      <c r="C146" s="279" t="s">
        <v>570</v>
      </c>
      <c r="D146" s="279" t="s">
        <v>119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296</v>
      </c>
      <c r="C147" s="279" t="s">
        <v>297</v>
      </c>
      <c r="D147" s="279" t="s">
        <v>73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1203</v>
      </c>
      <c r="C148" s="279" t="s">
        <v>299</v>
      </c>
      <c r="D148" s="279" t="s">
        <v>96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300</v>
      </c>
      <c r="C149" s="279" t="s">
        <v>301</v>
      </c>
      <c r="D149" s="279" t="s">
        <v>76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303</v>
      </c>
      <c r="C150" s="279" t="s">
        <v>304</v>
      </c>
      <c r="D150" s="279" t="s">
        <v>87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305</v>
      </c>
      <c r="C151" s="279" t="s">
        <v>306</v>
      </c>
      <c r="D151" s="279" t="s">
        <v>76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307</v>
      </c>
      <c r="C152" s="279" t="s">
        <v>308</v>
      </c>
      <c r="D152" s="279" t="s">
        <v>87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309</v>
      </c>
      <c r="C153" s="279" t="s">
        <v>317</v>
      </c>
      <c r="D153" s="279" t="s">
        <v>208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314</v>
      </c>
      <c r="C154" s="279" t="s">
        <v>315</v>
      </c>
      <c r="D154" s="279" t="s">
        <v>108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316</v>
      </c>
      <c r="C155" s="279" t="s">
        <v>317</v>
      </c>
      <c r="D155" s="279" t="s">
        <v>108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318</v>
      </c>
      <c r="C156" s="279" t="s">
        <v>319</v>
      </c>
      <c r="D156" s="279" t="s">
        <v>108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320</v>
      </c>
      <c r="C157" s="279" t="s">
        <v>321</v>
      </c>
      <c r="D157" s="279" t="s">
        <v>105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322</v>
      </c>
      <c r="C158" s="279" t="s">
        <v>317</v>
      </c>
      <c r="D158" s="279" t="s">
        <v>108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331</v>
      </c>
      <c r="C159" s="279" t="s">
        <v>332</v>
      </c>
      <c r="D159" s="279" t="s">
        <v>350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334</v>
      </c>
      <c r="C160" s="279" t="s">
        <v>332</v>
      </c>
      <c r="D160" s="279" t="s">
        <v>350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335</v>
      </c>
      <c r="C161" s="279" t="s">
        <v>332</v>
      </c>
      <c r="D161" s="279" t="s">
        <v>350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336</v>
      </c>
      <c r="C162" s="279" t="s">
        <v>332</v>
      </c>
      <c r="D162" s="279" t="s">
        <v>350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337</v>
      </c>
      <c r="C163" s="279" t="s">
        <v>332</v>
      </c>
      <c r="D163" s="279" t="s">
        <v>350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338</v>
      </c>
      <c r="C164" s="279" t="s">
        <v>332</v>
      </c>
      <c r="D164" s="279" t="s">
        <v>347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340</v>
      </c>
      <c r="C165" s="279" t="s">
        <v>332</v>
      </c>
      <c r="D165" s="279" t="s">
        <v>347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341</v>
      </c>
      <c r="C166" s="279" t="s">
        <v>332</v>
      </c>
      <c r="D166" s="279" t="s">
        <v>347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342</v>
      </c>
      <c r="C167" s="279" t="s">
        <v>332</v>
      </c>
      <c r="D167" s="279" t="s">
        <v>347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343</v>
      </c>
      <c r="C168" s="279" t="s">
        <v>332</v>
      </c>
      <c r="D168" s="279" t="s">
        <v>347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344</v>
      </c>
      <c r="C169" s="279" t="s">
        <v>332</v>
      </c>
      <c r="D169" s="279" t="s">
        <v>347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345</v>
      </c>
      <c r="C170" s="279" t="s">
        <v>352</v>
      </c>
      <c r="D170" s="279" t="s">
        <v>356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348</v>
      </c>
      <c r="C171" s="279" t="s">
        <v>352</v>
      </c>
      <c r="D171" s="279" t="s">
        <v>356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349</v>
      </c>
      <c r="C172" s="279" t="s">
        <v>352</v>
      </c>
      <c r="D172" s="279" t="s">
        <v>1199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351</v>
      </c>
      <c r="C173" s="279" t="s">
        <v>352</v>
      </c>
      <c r="D173" s="279" t="s">
        <v>1204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354</v>
      </c>
      <c r="C174" s="279" t="s">
        <v>355</v>
      </c>
      <c r="D174" s="279" t="s">
        <v>1205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357</v>
      </c>
      <c r="C175" s="279" t="s">
        <v>355</v>
      </c>
      <c r="D175" s="279" t="s">
        <v>1205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358</v>
      </c>
      <c r="C176" s="279" t="s">
        <v>355</v>
      </c>
      <c r="D176" s="279" t="s">
        <v>1205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359</v>
      </c>
      <c r="C177" s="279" t="s">
        <v>355</v>
      </c>
      <c r="D177" s="279" t="s">
        <v>1205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360</v>
      </c>
      <c r="C178" s="279" t="s">
        <v>355</v>
      </c>
      <c r="D178" s="279" t="s">
        <v>1205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361</v>
      </c>
      <c r="C179" s="279" t="s">
        <v>355</v>
      </c>
      <c r="D179" s="279" t="s">
        <v>1205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362</v>
      </c>
      <c r="C180" s="279" t="s">
        <v>355</v>
      </c>
      <c r="D180" s="279" t="s">
        <v>1205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499</v>
      </c>
      <c r="C181" s="279" t="s">
        <v>352</v>
      </c>
      <c r="D181" s="279" t="s">
        <v>1205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363</v>
      </c>
      <c r="C182" s="279" t="s">
        <v>352</v>
      </c>
      <c r="D182" s="279" t="s">
        <v>1205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364</v>
      </c>
      <c r="C183" s="279" t="s">
        <v>355</v>
      </c>
      <c r="D183" s="279" t="s">
        <v>1221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369</v>
      </c>
      <c r="C184" s="279" t="s">
        <v>355</v>
      </c>
      <c r="D184" s="279" t="s">
        <v>373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371</v>
      </c>
      <c r="C185" s="279" t="s">
        <v>372</v>
      </c>
      <c r="D185" s="279" t="s">
        <v>1206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374</v>
      </c>
      <c r="C186" s="279" t="s">
        <v>372</v>
      </c>
      <c r="D186" s="279" t="s">
        <v>1206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375</v>
      </c>
      <c r="C187" s="279" t="s">
        <v>372</v>
      </c>
      <c r="D187" s="279" t="s">
        <v>1206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376</v>
      </c>
      <c r="C188" s="279" t="s">
        <v>377</v>
      </c>
      <c r="D188" s="279" t="s">
        <v>370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379</v>
      </c>
      <c r="C189" s="279" t="s">
        <v>377</v>
      </c>
      <c r="D189" s="279" t="s">
        <v>370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1283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1284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532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1257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21</v>
      </c>
      <c r="B5" s="55" t="s">
        <v>2</v>
      </c>
      <c r="C5" s="55" t="s">
        <v>3</v>
      </c>
      <c r="D5" s="266" t="s">
        <v>1285</v>
      </c>
      <c r="E5" s="266" t="s">
        <v>1208</v>
      </c>
      <c r="F5" s="266" t="s">
        <v>1209</v>
      </c>
      <c r="G5" s="266" t="s">
        <v>1286</v>
      </c>
      <c r="H5" s="267" t="s">
        <v>1262</v>
      </c>
      <c r="I5" s="46"/>
    </row>
    <row r="6" ht="18" spans="1:9">
      <c r="A6" s="43">
        <v>1</v>
      </c>
      <c r="B6" s="43" t="s">
        <v>1287</v>
      </c>
      <c r="C6" s="43" t="s">
        <v>1288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1289</v>
      </c>
      <c r="C7" s="43" t="s">
        <v>1288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1290</v>
      </c>
      <c r="C8" s="43" t="s">
        <v>1291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1289</v>
      </c>
      <c r="C9" s="43" t="s">
        <v>1288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1292</v>
      </c>
      <c r="C10" s="43" t="s">
        <v>1293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1294</v>
      </c>
      <c r="C11" s="43" t="s">
        <v>1295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1296</v>
      </c>
      <c r="C12" s="43" t="s">
        <v>1297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1298</v>
      </c>
      <c r="C13" s="43" t="s">
        <v>1299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1300</v>
      </c>
      <c r="C14" s="43" t="s">
        <v>1299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1301</v>
      </c>
      <c r="C15" s="43" t="s">
        <v>1297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1302</v>
      </c>
      <c r="C16" s="43" t="s">
        <v>1303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1304</v>
      </c>
      <c r="C17" s="43" t="s">
        <v>1291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1305</v>
      </c>
      <c r="C18" s="43" t="s">
        <v>1306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1307</v>
      </c>
      <c r="C19" s="43" t="s">
        <v>1293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1308</v>
      </c>
      <c r="C20" s="43" t="s">
        <v>611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1309</v>
      </c>
      <c r="C21" s="43" t="s">
        <v>1310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1311</v>
      </c>
      <c r="C22" s="43" t="s">
        <v>1293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1312</v>
      </c>
      <c r="C23" s="43" t="s">
        <v>646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1313</v>
      </c>
      <c r="C24" s="43" t="s">
        <v>646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1314</v>
      </c>
      <c r="C25" s="43" t="s">
        <v>646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1315</v>
      </c>
      <c r="C26" s="43" t="s">
        <v>646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1316</v>
      </c>
      <c r="C27" s="43" t="s">
        <v>1317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1318</v>
      </c>
      <c r="C28" s="43" t="s">
        <v>1319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1320</v>
      </c>
      <c r="C29" s="43" t="s">
        <v>1321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1322</v>
      </c>
      <c r="C30" s="43" t="s">
        <v>1303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768</v>
      </c>
      <c r="C31" s="43" t="s">
        <v>646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1323</v>
      </c>
      <c r="C32" s="43" t="s">
        <v>1291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1324</v>
      </c>
      <c r="C33" s="43" t="s">
        <v>1291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742</v>
      </c>
      <c r="C34" s="43" t="s">
        <v>646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769</v>
      </c>
      <c r="C35" s="43" t="s">
        <v>646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1325</v>
      </c>
      <c r="C36" s="43" t="s">
        <v>1326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770</v>
      </c>
      <c r="C37" s="43" t="s">
        <v>646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771</v>
      </c>
      <c r="C38" s="43" t="s">
        <v>1327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1328</v>
      </c>
      <c r="C39" s="43" t="s">
        <v>646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772</v>
      </c>
      <c r="C40" s="43" t="s">
        <v>646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1329</v>
      </c>
      <c r="C41" s="43" t="s">
        <v>1293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1330</v>
      </c>
      <c r="C42" s="43" t="s">
        <v>1293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1331</v>
      </c>
      <c r="C43" s="43" t="s">
        <v>1293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1332</v>
      </c>
      <c r="C44" s="43" t="s">
        <v>1293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1333</v>
      </c>
      <c r="C45" s="43" t="s">
        <v>1293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1334</v>
      </c>
      <c r="C46" s="43" t="s">
        <v>1293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1335</v>
      </c>
      <c r="C47" s="43" t="s">
        <v>646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1336</v>
      </c>
      <c r="C48" s="43" t="s">
        <v>1293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1337</v>
      </c>
      <c r="C49" s="43" t="s">
        <v>1293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1338</v>
      </c>
      <c r="C50" s="43" t="s">
        <v>646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1339</v>
      </c>
      <c r="C51" s="43" t="s">
        <v>1293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1340</v>
      </c>
      <c r="C52" s="43" t="s">
        <v>1293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1341</v>
      </c>
      <c r="C53" s="43" t="s">
        <v>646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1342</v>
      </c>
      <c r="C54" s="43" t="s">
        <v>646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1343</v>
      </c>
      <c r="C55" s="43" t="s">
        <v>646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1344</v>
      </c>
      <c r="C56" s="43" t="s">
        <v>646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1345</v>
      </c>
      <c r="C57" s="43" t="s">
        <v>1293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1346</v>
      </c>
      <c r="C58" s="43" t="s">
        <v>1293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737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21</v>
      </c>
      <c r="B2" s="42" t="s">
        <v>507</v>
      </c>
      <c r="C2" s="42" t="s">
        <v>3</v>
      </c>
      <c r="D2" s="259" t="s">
        <v>1347</v>
      </c>
      <c r="E2" s="259" t="s">
        <v>15</v>
      </c>
      <c r="F2" s="259" t="s">
        <v>1348</v>
      </c>
      <c r="G2" s="46"/>
      <c r="H2" s="46"/>
      <c r="I2" s="46"/>
      <c r="J2" s="46"/>
    </row>
    <row r="3" ht="35.1" customHeight="1" spans="1:10">
      <c r="A3" s="49">
        <v>1</v>
      </c>
      <c r="B3" s="43" t="s">
        <v>168</v>
      </c>
      <c r="C3" s="43" t="s">
        <v>139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1349</v>
      </c>
      <c r="C4" s="43" t="s">
        <v>1350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111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1351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642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1263</v>
      </c>
      <c r="C8" s="4" t="s">
        <v>1352</v>
      </c>
      <c r="D8" s="10" t="s">
        <v>154</v>
      </c>
      <c r="E8" s="242">
        <v>150000</v>
      </c>
      <c r="F8" s="13"/>
    </row>
    <row r="9" customHeight="1" spans="1:6">
      <c r="A9" s="10">
        <v>3</v>
      </c>
      <c r="B9" s="14" t="s">
        <v>1353</v>
      </c>
      <c r="C9" s="4" t="s">
        <v>1354</v>
      </c>
      <c r="D9" s="10" t="s">
        <v>154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210</v>
      </c>
      <c r="C12" s="4" t="s">
        <v>1265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273</v>
      </c>
      <c r="C14" s="4" t="s">
        <v>535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538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172</v>
      </c>
      <c r="C16" s="12" t="s">
        <v>555</v>
      </c>
      <c r="D16" s="10" t="s">
        <v>554</v>
      </c>
      <c r="E16" s="242">
        <v>105000</v>
      </c>
      <c r="F16" s="13"/>
    </row>
    <row r="17" customHeight="1" spans="1:6">
      <c r="A17" s="10">
        <v>11</v>
      </c>
      <c r="B17" s="19" t="s">
        <v>1355</v>
      </c>
      <c r="C17" s="4" t="s">
        <v>1356</v>
      </c>
      <c r="D17" s="16" t="s">
        <v>178</v>
      </c>
      <c r="E17" s="242">
        <v>75000</v>
      </c>
      <c r="F17" s="13"/>
    </row>
    <row r="18" ht="19.5" customHeight="1" spans="1:6">
      <c r="A18" s="10">
        <v>12</v>
      </c>
      <c r="B18" s="14" t="s">
        <v>1266</v>
      </c>
      <c r="C18" s="4" t="s">
        <v>40</v>
      </c>
      <c r="D18" s="10" t="s">
        <v>178</v>
      </c>
      <c r="E18" s="242">
        <v>75000</v>
      </c>
      <c r="F18" s="13"/>
    </row>
    <row r="19" ht="19.5" customHeight="1" spans="1:6">
      <c r="A19" s="10">
        <v>13</v>
      </c>
      <c r="B19" s="14" t="s">
        <v>1357</v>
      </c>
      <c r="C19" s="4" t="s">
        <v>1358</v>
      </c>
      <c r="D19" s="10" t="s">
        <v>178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40</v>
      </c>
      <c r="D20" s="15" t="s">
        <v>178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1201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58</v>
      </c>
      <c r="E22" s="242">
        <v>75000</v>
      </c>
      <c r="F22" s="13"/>
    </row>
    <row r="23" customHeight="1" spans="1:6">
      <c r="A23" s="10">
        <v>17</v>
      </c>
      <c r="B23" s="11" t="s">
        <v>179</v>
      </c>
      <c r="C23" s="12" t="s">
        <v>559</v>
      </c>
      <c r="D23" s="15" t="s">
        <v>162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64</v>
      </c>
      <c r="D24" s="15" t="s">
        <v>68</v>
      </c>
      <c r="E24" s="242">
        <v>45000</v>
      </c>
      <c r="F24" s="13"/>
    </row>
    <row r="25" ht="18.75" customHeight="1" spans="1:6">
      <c r="A25" s="10">
        <v>19</v>
      </c>
      <c r="B25" s="11" t="s">
        <v>238</v>
      </c>
      <c r="C25" s="4" t="s">
        <v>239</v>
      </c>
      <c r="D25" s="15" t="s">
        <v>68</v>
      </c>
      <c r="E25" s="242">
        <v>45000</v>
      </c>
      <c r="F25" s="13"/>
    </row>
    <row r="26" ht="18.75" customHeight="1" spans="1:6">
      <c r="A26" s="10">
        <v>20</v>
      </c>
      <c r="B26" s="18" t="s">
        <v>1359</v>
      </c>
      <c r="C26" s="12" t="s">
        <v>101</v>
      </c>
      <c r="D26" s="15" t="s">
        <v>119</v>
      </c>
      <c r="E26" s="242">
        <v>45000</v>
      </c>
      <c r="F26" s="13"/>
    </row>
    <row r="27" ht="18.75" customHeight="1" spans="1:6">
      <c r="A27" s="10">
        <v>21</v>
      </c>
      <c r="B27" s="4" t="s">
        <v>77</v>
      </c>
      <c r="C27" s="4" t="s">
        <v>78</v>
      </c>
      <c r="D27" s="10" t="s">
        <v>87</v>
      </c>
      <c r="E27" s="242">
        <v>45000</v>
      </c>
      <c r="F27" s="13"/>
    </row>
    <row r="28" ht="18.75" customHeight="1" spans="1:6">
      <c r="A28" s="10">
        <v>22</v>
      </c>
      <c r="B28" s="18" t="s">
        <v>80</v>
      </c>
      <c r="C28" s="12" t="s">
        <v>78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1" t="s">
        <v>1267</v>
      </c>
      <c r="C29" s="12" t="s">
        <v>1268</v>
      </c>
      <c r="D29" s="15" t="s">
        <v>87</v>
      </c>
      <c r="E29" s="242">
        <v>45000</v>
      </c>
      <c r="F29" s="13"/>
    </row>
    <row r="30" ht="18.75" customHeight="1" spans="1:6">
      <c r="A30" s="10">
        <v>24</v>
      </c>
      <c r="B30" s="18" t="s">
        <v>82</v>
      </c>
      <c r="C30" s="12" t="s">
        <v>1215</v>
      </c>
      <c r="D30" s="15" t="s">
        <v>208</v>
      </c>
      <c r="E30" s="242">
        <v>45000</v>
      </c>
      <c r="F30" s="13"/>
    </row>
    <row r="31" ht="18.75" customHeight="1" spans="1:6">
      <c r="A31" s="10">
        <v>25</v>
      </c>
      <c r="B31" s="18" t="s">
        <v>85</v>
      </c>
      <c r="C31" s="4" t="s">
        <v>1269</v>
      </c>
      <c r="D31" s="10" t="s">
        <v>208</v>
      </c>
      <c r="E31" s="242">
        <v>45000</v>
      </c>
      <c r="F31" s="13"/>
    </row>
    <row r="32" ht="18.75" customHeight="1" spans="1:6">
      <c r="A32" s="10">
        <v>26</v>
      </c>
      <c r="B32" s="18" t="s">
        <v>89</v>
      </c>
      <c r="C32" s="17" t="s">
        <v>90</v>
      </c>
      <c r="D32" s="15" t="s">
        <v>87</v>
      </c>
      <c r="E32" s="242">
        <v>45000</v>
      </c>
      <c r="F32" s="13"/>
    </row>
    <row r="33" ht="18.75" customHeight="1" spans="1:6">
      <c r="A33" s="10">
        <v>27</v>
      </c>
      <c r="B33" s="18" t="s">
        <v>92</v>
      </c>
      <c r="C33" s="4" t="s">
        <v>93</v>
      </c>
      <c r="D33" s="10" t="s">
        <v>105</v>
      </c>
      <c r="E33" s="242">
        <v>45000</v>
      </c>
      <c r="F33" s="13"/>
    </row>
    <row r="34" ht="18.75" customHeight="1" spans="1:6">
      <c r="A34" s="10">
        <v>28</v>
      </c>
      <c r="B34" s="18" t="s">
        <v>1193</v>
      </c>
      <c r="C34" s="12" t="s">
        <v>101</v>
      </c>
      <c r="D34" s="15" t="s">
        <v>105</v>
      </c>
      <c r="E34" s="242">
        <v>45000</v>
      </c>
      <c r="F34" s="13"/>
    </row>
    <row r="35" ht="18.75" customHeight="1" spans="1:6">
      <c r="A35" s="10">
        <v>29</v>
      </c>
      <c r="B35" s="18" t="s">
        <v>1360</v>
      </c>
      <c r="C35" s="12" t="s">
        <v>101</v>
      </c>
      <c r="D35" s="15" t="s">
        <v>105</v>
      </c>
      <c r="E35" s="242">
        <v>45000</v>
      </c>
      <c r="F35" s="13"/>
    </row>
    <row r="36" ht="18.75" customHeight="1" spans="1:6">
      <c r="A36" s="10">
        <v>30</v>
      </c>
      <c r="B36" s="18" t="s">
        <v>269</v>
      </c>
      <c r="C36" s="12" t="s">
        <v>264</v>
      </c>
      <c r="D36" s="15" t="s">
        <v>108</v>
      </c>
      <c r="E36" s="242">
        <v>45000</v>
      </c>
      <c r="F36" s="13"/>
    </row>
    <row r="37" ht="26.25" customHeight="1" spans="1:6">
      <c r="A37" s="10"/>
      <c r="B37" s="20" t="s">
        <v>111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112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113</v>
      </c>
      <c r="C40" s="4" t="s">
        <v>114</v>
      </c>
      <c r="D40" s="10" t="s">
        <v>115</v>
      </c>
      <c r="E40" s="242">
        <v>225000</v>
      </c>
      <c r="F40" s="13"/>
    </row>
    <row r="41" ht="18.75" customHeight="1" spans="1:6">
      <c r="A41" s="10">
        <v>2</v>
      </c>
      <c r="B41" s="18" t="s">
        <v>116</v>
      </c>
      <c r="C41" s="4" t="s">
        <v>802</v>
      </c>
      <c r="D41" s="10" t="s">
        <v>108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125</v>
      </c>
      <c r="C44" s="5"/>
      <c r="D44" s="24"/>
      <c r="E44" s="242"/>
      <c r="F44" s="13"/>
    </row>
    <row r="45" customHeight="1" spans="1:6">
      <c r="A45" s="10">
        <v>1</v>
      </c>
      <c r="B45" s="11" t="s">
        <v>541</v>
      </c>
      <c r="C45" s="4" t="s">
        <v>542</v>
      </c>
      <c r="D45" s="10" t="s">
        <v>115</v>
      </c>
      <c r="E45" s="242">
        <v>225000</v>
      </c>
      <c r="F45" s="13"/>
    </row>
    <row r="46" customHeight="1" spans="1:6">
      <c r="A46" s="10">
        <v>2</v>
      </c>
      <c r="B46" s="11" t="s">
        <v>543</v>
      </c>
      <c r="C46" s="4" t="s">
        <v>43</v>
      </c>
      <c r="D46" s="10" t="s">
        <v>131</v>
      </c>
      <c r="E46" s="242">
        <v>105000</v>
      </c>
      <c r="F46" s="13"/>
    </row>
    <row r="47" customHeight="1" spans="1:6">
      <c r="A47" s="10">
        <v>3</v>
      </c>
      <c r="B47" s="11" t="s">
        <v>126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4</v>
      </c>
      <c r="B48" s="11" t="s">
        <v>129</v>
      </c>
      <c r="C48" s="4" t="s">
        <v>130</v>
      </c>
      <c r="D48" s="10" t="s">
        <v>131</v>
      </c>
      <c r="E48" s="242">
        <v>105000</v>
      </c>
      <c r="F48" s="13"/>
    </row>
    <row r="49" customHeight="1" spans="1:6">
      <c r="A49" s="10">
        <v>5</v>
      </c>
      <c r="B49" s="11" t="s">
        <v>132</v>
      </c>
      <c r="C49" s="4" t="s">
        <v>130</v>
      </c>
      <c r="D49" s="10" t="s">
        <v>38</v>
      </c>
      <c r="E49" s="242">
        <v>105000</v>
      </c>
      <c r="F49" s="13"/>
    </row>
    <row r="50" customHeight="1" spans="1:6">
      <c r="A50" s="10">
        <v>6</v>
      </c>
      <c r="B50" s="11" t="s">
        <v>133</v>
      </c>
      <c r="C50" s="4" t="s">
        <v>45</v>
      </c>
      <c r="D50" s="10" t="s">
        <v>178</v>
      </c>
      <c r="E50" s="242">
        <v>75000</v>
      </c>
      <c r="F50" s="13"/>
    </row>
    <row r="51" customHeight="1" spans="1:6">
      <c r="A51" s="10">
        <v>7</v>
      </c>
      <c r="B51" s="14" t="s">
        <v>134</v>
      </c>
      <c r="C51" s="4" t="s">
        <v>156</v>
      </c>
      <c r="D51" s="16" t="s">
        <v>178</v>
      </c>
      <c r="E51" s="242">
        <v>75000</v>
      </c>
      <c r="F51" s="13"/>
    </row>
    <row r="52" customHeight="1" spans="1:6">
      <c r="A52" s="10">
        <v>8</v>
      </c>
      <c r="B52" s="11" t="s">
        <v>1272</v>
      </c>
      <c r="C52" s="4" t="s">
        <v>156</v>
      </c>
      <c r="D52" s="10" t="s">
        <v>46</v>
      </c>
      <c r="E52" s="242">
        <v>75000</v>
      </c>
      <c r="F52" s="13"/>
    </row>
    <row r="53" customHeight="1" spans="1:6">
      <c r="A53" s="10">
        <v>9</v>
      </c>
      <c r="B53" s="11" t="s">
        <v>44</v>
      </c>
      <c r="C53" s="4" t="s">
        <v>556</v>
      </c>
      <c r="D53" s="10" t="s">
        <v>460</v>
      </c>
      <c r="E53" s="242">
        <v>75000</v>
      </c>
      <c r="F53" s="13"/>
    </row>
    <row r="54" customHeight="1" spans="1:6">
      <c r="A54" s="10">
        <v>10</v>
      </c>
      <c r="B54" s="11" t="s">
        <v>142</v>
      </c>
      <c r="C54" s="4" t="s">
        <v>139</v>
      </c>
      <c r="D54" s="10" t="s">
        <v>96</v>
      </c>
      <c r="E54" s="242">
        <v>45000</v>
      </c>
      <c r="F54" s="13"/>
    </row>
    <row r="55" customHeight="1" spans="1:6">
      <c r="A55" s="10">
        <v>11</v>
      </c>
      <c r="B55" s="11" t="s">
        <v>544</v>
      </c>
      <c r="C55" s="4" t="s">
        <v>139</v>
      </c>
      <c r="D55" s="10" t="s">
        <v>96</v>
      </c>
      <c r="E55" s="242">
        <v>45000</v>
      </c>
      <c r="F55" s="13"/>
    </row>
    <row r="56" customHeight="1" spans="1:6">
      <c r="A56" s="10">
        <v>12</v>
      </c>
      <c r="B56" s="11" t="s">
        <v>143</v>
      </c>
      <c r="C56" s="4" t="s">
        <v>139</v>
      </c>
      <c r="D56" s="10" t="s">
        <v>96</v>
      </c>
      <c r="E56" s="242">
        <v>45000</v>
      </c>
      <c r="F56" s="13"/>
    </row>
    <row r="57" ht="25.5" customHeight="1" spans="1:6">
      <c r="A57" s="10"/>
      <c r="B57" s="20" t="s">
        <v>111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145</v>
      </c>
      <c r="C59" s="21"/>
      <c r="D59" s="21"/>
      <c r="E59" s="246"/>
      <c r="F59" s="13"/>
    </row>
    <row r="60" customHeight="1" spans="1:6">
      <c r="A60" s="10">
        <v>1</v>
      </c>
      <c r="B60" s="11" t="s">
        <v>545</v>
      </c>
      <c r="C60" s="12" t="s">
        <v>147</v>
      </c>
      <c r="D60" s="15" t="s">
        <v>115</v>
      </c>
      <c r="E60" s="242">
        <v>225000</v>
      </c>
      <c r="F60" s="13"/>
    </row>
    <row r="61" customHeight="1" spans="1:6">
      <c r="A61" s="10">
        <v>2</v>
      </c>
      <c r="B61" s="11" t="s">
        <v>148</v>
      </c>
      <c r="C61" s="12" t="s">
        <v>149</v>
      </c>
      <c r="D61" s="15" t="s">
        <v>554</v>
      </c>
      <c r="E61" s="242">
        <v>105000</v>
      </c>
      <c r="F61" s="13"/>
    </row>
    <row r="62" customHeight="1" spans="1:6">
      <c r="A62" s="10"/>
      <c r="B62" s="20" t="s">
        <v>111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151</v>
      </c>
      <c r="C64" s="21"/>
      <c r="D64" s="21"/>
      <c r="E64" s="246"/>
      <c r="F64" s="13"/>
    </row>
    <row r="65" customHeight="1" spans="1:6">
      <c r="A65" s="10">
        <v>1</v>
      </c>
      <c r="B65" s="11" t="s">
        <v>546</v>
      </c>
      <c r="C65" s="17" t="s">
        <v>547</v>
      </c>
      <c r="D65" s="10" t="s">
        <v>115</v>
      </c>
      <c r="E65" s="242">
        <v>225000</v>
      </c>
      <c r="F65" s="13"/>
    </row>
    <row r="66" customHeight="1" spans="1:6">
      <c r="A66" s="10">
        <v>2</v>
      </c>
      <c r="B66" s="18" t="s">
        <v>548</v>
      </c>
      <c r="C66" s="17" t="s">
        <v>549</v>
      </c>
      <c r="D66" s="15" t="s">
        <v>1202</v>
      </c>
      <c r="E66" s="242">
        <v>105000</v>
      </c>
      <c r="F66" s="13"/>
    </row>
    <row r="67" customHeight="1" spans="1:6">
      <c r="A67" s="10">
        <v>3</v>
      </c>
      <c r="B67" s="11" t="s">
        <v>155</v>
      </c>
      <c r="C67" s="4" t="s">
        <v>158</v>
      </c>
      <c r="D67" s="10" t="s">
        <v>460</v>
      </c>
      <c r="E67" s="242">
        <v>75000</v>
      </c>
      <c r="F67" s="13"/>
    </row>
    <row r="68" customHeight="1" spans="1:6">
      <c r="A68" s="10">
        <v>4</v>
      </c>
      <c r="B68" s="18" t="s">
        <v>550</v>
      </c>
      <c r="C68" s="17" t="s">
        <v>158</v>
      </c>
      <c r="D68" s="15" t="s">
        <v>1201</v>
      </c>
      <c r="E68" s="242">
        <v>75000</v>
      </c>
      <c r="F68" s="13"/>
    </row>
    <row r="69" customHeight="1" spans="1:6">
      <c r="A69" s="10">
        <v>5</v>
      </c>
      <c r="B69" s="14" t="s">
        <v>551</v>
      </c>
      <c r="C69" s="17" t="s">
        <v>156</v>
      </c>
      <c r="D69" s="15" t="s">
        <v>178</v>
      </c>
      <c r="E69" s="242">
        <v>75000</v>
      </c>
      <c r="F69" s="13"/>
    </row>
    <row r="70" customHeight="1" spans="1:6">
      <c r="A70" s="10">
        <v>6</v>
      </c>
      <c r="B70" s="14" t="s">
        <v>42</v>
      </c>
      <c r="C70" s="17" t="s">
        <v>156</v>
      </c>
      <c r="D70" s="15" t="s">
        <v>46</v>
      </c>
      <c r="E70" s="242">
        <v>75000</v>
      </c>
      <c r="F70" s="13"/>
    </row>
    <row r="71" customHeight="1" spans="1:6">
      <c r="A71" s="10">
        <v>7</v>
      </c>
      <c r="B71" s="11" t="s">
        <v>161</v>
      </c>
      <c r="C71" s="4" t="s">
        <v>139</v>
      </c>
      <c r="D71" s="10" t="s">
        <v>137</v>
      </c>
      <c r="E71" s="242">
        <v>45000</v>
      </c>
      <c r="F71" s="13"/>
    </row>
    <row r="72" customHeight="1" spans="1:6">
      <c r="A72" s="10">
        <v>8</v>
      </c>
      <c r="B72" s="11" t="s">
        <v>1280</v>
      </c>
      <c r="C72" s="17" t="s">
        <v>70</v>
      </c>
      <c r="D72" s="15" t="s">
        <v>162</v>
      </c>
      <c r="E72" s="242">
        <v>45000</v>
      </c>
      <c r="F72" s="13"/>
    </row>
    <row r="73" customHeight="1" spans="1:6">
      <c r="A73" s="10">
        <v>9</v>
      </c>
      <c r="B73" s="11" t="s">
        <v>163</v>
      </c>
      <c r="C73" s="17" t="s">
        <v>70</v>
      </c>
      <c r="D73" s="15" t="s">
        <v>137</v>
      </c>
      <c r="E73" s="242">
        <v>45000</v>
      </c>
      <c r="F73" s="13"/>
    </row>
    <row r="74" customHeight="1" spans="1:6">
      <c r="A74" s="10">
        <v>10</v>
      </c>
      <c r="B74" s="11" t="s">
        <v>164</v>
      </c>
      <c r="C74" s="17" t="s">
        <v>70</v>
      </c>
      <c r="D74" s="15" t="s">
        <v>137</v>
      </c>
      <c r="E74" s="242">
        <v>45000</v>
      </c>
      <c r="F74" s="13"/>
    </row>
    <row r="75" customHeight="1" spans="1:6">
      <c r="A75" s="10">
        <v>11</v>
      </c>
      <c r="B75" s="11" t="s">
        <v>165</v>
      </c>
      <c r="C75" s="4" t="s">
        <v>166</v>
      </c>
      <c r="D75" s="10" t="s">
        <v>68</v>
      </c>
      <c r="E75" s="242">
        <v>45000</v>
      </c>
      <c r="F75" s="13"/>
    </row>
    <row r="76" customHeight="1" spans="1:6">
      <c r="A76" s="10">
        <v>12</v>
      </c>
      <c r="B76" s="11" t="s">
        <v>1361</v>
      </c>
      <c r="C76" s="17" t="s">
        <v>139</v>
      </c>
      <c r="D76" s="10" t="s">
        <v>76</v>
      </c>
      <c r="E76" s="242">
        <v>45000</v>
      </c>
      <c r="F76" s="13"/>
    </row>
    <row r="77" customHeight="1" spans="1:6">
      <c r="A77" s="10">
        <v>13</v>
      </c>
      <c r="B77" s="11" t="s">
        <v>81</v>
      </c>
      <c r="C77" s="17" t="s">
        <v>67</v>
      </c>
      <c r="D77" s="10" t="s">
        <v>87</v>
      </c>
      <c r="E77" s="242">
        <v>45000</v>
      </c>
      <c r="F77" s="13"/>
    </row>
    <row r="78" customHeight="1" spans="1:6">
      <c r="A78" s="10">
        <v>14</v>
      </c>
      <c r="B78" s="14" t="s">
        <v>66</v>
      </c>
      <c r="C78" s="17" t="s">
        <v>67</v>
      </c>
      <c r="D78" s="10" t="s">
        <v>105</v>
      </c>
      <c r="E78" s="242">
        <v>45000</v>
      </c>
      <c r="F78" s="13"/>
    </row>
    <row r="79" customHeight="1" spans="1:6">
      <c r="A79" s="10"/>
      <c r="B79" s="20" t="s">
        <v>111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169</v>
      </c>
      <c r="C81" s="21"/>
      <c r="D81" s="21"/>
      <c r="E81" s="246"/>
      <c r="F81" s="13"/>
    </row>
    <row r="82" customHeight="1" spans="1:6">
      <c r="A82" s="10">
        <v>1</v>
      </c>
      <c r="B82" s="11" t="s">
        <v>170</v>
      </c>
      <c r="C82" s="4" t="s">
        <v>171</v>
      </c>
      <c r="D82" s="10" t="s">
        <v>115</v>
      </c>
      <c r="E82" s="242">
        <v>225000</v>
      </c>
      <c r="F82" s="13"/>
    </row>
    <row r="83" customHeight="1" spans="1:6">
      <c r="A83" s="10">
        <v>2</v>
      </c>
      <c r="B83" s="14" t="s">
        <v>552</v>
      </c>
      <c r="C83" s="4" t="s">
        <v>553</v>
      </c>
      <c r="D83" s="15" t="s">
        <v>1202</v>
      </c>
      <c r="E83" s="242">
        <v>105000</v>
      </c>
      <c r="F83" s="13"/>
    </row>
    <row r="84" customHeight="1" spans="1:6">
      <c r="A84" s="10">
        <v>3</v>
      </c>
      <c r="B84" s="14" t="s">
        <v>1362</v>
      </c>
      <c r="C84" s="4" t="s">
        <v>1363</v>
      </c>
      <c r="D84" s="15" t="s">
        <v>1202</v>
      </c>
      <c r="E84" s="242">
        <v>105000</v>
      </c>
      <c r="F84" s="13"/>
    </row>
    <row r="85" customHeight="1" spans="1:6">
      <c r="A85" s="10">
        <v>4</v>
      </c>
      <c r="B85" s="11" t="s">
        <v>176</v>
      </c>
      <c r="C85" s="4" t="s">
        <v>1216</v>
      </c>
      <c r="D85" s="15" t="s">
        <v>460</v>
      </c>
      <c r="E85" s="242">
        <v>75000</v>
      </c>
      <c r="F85" s="13"/>
    </row>
    <row r="86" customHeight="1" spans="1:6">
      <c r="A86" s="10">
        <v>5</v>
      </c>
      <c r="B86" s="11" t="s">
        <v>183</v>
      </c>
      <c r="C86" s="4" t="s">
        <v>186</v>
      </c>
      <c r="D86" s="10" t="s">
        <v>76</v>
      </c>
      <c r="E86" s="242">
        <v>45000</v>
      </c>
      <c r="F86" s="13"/>
    </row>
    <row r="87" customHeight="1" spans="1:6">
      <c r="A87" s="10"/>
      <c r="B87" s="20" t="s">
        <v>111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189</v>
      </c>
      <c r="C89" s="25"/>
      <c r="D89" s="21"/>
      <c r="E89" s="242"/>
      <c r="F89" s="13"/>
    </row>
    <row r="90" customHeight="1" spans="1:6">
      <c r="A90" s="10">
        <v>1</v>
      </c>
      <c r="B90" s="11" t="s">
        <v>192</v>
      </c>
      <c r="C90" s="4" t="s">
        <v>130</v>
      </c>
      <c r="D90" s="10" t="s">
        <v>131</v>
      </c>
      <c r="E90" s="242">
        <v>105000</v>
      </c>
      <c r="F90" s="13"/>
    </row>
    <row r="91" customHeight="1" spans="1:6">
      <c r="A91" s="10">
        <v>2</v>
      </c>
      <c r="B91" s="11" t="s">
        <v>190</v>
      </c>
      <c r="C91" s="4" t="s">
        <v>130</v>
      </c>
      <c r="D91" s="10" t="s">
        <v>131</v>
      </c>
      <c r="E91" s="242">
        <v>105000</v>
      </c>
      <c r="F91" s="13"/>
    </row>
    <row r="92" customHeight="1" spans="1:6">
      <c r="A92" s="10">
        <v>3</v>
      </c>
      <c r="B92" s="14" t="s">
        <v>152</v>
      </c>
      <c r="C92" s="4" t="s">
        <v>156</v>
      </c>
      <c r="D92" s="10" t="s">
        <v>41</v>
      </c>
      <c r="E92" s="242">
        <v>75000</v>
      </c>
      <c r="F92" s="13"/>
    </row>
    <row r="93" customHeight="1" spans="1:6">
      <c r="A93" s="10">
        <v>4</v>
      </c>
      <c r="B93" s="11" t="s">
        <v>195</v>
      </c>
      <c r="C93" s="4" t="s">
        <v>45</v>
      </c>
      <c r="D93" s="10" t="s">
        <v>178</v>
      </c>
      <c r="E93" s="242">
        <v>75000</v>
      </c>
      <c r="F93" s="13"/>
    </row>
    <row r="94" ht="21.6" customHeight="1" spans="1:6">
      <c r="A94" s="10">
        <v>5</v>
      </c>
      <c r="B94" s="11" t="s">
        <v>196</v>
      </c>
      <c r="C94" s="4" t="s">
        <v>556</v>
      </c>
      <c r="D94" s="15" t="s">
        <v>460</v>
      </c>
      <c r="E94" s="242">
        <v>75000</v>
      </c>
      <c r="F94" s="13"/>
    </row>
    <row r="95" ht="21.6" customHeight="1" spans="1:6">
      <c r="A95" s="10">
        <v>6</v>
      </c>
      <c r="B95" s="11" t="s">
        <v>197</v>
      </c>
      <c r="C95" s="12" t="s">
        <v>158</v>
      </c>
      <c r="D95" s="15" t="s">
        <v>1201</v>
      </c>
      <c r="E95" s="242">
        <v>75000</v>
      </c>
      <c r="F95" s="13"/>
    </row>
    <row r="96" ht="21.6" customHeight="1" spans="1:6">
      <c r="A96" s="10">
        <v>7</v>
      </c>
      <c r="B96" s="11" t="s">
        <v>198</v>
      </c>
      <c r="C96" s="12" t="s">
        <v>158</v>
      </c>
      <c r="D96" s="15" t="s">
        <v>1201</v>
      </c>
      <c r="E96" s="242">
        <v>75000</v>
      </c>
      <c r="F96" s="13"/>
    </row>
    <row r="97" ht="21.6" customHeight="1" spans="1:6">
      <c r="A97" s="10">
        <v>8</v>
      </c>
      <c r="B97" s="11" t="s">
        <v>200</v>
      </c>
      <c r="C97" s="17" t="s">
        <v>70</v>
      </c>
      <c r="D97" s="15" t="s">
        <v>137</v>
      </c>
      <c r="E97" s="242">
        <v>45000</v>
      </c>
      <c r="F97" s="13"/>
    </row>
    <row r="98" ht="21.6" customHeight="1" spans="1:6">
      <c r="A98" s="10">
        <v>9</v>
      </c>
      <c r="B98" s="11" t="s">
        <v>204</v>
      </c>
      <c r="C98" s="4" t="s">
        <v>205</v>
      </c>
      <c r="D98" s="10" t="s">
        <v>73</v>
      </c>
      <c r="E98" s="242">
        <v>45000</v>
      </c>
      <c r="F98" s="13"/>
    </row>
    <row r="99" ht="21.6" customHeight="1" spans="1:6">
      <c r="A99" s="10">
        <v>10</v>
      </c>
      <c r="B99" s="11" t="s">
        <v>206</v>
      </c>
      <c r="C99" s="17" t="s">
        <v>207</v>
      </c>
      <c r="D99" s="15" t="s">
        <v>105</v>
      </c>
      <c r="E99" s="242">
        <v>45000</v>
      </c>
      <c r="F99" s="13"/>
    </row>
    <row r="100" customHeight="1" spans="1:6">
      <c r="A100" s="10"/>
      <c r="B100" s="20" t="s">
        <v>111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209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536</v>
      </c>
      <c r="C103" s="10" t="s">
        <v>537</v>
      </c>
      <c r="D103" s="15" t="s">
        <v>35</v>
      </c>
      <c r="E103" s="242">
        <v>150000</v>
      </c>
      <c r="F103" s="13"/>
    </row>
    <row r="104" customHeight="1" spans="1:6">
      <c r="A104" s="10">
        <v>2</v>
      </c>
      <c r="B104" s="11" t="s">
        <v>36</v>
      </c>
      <c r="C104" s="4" t="s">
        <v>214</v>
      </c>
      <c r="D104" s="10" t="s">
        <v>178</v>
      </c>
      <c r="E104" s="242">
        <v>75000</v>
      </c>
      <c r="F104" s="13"/>
    </row>
    <row r="105" customHeight="1" spans="1:6">
      <c r="A105" s="10">
        <v>3</v>
      </c>
      <c r="B105" s="11" t="s">
        <v>219</v>
      </c>
      <c r="C105" s="4" t="s">
        <v>220</v>
      </c>
      <c r="D105" s="15" t="s">
        <v>68</v>
      </c>
      <c r="E105" s="242">
        <v>45000</v>
      </c>
      <c r="F105" s="13"/>
    </row>
    <row r="106" customHeight="1" spans="1:6">
      <c r="A106" s="10">
        <v>4</v>
      </c>
      <c r="B106" s="11" t="s">
        <v>1364</v>
      </c>
      <c r="C106" s="4" t="s">
        <v>1365</v>
      </c>
      <c r="D106" s="15" t="s">
        <v>208</v>
      </c>
      <c r="E106" s="242">
        <v>45000</v>
      </c>
      <c r="F106" s="13"/>
    </row>
    <row r="107" customHeight="1" spans="1:6">
      <c r="A107" s="4"/>
      <c r="B107" s="20" t="s">
        <v>111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223</v>
      </c>
      <c r="C109" s="4"/>
      <c r="D109" s="4"/>
      <c r="E109" s="247"/>
      <c r="F109" s="13"/>
    </row>
    <row r="110" customHeight="1" spans="1:6">
      <c r="A110" s="4">
        <v>1</v>
      </c>
      <c r="B110" s="11" t="s">
        <v>224</v>
      </c>
      <c r="C110" s="12" t="s">
        <v>225</v>
      </c>
      <c r="D110" s="15" t="s">
        <v>115</v>
      </c>
      <c r="E110" s="242">
        <v>225000</v>
      </c>
      <c r="F110" s="13"/>
    </row>
    <row r="111" customHeight="1" spans="1:6">
      <c r="A111" s="4">
        <v>2</v>
      </c>
      <c r="B111" s="11" t="s">
        <v>226</v>
      </c>
      <c r="C111" s="4" t="s">
        <v>227</v>
      </c>
      <c r="D111" s="16" t="s">
        <v>35</v>
      </c>
      <c r="E111" s="242">
        <v>150000</v>
      </c>
      <c r="F111" s="13"/>
    </row>
    <row r="112" customHeight="1" spans="1:6">
      <c r="A112" s="4">
        <v>3</v>
      </c>
      <c r="B112" s="11" t="s">
        <v>228</v>
      </c>
      <c r="C112" s="4" t="s">
        <v>442</v>
      </c>
      <c r="D112" s="10" t="s">
        <v>52</v>
      </c>
      <c r="E112" s="242">
        <v>75000</v>
      </c>
      <c r="F112" s="13"/>
    </row>
    <row r="113" customHeight="1" spans="1:6">
      <c r="A113" s="4">
        <v>4</v>
      </c>
      <c r="B113" s="11" t="s">
        <v>231</v>
      </c>
      <c r="C113" s="4" t="s">
        <v>442</v>
      </c>
      <c r="D113" s="10" t="s">
        <v>52</v>
      </c>
      <c r="E113" s="242">
        <v>75000</v>
      </c>
      <c r="F113" s="13"/>
    </row>
    <row r="114" customHeight="1" spans="1:6">
      <c r="A114" s="4">
        <v>5</v>
      </c>
      <c r="B114" s="11" t="s">
        <v>232</v>
      </c>
      <c r="C114" s="4" t="s">
        <v>233</v>
      </c>
      <c r="D114" s="15" t="s">
        <v>558</v>
      </c>
      <c r="E114" s="242">
        <v>45000</v>
      </c>
      <c r="F114" s="13"/>
    </row>
    <row r="115" customHeight="1" spans="1:6">
      <c r="A115" s="4">
        <v>6</v>
      </c>
      <c r="B115" s="18" t="s">
        <v>235</v>
      </c>
      <c r="C115" s="4" t="s">
        <v>233</v>
      </c>
      <c r="D115" s="10" t="s">
        <v>208</v>
      </c>
      <c r="E115" s="242">
        <v>45000</v>
      </c>
      <c r="F115" s="13"/>
    </row>
    <row r="116" customHeight="1" spans="1:6">
      <c r="A116" s="4">
        <v>7</v>
      </c>
      <c r="B116" s="18" t="s">
        <v>236</v>
      </c>
      <c r="C116" s="4" t="s">
        <v>233</v>
      </c>
      <c r="D116" s="15" t="s">
        <v>105</v>
      </c>
      <c r="E116" s="242">
        <v>45000</v>
      </c>
      <c r="F116" s="13"/>
    </row>
    <row r="117" customHeight="1" spans="1:6">
      <c r="A117" s="4"/>
      <c r="B117" s="20" t="s">
        <v>111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252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253</v>
      </c>
      <c r="C120" s="12" t="s">
        <v>254</v>
      </c>
      <c r="D120" s="15" t="s">
        <v>115</v>
      </c>
      <c r="E120" s="242">
        <v>225000</v>
      </c>
      <c r="F120" s="13"/>
    </row>
    <row r="121" customHeight="1" spans="1:6">
      <c r="A121" s="4">
        <v>2</v>
      </c>
      <c r="B121" s="11" t="s">
        <v>255</v>
      </c>
      <c r="C121" s="12" t="s">
        <v>258</v>
      </c>
      <c r="D121" s="15" t="s">
        <v>131</v>
      </c>
      <c r="E121" s="242">
        <v>105000</v>
      </c>
      <c r="F121" s="13"/>
    </row>
    <row r="122" customHeight="1" spans="1:6">
      <c r="A122" s="4">
        <v>3</v>
      </c>
      <c r="B122" s="14" t="s">
        <v>257</v>
      </c>
      <c r="C122" s="12" t="s">
        <v>258</v>
      </c>
      <c r="D122" s="15" t="s">
        <v>131</v>
      </c>
      <c r="E122" s="242">
        <v>105000</v>
      </c>
      <c r="F122" s="13"/>
    </row>
    <row r="123" customHeight="1" spans="1:6">
      <c r="A123" s="4">
        <v>4</v>
      </c>
      <c r="B123" s="14" t="s">
        <v>560</v>
      </c>
      <c r="C123" s="12" t="s">
        <v>258</v>
      </c>
      <c r="D123" s="15" t="s">
        <v>49</v>
      </c>
      <c r="E123" s="242">
        <v>105000</v>
      </c>
      <c r="F123" s="13"/>
    </row>
    <row r="124" customHeight="1" spans="1:6">
      <c r="A124" s="4">
        <v>5</v>
      </c>
      <c r="B124" s="11" t="s">
        <v>259</v>
      </c>
      <c r="C124" s="12" t="s">
        <v>260</v>
      </c>
      <c r="D124" s="15" t="s">
        <v>46</v>
      </c>
      <c r="E124" s="242">
        <v>75000</v>
      </c>
      <c r="F124" s="13"/>
    </row>
    <row r="125" customHeight="1" spans="1:6">
      <c r="A125" s="4">
        <v>6</v>
      </c>
      <c r="B125" s="11" t="s">
        <v>261</v>
      </c>
      <c r="C125" s="12" t="s">
        <v>495</v>
      </c>
      <c r="D125" s="15" t="s">
        <v>460</v>
      </c>
      <c r="E125" s="242">
        <v>75000</v>
      </c>
      <c r="F125" s="13"/>
    </row>
    <row r="126" customHeight="1" spans="1:6">
      <c r="A126" s="4">
        <v>7</v>
      </c>
      <c r="B126" s="11" t="s">
        <v>262</v>
      </c>
      <c r="C126" s="12" t="s">
        <v>1218</v>
      </c>
      <c r="D126" s="15" t="s">
        <v>460</v>
      </c>
      <c r="E126" s="242">
        <v>75000</v>
      </c>
      <c r="F126" s="13"/>
    </row>
    <row r="127" customHeight="1" spans="1:6">
      <c r="A127" s="4">
        <v>8</v>
      </c>
      <c r="B127" s="11" t="s">
        <v>265</v>
      </c>
      <c r="C127" s="12" t="s">
        <v>266</v>
      </c>
      <c r="D127" s="10" t="s">
        <v>87</v>
      </c>
      <c r="E127" s="242">
        <v>45000</v>
      </c>
      <c r="F127" s="13"/>
    </row>
    <row r="128" customHeight="1" spans="1:6">
      <c r="A128" s="4">
        <v>9</v>
      </c>
      <c r="B128" s="18" t="s">
        <v>267</v>
      </c>
      <c r="C128" s="12" t="s">
        <v>268</v>
      </c>
      <c r="D128" s="15" t="s">
        <v>105</v>
      </c>
      <c r="E128" s="242">
        <v>45000</v>
      </c>
      <c r="F128" s="13"/>
    </row>
    <row r="129" customHeight="1" spans="1:6">
      <c r="A129" s="4"/>
      <c r="B129" s="20" t="s">
        <v>111</v>
      </c>
      <c r="C129" s="26" t="s">
        <v>1366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272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561</v>
      </c>
      <c r="C132" s="12" t="s">
        <v>562</v>
      </c>
      <c r="D132" s="15" t="s">
        <v>115</v>
      </c>
      <c r="E132" s="242">
        <v>225000</v>
      </c>
      <c r="F132" s="13"/>
    </row>
    <row r="133" customHeight="1" spans="1:6">
      <c r="A133" s="27">
        <v>2</v>
      </c>
      <c r="B133" s="11" t="s">
        <v>563</v>
      </c>
      <c r="C133" s="12" t="s">
        <v>564</v>
      </c>
      <c r="D133" s="15" t="s">
        <v>154</v>
      </c>
      <c r="E133" s="242">
        <v>150000</v>
      </c>
      <c r="F133" s="13"/>
    </row>
    <row r="134" customHeight="1" spans="1:6">
      <c r="A134" s="27">
        <v>3</v>
      </c>
      <c r="B134" s="14" t="s">
        <v>276</v>
      </c>
      <c r="C134" s="4" t="s">
        <v>277</v>
      </c>
      <c r="D134" s="16" t="s">
        <v>35</v>
      </c>
      <c r="E134" s="242">
        <v>150000</v>
      </c>
      <c r="F134" s="13"/>
    </row>
    <row r="135" customHeight="1" spans="1:6">
      <c r="A135" s="27">
        <v>4</v>
      </c>
      <c r="B135" s="11" t="s">
        <v>278</v>
      </c>
      <c r="C135" s="12" t="s">
        <v>565</v>
      </c>
      <c r="D135" s="15" t="s">
        <v>178</v>
      </c>
      <c r="E135" s="242">
        <v>75000</v>
      </c>
      <c r="F135" s="13"/>
    </row>
    <row r="136" customHeight="1" spans="1:6">
      <c r="A136" s="27">
        <v>5</v>
      </c>
      <c r="B136" s="11" t="s">
        <v>280</v>
      </c>
      <c r="C136" s="4" t="s">
        <v>566</v>
      </c>
      <c r="D136" s="15" t="s">
        <v>178</v>
      </c>
      <c r="E136" s="242">
        <v>75000</v>
      </c>
      <c r="F136" s="13"/>
    </row>
    <row r="137" customHeight="1" spans="1:6">
      <c r="A137" s="27">
        <v>6</v>
      </c>
      <c r="B137" s="11" t="s">
        <v>213</v>
      </c>
      <c r="C137" s="4" t="s">
        <v>568</v>
      </c>
      <c r="D137" s="15" t="s">
        <v>460</v>
      </c>
      <c r="E137" s="242">
        <v>75000</v>
      </c>
      <c r="F137" s="13"/>
    </row>
    <row r="138" customHeight="1" spans="1:6">
      <c r="A138" s="27">
        <v>7</v>
      </c>
      <c r="B138" s="11" t="s">
        <v>215</v>
      </c>
      <c r="C138" s="12" t="s">
        <v>567</v>
      </c>
      <c r="D138" s="15" t="s">
        <v>162</v>
      </c>
      <c r="E138" s="242">
        <v>45000</v>
      </c>
      <c r="F138" s="13"/>
    </row>
    <row r="139" customHeight="1" spans="1:6">
      <c r="A139" s="27">
        <v>8</v>
      </c>
      <c r="B139" s="11" t="s">
        <v>283</v>
      </c>
      <c r="C139" s="12" t="s">
        <v>567</v>
      </c>
      <c r="D139" s="15" t="s">
        <v>162</v>
      </c>
      <c r="E139" s="242">
        <v>45000</v>
      </c>
      <c r="F139" s="13"/>
    </row>
    <row r="140" customHeight="1" spans="1:6">
      <c r="A140" s="27">
        <v>9</v>
      </c>
      <c r="B140" s="11" t="s">
        <v>284</v>
      </c>
      <c r="C140" s="4" t="s">
        <v>568</v>
      </c>
      <c r="D140" s="15" t="s">
        <v>162</v>
      </c>
      <c r="E140" s="242">
        <v>45000</v>
      </c>
      <c r="F140" s="13"/>
    </row>
    <row r="141" customHeight="1" spans="1:6">
      <c r="A141" s="27">
        <v>10</v>
      </c>
      <c r="B141" s="11" t="s">
        <v>286</v>
      </c>
      <c r="C141" s="12" t="s">
        <v>569</v>
      </c>
      <c r="D141" s="15" t="s">
        <v>68</v>
      </c>
      <c r="E141" s="242">
        <v>45000</v>
      </c>
      <c r="F141" s="13"/>
    </row>
    <row r="142" customHeight="1" spans="1:6">
      <c r="A142" s="27">
        <v>11</v>
      </c>
      <c r="B142" s="11" t="s">
        <v>288</v>
      </c>
      <c r="C142" s="12" t="s">
        <v>1220</v>
      </c>
      <c r="D142" s="15" t="s">
        <v>302</v>
      </c>
      <c r="E142" s="242">
        <v>45000</v>
      </c>
      <c r="F142" s="13"/>
    </row>
    <row r="143" customHeight="1" spans="1:6">
      <c r="A143" s="27">
        <v>12</v>
      </c>
      <c r="B143" s="11" t="s">
        <v>60</v>
      </c>
      <c r="C143" s="12" t="s">
        <v>569</v>
      </c>
      <c r="D143" s="15" t="s">
        <v>162</v>
      </c>
      <c r="E143" s="242">
        <v>45000</v>
      </c>
      <c r="F143" s="13"/>
    </row>
    <row r="144" customHeight="1" spans="1:6">
      <c r="A144" s="27">
        <v>13</v>
      </c>
      <c r="B144" s="18" t="s">
        <v>290</v>
      </c>
      <c r="C144" s="4" t="s">
        <v>299</v>
      </c>
      <c r="D144" s="15" t="s">
        <v>302</v>
      </c>
      <c r="E144" s="242">
        <v>45000</v>
      </c>
      <c r="F144" s="13"/>
    </row>
    <row r="145" customHeight="1" spans="1:6">
      <c r="A145" s="27">
        <v>14</v>
      </c>
      <c r="B145" s="11" t="s">
        <v>292</v>
      </c>
      <c r="C145" s="4" t="s">
        <v>570</v>
      </c>
      <c r="D145" s="15" t="s">
        <v>76</v>
      </c>
      <c r="E145" s="242">
        <v>45000</v>
      </c>
      <c r="F145" s="13"/>
    </row>
    <row r="146" customHeight="1" spans="1:6">
      <c r="A146" s="27">
        <v>15</v>
      </c>
      <c r="B146" s="11" t="s">
        <v>293</v>
      </c>
      <c r="C146" s="4" t="s">
        <v>570</v>
      </c>
      <c r="D146" s="15" t="s">
        <v>119</v>
      </c>
      <c r="E146" s="242">
        <v>45000</v>
      </c>
      <c r="F146" s="13"/>
    </row>
    <row r="147" customHeight="1" spans="1:6">
      <c r="A147" s="27">
        <v>16</v>
      </c>
      <c r="B147" s="11" t="s">
        <v>295</v>
      </c>
      <c r="C147" s="4" t="s">
        <v>570</v>
      </c>
      <c r="D147" s="15" t="s">
        <v>119</v>
      </c>
      <c r="E147" s="242">
        <v>45000</v>
      </c>
      <c r="F147" s="13"/>
    </row>
    <row r="148" customHeight="1" spans="1:6">
      <c r="A148" s="27">
        <v>17</v>
      </c>
      <c r="B148" s="11" t="s">
        <v>296</v>
      </c>
      <c r="C148" s="12" t="s">
        <v>297</v>
      </c>
      <c r="D148" s="15" t="s">
        <v>73</v>
      </c>
      <c r="E148" s="242">
        <v>45000</v>
      </c>
      <c r="F148" s="13"/>
    </row>
    <row r="149" customHeight="1" spans="1:6">
      <c r="A149" s="27">
        <v>18</v>
      </c>
      <c r="B149" s="11" t="s">
        <v>1203</v>
      </c>
      <c r="C149" s="12" t="s">
        <v>299</v>
      </c>
      <c r="D149" s="10" t="s">
        <v>96</v>
      </c>
      <c r="E149" s="242">
        <v>45000</v>
      </c>
      <c r="F149" s="13"/>
    </row>
    <row r="150" customHeight="1" spans="1:6">
      <c r="A150" s="27">
        <v>19</v>
      </c>
      <c r="B150" s="11" t="s">
        <v>300</v>
      </c>
      <c r="C150" s="12" t="s">
        <v>301</v>
      </c>
      <c r="D150" s="15" t="s">
        <v>76</v>
      </c>
      <c r="E150" s="242">
        <v>45000</v>
      </c>
      <c r="F150" s="13"/>
    </row>
    <row r="151" customHeight="1" spans="1:6">
      <c r="A151" s="27">
        <v>20</v>
      </c>
      <c r="B151" s="11" t="s">
        <v>303</v>
      </c>
      <c r="C151" s="12" t="s">
        <v>304</v>
      </c>
      <c r="D151" s="15" t="s">
        <v>87</v>
      </c>
      <c r="E151" s="242">
        <v>45000</v>
      </c>
      <c r="F151" s="13"/>
    </row>
    <row r="152" customHeight="1" spans="1:6">
      <c r="A152" s="27">
        <v>21</v>
      </c>
      <c r="B152" s="11" t="s">
        <v>305</v>
      </c>
      <c r="C152" s="12" t="s">
        <v>306</v>
      </c>
      <c r="D152" s="15" t="s">
        <v>76</v>
      </c>
      <c r="E152" s="242">
        <v>45000</v>
      </c>
      <c r="F152" s="13"/>
    </row>
    <row r="153" customHeight="1" spans="1:6">
      <c r="A153" s="27">
        <v>22</v>
      </c>
      <c r="B153" s="11" t="s">
        <v>307</v>
      </c>
      <c r="C153" s="12" t="s">
        <v>308</v>
      </c>
      <c r="D153" s="15" t="s">
        <v>87</v>
      </c>
      <c r="E153" s="242">
        <v>45000</v>
      </c>
      <c r="F153" s="13"/>
    </row>
    <row r="154" customHeight="1" spans="1:6">
      <c r="A154" s="27">
        <v>23</v>
      </c>
      <c r="B154" s="18" t="s">
        <v>309</v>
      </c>
      <c r="C154" s="12" t="s">
        <v>317</v>
      </c>
      <c r="D154" s="15" t="s">
        <v>208</v>
      </c>
      <c r="E154" s="242">
        <v>45000</v>
      </c>
      <c r="F154" s="13"/>
    </row>
    <row r="155" customHeight="1" spans="1:6">
      <c r="A155" s="27">
        <v>24</v>
      </c>
      <c r="B155" s="18" t="s">
        <v>314</v>
      </c>
      <c r="C155" s="12" t="s">
        <v>315</v>
      </c>
      <c r="D155" s="15" t="s">
        <v>108</v>
      </c>
      <c r="E155" s="242">
        <v>45000</v>
      </c>
      <c r="F155" s="13"/>
    </row>
    <row r="156" customHeight="1" spans="1:6">
      <c r="A156" s="27">
        <v>25</v>
      </c>
      <c r="B156" s="18" t="s">
        <v>316</v>
      </c>
      <c r="C156" s="12" t="s">
        <v>317</v>
      </c>
      <c r="D156" s="15" t="s">
        <v>108</v>
      </c>
      <c r="E156" s="242">
        <v>45000</v>
      </c>
      <c r="F156" s="13"/>
    </row>
    <row r="157" customHeight="1" spans="1:6">
      <c r="A157" s="27">
        <v>26</v>
      </c>
      <c r="B157" s="18" t="s">
        <v>318</v>
      </c>
      <c r="C157" s="12" t="s">
        <v>319</v>
      </c>
      <c r="D157" s="15" t="s">
        <v>105</v>
      </c>
      <c r="E157" s="242">
        <v>45000</v>
      </c>
      <c r="F157" s="13"/>
    </row>
    <row r="158" customHeight="1" spans="1:6">
      <c r="A158" s="27">
        <v>27</v>
      </c>
      <c r="B158" s="18" t="s">
        <v>320</v>
      </c>
      <c r="C158" s="12" t="s">
        <v>321</v>
      </c>
      <c r="D158" s="15" t="s">
        <v>105</v>
      </c>
      <c r="E158" s="242">
        <v>45000</v>
      </c>
      <c r="F158" s="13"/>
    </row>
    <row r="159" customHeight="1" spans="1:6">
      <c r="A159" s="27">
        <v>28</v>
      </c>
      <c r="B159" s="11" t="s">
        <v>331</v>
      </c>
      <c r="C159" s="12" t="s">
        <v>332</v>
      </c>
      <c r="D159" s="15" t="s">
        <v>350</v>
      </c>
      <c r="E159" s="242">
        <v>30000</v>
      </c>
      <c r="F159" s="13"/>
    </row>
    <row r="160" customHeight="1" spans="1:6">
      <c r="A160" s="27">
        <v>29</v>
      </c>
      <c r="B160" s="11" t="s">
        <v>334</v>
      </c>
      <c r="C160" s="12" t="s">
        <v>332</v>
      </c>
      <c r="D160" s="15" t="s">
        <v>350</v>
      </c>
      <c r="E160" s="242">
        <v>30000</v>
      </c>
      <c r="F160" s="13"/>
    </row>
    <row r="161" customHeight="1" spans="1:6">
      <c r="A161" s="27">
        <v>30</v>
      </c>
      <c r="B161" s="11" t="s">
        <v>335</v>
      </c>
      <c r="C161" s="12" t="s">
        <v>332</v>
      </c>
      <c r="D161" s="15" t="s">
        <v>350</v>
      </c>
      <c r="E161" s="242">
        <v>30000</v>
      </c>
      <c r="F161" s="13"/>
    </row>
    <row r="162" customHeight="1" spans="1:6">
      <c r="A162" s="27">
        <v>32</v>
      </c>
      <c r="B162" s="11" t="s">
        <v>336</v>
      </c>
      <c r="C162" s="12" t="s">
        <v>332</v>
      </c>
      <c r="D162" s="15" t="s">
        <v>350</v>
      </c>
      <c r="E162" s="242">
        <v>30000</v>
      </c>
      <c r="F162" s="13"/>
    </row>
    <row r="163" customHeight="1" spans="1:6">
      <c r="A163" s="27">
        <v>33</v>
      </c>
      <c r="B163" s="11" t="s">
        <v>337</v>
      </c>
      <c r="C163" s="12" t="s">
        <v>332</v>
      </c>
      <c r="D163" s="15" t="s">
        <v>350</v>
      </c>
      <c r="E163" s="242">
        <v>30000</v>
      </c>
      <c r="F163" s="13"/>
    </row>
    <row r="164" customHeight="1" spans="1:6">
      <c r="A164" s="27">
        <v>34</v>
      </c>
      <c r="B164" s="11" t="s">
        <v>338</v>
      </c>
      <c r="C164" s="12" t="s">
        <v>332</v>
      </c>
      <c r="D164" s="15" t="s">
        <v>347</v>
      </c>
      <c r="E164" s="242">
        <v>30000</v>
      </c>
      <c r="F164" s="13"/>
    </row>
    <row r="165" customHeight="1" spans="1:6">
      <c r="A165" s="27">
        <v>35</v>
      </c>
      <c r="B165" s="11" t="s">
        <v>340</v>
      </c>
      <c r="C165" s="12" t="s">
        <v>332</v>
      </c>
      <c r="D165" s="15" t="s">
        <v>347</v>
      </c>
      <c r="E165" s="242">
        <v>30000</v>
      </c>
      <c r="F165" s="13"/>
    </row>
    <row r="166" customHeight="1" spans="1:6">
      <c r="A166" s="27">
        <v>36</v>
      </c>
      <c r="B166" s="11" t="s">
        <v>1367</v>
      </c>
      <c r="C166" s="12" t="s">
        <v>332</v>
      </c>
      <c r="D166" s="15" t="s">
        <v>347</v>
      </c>
      <c r="E166" s="242">
        <v>30000</v>
      </c>
      <c r="F166" s="13"/>
    </row>
    <row r="167" customHeight="1" spans="1:6">
      <c r="A167" s="27">
        <v>37</v>
      </c>
      <c r="B167" s="14" t="s">
        <v>341</v>
      </c>
      <c r="C167" s="12" t="s">
        <v>332</v>
      </c>
      <c r="D167" s="15" t="s">
        <v>347</v>
      </c>
      <c r="E167" s="242">
        <v>30000</v>
      </c>
      <c r="F167" s="13"/>
    </row>
    <row r="168" customHeight="1" spans="1:6">
      <c r="A168" s="27">
        <v>38</v>
      </c>
      <c r="B168" s="11" t="s">
        <v>342</v>
      </c>
      <c r="C168" s="12" t="s">
        <v>332</v>
      </c>
      <c r="D168" s="15" t="s">
        <v>347</v>
      </c>
      <c r="E168" s="242">
        <v>30000</v>
      </c>
      <c r="F168" s="13"/>
    </row>
    <row r="169" customHeight="1" spans="1:6">
      <c r="A169" s="27">
        <v>39</v>
      </c>
      <c r="B169" s="18" t="s">
        <v>343</v>
      </c>
      <c r="C169" s="12" t="s">
        <v>332</v>
      </c>
      <c r="D169" s="15" t="s">
        <v>347</v>
      </c>
      <c r="E169" s="242">
        <v>30000</v>
      </c>
      <c r="F169" s="13"/>
    </row>
    <row r="170" customHeight="1" spans="1:6">
      <c r="A170" s="27">
        <v>40</v>
      </c>
      <c r="B170" s="18" t="s">
        <v>344</v>
      </c>
      <c r="C170" s="12" t="s">
        <v>332</v>
      </c>
      <c r="D170" s="15" t="s">
        <v>347</v>
      </c>
      <c r="E170" s="242">
        <v>30000</v>
      </c>
      <c r="F170" s="13"/>
    </row>
    <row r="171" customHeight="1" spans="1:6">
      <c r="A171" s="27">
        <v>41</v>
      </c>
      <c r="B171" s="11" t="s">
        <v>345</v>
      </c>
      <c r="C171" s="12" t="s">
        <v>352</v>
      </c>
      <c r="D171" s="15" t="s">
        <v>356</v>
      </c>
      <c r="E171" s="242">
        <v>30000</v>
      </c>
      <c r="F171" s="13"/>
    </row>
    <row r="172" customHeight="1" spans="1:6">
      <c r="A172" s="27">
        <v>42</v>
      </c>
      <c r="B172" s="11" t="s">
        <v>348</v>
      </c>
      <c r="C172" s="12" t="s">
        <v>352</v>
      </c>
      <c r="D172" s="15" t="s">
        <v>356</v>
      </c>
      <c r="E172" s="242">
        <v>30000</v>
      </c>
      <c r="F172" s="13"/>
    </row>
    <row r="173" customHeight="1" spans="1:6">
      <c r="A173" s="27">
        <v>43</v>
      </c>
      <c r="B173" s="18" t="s">
        <v>349</v>
      </c>
      <c r="C173" s="12" t="s">
        <v>352</v>
      </c>
      <c r="D173" s="15" t="s">
        <v>1199</v>
      </c>
      <c r="E173" s="242">
        <v>30000</v>
      </c>
      <c r="F173" s="13"/>
    </row>
    <row r="174" customHeight="1" spans="1:6">
      <c r="A174" s="27">
        <v>44</v>
      </c>
      <c r="B174" s="11" t="s">
        <v>351</v>
      </c>
      <c r="C174" s="12" t="s">
        <v>352</v>
      </c>
      <c r="D174" s="15" t="s">
        <v>1204</v>
      </c>
      <c r="E174" s="242">
        <v>30000</v>
      </c>
      <c r="F174" s="13"/>
    </row>
    <row r="175" customHeight="1" spans="1:6">
      <c r="A175" s="27">
        <v>45</v>
      </c>
      <c r="B175" s="11" t="s">
        <v>354</v>
      </c>
      <c r="C175" s="12" t="s">
        <v>355</v>
      </c>
      <c r="D175" s="15" t="s">
        <v>1205</v>
      </c>
      <c r="E175" s="242">
        <v>30000</v>
      </c>
      <c r="F175" s="13"/>
    </row>
    <row r="176" customHeight="1" spans="1:6">
      <c r="A176" s="27">
        <v>46</v>
      </c>
      <c r="B176" s="11" t="s">
        <v>357</v>
      </c>
      <c r="C176" s="12" t="s">
        <v>355</v>
      </c>
      <c r="D176" s="15" t="s">
        <v>1205</v>
      </c>
      <c r="E176" s="242">
        <v>30000</v>
      </c>
      <c r="F176" s="13"/>
    </row>
    <row r="177" customHeight="1" spans="1:6">
      <c r="A177" s="27">
        <v>47</v>
      </c>
      <c r="B177" s="11" t="s">
        <v>358</v>
      </c>
      <c r="C177" s="12" t="s">
        <v>355</v>
      </c>
      <c r="D177" s="15" t="s">
        <v>1205</v>
      </c>
      <c r="E177" s="242">
        <v>30000</v>
      </c>
      <c r="F177" s="13"/>
    </row>
    <row r="178" customHeight="1" spans="1:6">
      <c r="A178" s="27">
        <v>48</v>
      </c>
      <c r="B178" s="11" t="s">
        <v>359</v>
      </c>
      <c r="C178" s="12" t="s">
        <v>355</v>
      </c>
      <c r="D178" s="15" t="s">
        <v>1205</v>
      </c>
      <c r="E178" s="242">
        <v>30000</v>
      </c>
      <c r="F178" s="13"/>
    </row>
    <row r="179" customHeight="1" spans="1:6">
      <c r="A179" s="27">
        <v>49</v>
      </c>
      <c r="B179" s="11" t="s">
        <v>360</v>
      </c>
      <c r="C179" s="12" t="s">
        <v>355</v>
      </c>
      <c r="D179" s="15" t="s">
        <v>1205</v>
      </c>
      <c r="E179" s="242">
        <v>30000</v>
      </c>
      <c r="F179" s="13"/>
    </row>
    <row r="180" customHeight="1" spans="1:6">
      <c r="A180" s="27">
        <v>50</v>
      </c>
      <c r="B180" s="18" t="s">
        <v>361</v>
      </c>
      <c r="C180" s="12" t="s">
        <v>355</v>
      </c>
      <c r="D180" s="15" t="s">
        <v>1205</v>
      </c>
      <c r="E180" s="242">
        <v>30000</v>
      </c>
      <c r="F180" s="13"/>
    </row>
    <row r="181" customHeight="1" spans="1:6">
      <c r="A181" s="27">
        <v>51</v>
      </c>
      <c r="B181" s="18" t="s">
        <v>362</v>
      </c>
      <c r="C181" s="12" t="s">
        <v>355</v>
      </c>
      <c r="D181" s="15" t="s">
        <v>1205</v>
      </c>
      <c r="E181" s="242">
        <v>30000</v>
      </c>
      <c r="F181" s="13"/>
    </row>
    <row r="182" customHeight="1" spans="1:6">
      <c r="A182" s="27">
        <v>52</v>
      </c>
      <c r="B182" s="11" t="s">
        <v>499</v>
      </c>
      <c r="C182" s="12" t="s">
        <v>352</v>
      </c>
      <c r="D182" s="15" t="s">
        <v>1205</v>
      </c>
      <c r="E182" s="242">
        <v>30000</v>
      </c>
      <c r="F182" s="13"/>
    </row>
    <row r="183" customHeight="1" spans="1:6">
      <c r="A183" s="27">
        <v>53</v>
      </c>
      <c r="B183" s="11" t="s">
        <v>363</v>
      </c>
      <c r="C183" s="12" t="s">
        <v>352</v>
      </c>
      <c r="D183" s="15" t="s">
        <v>1205</v>
      </c>
      <c r="E183" s="242">
        <v>30000</v>
      </c>
      <c r="F183" s="13"/>
    </row>
    <row r="184" customHeight="1" spans="1:6">
      <c r="A184" s="27">
        <v>54</v>
      </c>
      <c r="B184" s="18" t="s">
        <v>364</v>
      </c>
      <c r="C184" s="12" t="s">
        <v>355</v>
      </c>
      <c r="D184" s="15" t="s">
        <v>1221</v>
      </c>
      <c r="E184" s="242">
        <v>30000</v>
      </c>
      <c r="F184" s="13"/>
    </row>
    <row r="185" customHeight="1" spans="1:6">
      <c r="A185" s="27">
        <v>55</v>
      </c>
      <c r="B185" s="18" t="s">
        <v>369</v>
      </c>
      <c r="C185" s="12" t="s">
        <v>355</v>
      </c>
      <c r="D185" s="15" t="s">
        <v>373</v>
      </c>
      <c r="E185" s="242">
        <v>30000</v>
      </c>
      <c r="F185" s="13"/>
    </row>
    <row r="186" customHeight="1" spans="1:6">
      <c r="A186" s="27"/>
      <c r="B186" s="8" t="s">
        <v>111</v>
      </c>
      <c r="C186" s="28" t="s">
        <v>1368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381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1351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642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1263</v>
      </c>
      <c r="C8" s="4" t="s">
        <v>1352</v>
      </c>
      <c r="D8" s="10" t="s">
        <v>154</v>
      </c>
      <c r="E8" s="242">
        <v>150000</v>
      </c>
      <c r="F8" s="13"/>
    </row>
    <row r="9" customHeight="1" spans="1:6">
      <c r="A9" s="10">
        <v>3</v>
      </c>
      <c r="B9" s="14" t="s">
        <v>1353</v>
      </c>
      <c r="C9" s="4" t="s">
        <v>1354</v>
      </c>
      <c r="D9" s="10" t="s">
        <v>154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210</v>
      </c>
      <c r="C12" s="4" t="s">
        <v>1265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273</v>
      </c>
      <c r="C14" s="4" t="s">
        <v>535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538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172</v>
      </c>
      <c r="C16" s="12" t="s">
        <v>555</v>
      </c>
      <c r="D16" s="10" t="s">
        <v>554</v>
      </c>
      <c r="E16" s="242">
        <v>105000</v>
      </c>
      <c r="F16" s="13"/>
    </row>
    <row r="17" customHeight="1" spans="1:6">
      <c r="A17" s="10">
        <v>11</v>
      </c>
      <c r="B17" s="19" t="s">
        <v>1355</v>
      </c>
      <c r="C17" s="4" t="s">
        <v>1356</v>
      </c>
      <c r="D17" s="16" t="s">
        <v>178</v>
      </c>
      <c r="E17" s="242">
        <v>75000</v>
      </c>
      <c r="F17" s="13"/>
    </row>
    <row r="18" ht="19.5" customHeight="1" spans="1:6">
      <c r="A18" s="10">
        <v>12</v>
      </c>
      <c r="B18" s="14" t="s">
        <v>1266</v>
      </c>
      <c r="C18" s="4" t="s">
        <v>40</v>
      </c>
      <c r="D18" s="10" t="s">
        <v>178</v>
      </c>
      <c r="E18" s="242">
        <v>75000</v>
      </c>
      <c r="F18" s="13"/>
    </row>
    <row r="19" ht="19.5" customHeight="1" spans="1:6">
      <c r="A19" s="10">
        <v>13</v>
      </c>
      <c r="B19" s="14" t="s">
        <v>1357</v>
      </c>
      <c r="C19" s="4" t="s">
        <v>1358</v>
      </c>
      <c r="D19" s="10" t="s">
        <v>178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40</v>
      </c>
      <c r="D20" s="15" t="s">
        <v>178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1201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58</v>
      </c>
      <c r="E22" s="242">
        <v>75000</v>
      </c>
      <c r="F22" s="13"/>
    </row>
    <row r="23" customHeight="1" spans="1:6">
      <c r="A23" s="10">
        <v>17</v>
      </c>
      <c r="B23" s="11" t="s">
        <v>179</v>
      </c>
      <c r="C23" s="12" t="s">
        <v>559</v>
      </c>
      <c r="D23" s="15" t="s">
        <v>162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64</v>
      </c>
      <c r="D24" s="15" t="s">
        <v>68</v>
      </c>
      <c r="E24" s="242">
        <v>45000</v>
      </c>
      <c r="F24" s="13"/>
    </row>
    <row r="25" ht="18.75" customHeight="1" spans="1:6">
      <c r="A25" s="10">
        <v>19</v>
      </c>
      <c r="B25" s="18" t="s">
        <v>1359</v>
      </c>
      <c r="C25" s="12" t="s">
        <v>101</v>
      </c>
      <c r="D25" s="15" t="s">
        <v>119</v>
      </c>
      <c r="E25" s="242">
        <v>45000</v>
      </c>
      <c r="F25" s="13"/>
    </row>
    <row r="26" ht="18.75" customHeight="1" spans="1:6">
      <c r="A26" s="10">
        <v>20</v>
      </c>
      <c r="B26" s="4" t="s">
        <v>77</v>
      </c>
      <c r="C26" s="4" t="s">
        <v>78</v>
      </c>
      <c r="D26" s="10" t="s">
        <v>87</v>
      </c>
      <c r="E26" s="242">
        <v>45000</v>
      </c>
      <c r="F26" s="13"/>
    </row>
    <row r="27" ht="18.75" customHeight="1" spans="1:6">
      <c r="A27" s="10">
        <v>21</v>
      </c>
      <c r="B27" s="18" t="s">
        <v>80</v>
      </c>
      <c r="C27" s="12" t="s">
        <v>78</v>
      </c>
      <c r="D27" s="15" t="s">
        <v>87</v>
      </c>
      <c r="E27" s="242">
        <v>45000</v>
      </c>
      <c r="F27" s="13"/>
    </row>
    <row r="28" ht="18.75" customHeight="1" spans="1:6">
      <c r="A28" s="10">
        <v>22</v>
      </c>
      <c r="B28" s="11" t="s">
        <v>1267</v>
      </c>
      <c r="C28" s="12" t="s">
        <v>1268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8" t="s">
        <v>82</v>
      </c>
      <c r="C29" s="12" t="s">
        <v>1215</v>
      </c>
      <c r="D29" s="15" t="s">
        <v>208</v>
      </c>
      <c r="E29" s="242">
        <v>45000</v>
      </c>
      <c r="F29" s="13"/>
    </row>
    <row r="30" ht="18.75" customHeight="1" spans="1:6">
      <c r="A30" s="10">
        <v>24</v>
      </c>
      <c r="B30" s="18" t="s">
        <v>85</v>
      </c>
      <c r="C30" s="4" t="s">
        <v>1269</v>
      </c>
      <c r="D30" s="10" t="s">
        <v>208</v>
      </c>
      <c r="E30" s="242">
        <v>45000</v>
      </c>
      <c r="F30" s="13"/>
    </row>
    <row r="31" ht="18.75" customHeight="1" spans="1:6">
      <c r="A31" s="10">
        <v>25</v>
      </c>
      <c r="B31" s="18" t="s">
        <v>89</v>
      </c>
      <c r="C31" s="17" t="s">
        <v>90</v>
      </c>
      <c r="D31" s="15" t="s">
        <v>87</v>
      </c>
      <c r="E31" s="242">
        <v>45000</v>
      </c>
      <c r="F31" s="13"/>
    </row>
    <row r="32" ht="18.75" customHeight="1" spans="1:6">
      <c r="A32" s="10">
        <v>26</v>
      </c>
      <c r="B32" s="18" t="s">
        <v>92</v>
      </c>
      <c r="C32" s="4" t="s">
        <v>93</v>
      </c>
      <c r="D32" s="10" t="s">
        <v>105</v>
      </c>
      <c r="E32" s="242">
        <v>45000</v>
      </c>
      <c r="F32" s="13"/>
    </row>
    <row r="33" ht="18.75" customHeight="1" spans="1:6">
      <c r="A33" s="10">
        <v>27</v>
      </c>
      <c r="B33" s="18" t="s">
        <v>1193</v>
      </c>
      <c r="C33" s="12" t="s">
        <v>101</v>
      </c>
      <c r="D33" s="15" t="s">
        <v>105</v>
      </c>
      <c r="E33" s="242">
        <v>45000</v>
      </c>
      <c r="F33" s="13"/>
    </row>
    <row r="34" ht="18.75" customHeight="1" spans="1:6">
      <c r="A34" s="10">
        <v>28</v>
      </c>
      <c r="B34" s="18" t="s">
        <v>1360</v>
      </c>
      <c r="C34" s="12" t="s">
        <v>101</v>
      </c>
      <c r="D34" s="15" t="s">
        <v>105</v>
      </c>
      <c r="E34" s="242">
        <v>45000</v>
      </c>
      <c r="F34" s="13"/>
    </row>
    <row r="35" ht="18.75" customHeight="1" spans="1:6">
      <c r="A35" s="10">
        <v>29</v>
      </c>
      <c r="B35" s="18" t="s">
        <v>269</v>
      </c>
      <c r="C35" s="12" t="s">
        <v>264</v>
      </c>
      <c r="D35" s="15" t="s">
        <v>108</v>
      </c>
      <c r="E35" s="242">
        <v>45000</v>
      </c>
      <c r="F35" s="13"/>
    </row>
    <row r="36" ht="26.25" customHeight="1" spans="1:6">
      <c r="A36" s="10"/>
      <c r="B36" s="20" t="s">
        <v>111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112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113</v>
      </c>
      <c r="C39" s="4" t="s">
        <v>114</v>
      </c>
      <c r="D39" s="10" t="s">
        <v>115</v>
      </c>
      <c r="E39" s="242">
        <v>225000</v>
      </c>
      <c r="F39" s="13"/>
    </row>
    <row r="40" ht="18.75" customHeight="1" spans="1:6">
      <c r="A40" s="10">
        <v>2</v>
      </c>
      <c r="B40" s="18" t="s">
        <v>116</v>
      </c>
      <c r="C40" s="4" t="s">
        <v>802</v>
      </c>
      <c r="D40" s="10" t="s">
        <v>108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125</v>
      </c>
      <c r="C43" s="5"/>
      <c r="D43" s="24"/>
      <c r="E43" s="242"/>
      <c r="F43" s="13"/>
    </row>
    <row r="44" customHeight="1" spans="1:6">
      <c r="A44" s="10">
        <v>1</v>
      </c>
      <c r="B44" s="11" t="s">
        <v>541</v>
      </c>
      <c r="C44" s="4" t="s">
        <v>542</v>
      </c>
      <c r="D44" s="10" t="s">
        <v>115</v>
      </c>
      <c r="E44" s="242">
        <v>225000</v>
      </c>
      <c r="F44" s="13"/>
    </row>
    <row r="45" customHeight="1" spans="1:6">
      <c r="A45" s="10">
        <v>2</v>
      </c>
      <c r="B45" s="11" t="s">
        <v>543</v>
      </c>
      <c r="C45" s="4" t="s">
        <v>43</v>
      </c>
      <c r="D45" s="10" t="s">
        <v>131</v>
      </c>
      <c r="E45" s="242">
        <v>105000</v>
      </c>
      <c r="F45" s="13"/>
    </row>
    <row r="46" customHeight="1" spans="1:6">
      <c r="A46" s="10">
        <v>3</v>
      </c>
      <c r="B46" s="11" t="s">
        <v>126</v>
      </c>
      <c r="C46" s="4" t="s">
        <v>130</v>
      </c>
      <c r="D46" s="10" t="s">
        <v>131</v>
      </c>
      <c r="E46" s="242">
        <v>105000</v>
      </c>
      <c r="F46" s="13"/>
    </row>
    <row r="47" customHeight="1" spans="1:6">
      <c r="A47" s="10">
        <v>4</v>
      </c>
      <c r="B47" s="11" t="s">
        <v>129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5</v>
      </c>
      <c r="B48" s="11" t="s">
        <v>132</v>
      </c>
      <c r="C48" s="4" t="s">
        <v>130</v>
      </c>
      <c r="D48" s="10" t="s">
        <v>38</v>
      </c>
      <c r="E48" s="242">
        <v>105000</v>
      </c>
      <c r="F48" s="13"/>
    </row>
    <row r="49" customHeight="1" spans="1:6">
      <c r="A49" s="10">
        <v>6</v>
      </c>
      <c r="B49" s="11" t="s">
        <v>133</v>
      </c>
      <c r="C49" s="4" t="s">
        <v>45</v>
      </c>
      <c r="D49" s="10" t="s">
        <v>178</v>
      </c>
      <c r="E49" s="242">
        <v>75000</v>
      </c>
      <c r="F49" s="13"/>
    </row>
    <row r="50" customHeight="1" spans="1:6">
      <c r="A50" s="10">
        <v>7</v>
      </c>
      <c r="B50" s="14" t="s">
        <v>134</v>
      </c>
      <c r="C50" s="4" t="s">
        <v>156</v>
      </c>
      <c r="D50" s="16" t="s">
        <v>178</v>
      </c>
      <c r="E50" s="242">
        <v>75000</v>
      </c>
      <c r="F50" s="13"/>
    </row>
    <row r="51" customHeight="1" spans="1:6">
      <c r="A51" s="10">
        <v>8</v>
      </c>
      <c r="B51" s="11" t="s">
        <v>1272</v>
      </c>
      <c r="C51" s="4" t="s">
        <v>156</v>
      </c>
      <c r="D51" s="10" t="s">
        <v>46</v>
      </c>
      <c r="E51" s="242">
        <v>75000</v>
      </c>
      <c r="F51" s="13"/>
    </row>
    <row r="52" customHeight="1" spans="1:6">
      <c r="A52" s="10">
        <v>9</v>
      </c>
      <c r="B52" s="11" t="s">
        <v>44</v>
      </c>
      <c r="C52" s="4" t="s">
        <v>556</v>
      </c>
      <c r="D52" s="10" t="s">
        <v>460</v>
      </c>
      <c r="E52" s="242">
        <v>75000</v>
      </c>
      <c r="F52" s="13"/>
    </row>
    <row r="53" customHeight="1" spans="1:6">
      <c r="A53" s="10">
        <v>10</v>
      </c>
      <c r="B53" s="11" t="s">
        <v>142</v>
      </c>
      <c r="C53" s="4" t="s">
        <v>139</v>
      </c>
      <c r="D53" s="10" t="s">
        <v>96</v>
      </c>
      <c r="E53" s="242">
        <v>45000</v>
      </c>
      <c r="F53" s="13"/>
    </row>
    <row r="54" customHeight="1" spans="1:6">
      <c r="A54" s="10">
        <v>11</v>
      </c>
      <c r="B54" s="11" t="s">
        <v>544</v>
      </c>
      <c r="C54" s="4" t="s">
        <v>139</v>
      </c>
      <c r="D54" s="10" t="s">
        <v>96</v>
      </c>
      <c r="E54" s="242">
        <v>45000</v>
      </c>
      <c r="F54" s="13"/>
    </row>
    <row r="55" customHeight="1" spans="1:6">
      <c r="A55" s="10">
        <v>12</v>
      </c>
      <c r="B55" s="11" t="s">
        <v>143</v>
      </c>
      <c r="C55" s="4" t="s">
        <v>139</v>
      </c>
      <c r="D55" s="10" t="s">
        <v>96</v>
      </c>
      <c r="E55" s="242">
        <v>45000</v>
      </c>
      <c r="F55" s="13"/>
    </row>
    <row r="56" ht="25.5" customHeight="1" spans="1:6">
      <c r="A56" s="10"/>
      <c r="B56" s="20" t="s">
        <v>111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145</v>
      </c>
      <c r="C58" s="21"/>
      <c r="D58" s="21"/>
      <c r="E58" s="246"/>
      <c r="F58" s="13"/>
    </row>
    <row r="59" customHeight="1" spans="1:6">
      <c r="A59" s="10">
        <v>1</v>
      </c>
      <c r="B59" s="11" t="s">
        <v>545</v>
      </c>
      <c r="C59" s="12" t="s">
        <v>147</v>
      </c>
      <c r="D59" s="15" t="s">
        <v>115</v>
      </c>
      <c r="E59" s="242">
        <v>225000</v>
      </c>
      <c r="F59" s="13"/>
    </row>
    <row r="60" customHeight="1" spans="1:6">
      <c r="A60" s="10">
        <v>2</v>
      </c>
      <c r="B60" s="11" t="s">
        <v>148</v>
      </c>
      <c r="C60" s="12" t="s">
        <v>149</v>
      </c>
      <c r="D60" s="15" t="s">
        <v>554</v>
      </c>
      <c r="E60" s="242">
        <v>105000</v>
      </c>
      <c r="F60" s="13"/>
    </row>
    <row r="61" customHeight="1" spans="1:6">
      <c r="A61" s="10"/>
      <c r="B61" s="20" t="s">
        <v>111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151</v>
      </c>
      <c r="C63" s="21"/>
      <c r="D63" s="21"/>
      <c r="E63" s="246"/>
      <c r="F63" s="13"/>
    </row>
    <row r="64" customHeight="1" spans="1:6">
      <c r="A64" s="10">
        <v>1</v>
      </c>
      <c r="B64" s="11" t="s">
        <v>546</v>
      </c>
      <c r="C64" s="17" t="s">
        <v>547</v>
      </c>
      <c r="D64" s="10" t="s">
        <v>115</v>
      </c>
      <c r="E64" s="242">
        <v>225000</v>
      </c>
      <c r="F64" s="13"/>
    </row>
    <row r="65" customHeight="1" spans="1:6">
      <c r="A65" s="10">
        <v>2</v>
      </c>
      <c r="B65" s="18" t="s">
        <v>548</v>
      </c>
      <c r="C65" s="17" t="s">
        <v>549</v>
      </c>
      <c r="D65" s="15" t="s">
        <v>1202</v>
      </c>
      <c r="E65" s="242">
        <v>105000</v>
      </c>
      <c r="F65" s="13"/>
    </row>
    <row r="66" customHeight="1" spans="1:6">
      <c r="A66" s="10">
        <v>3</v>
      </c>
      <c r="B66" s="11" t="s">
        <v>155</v>
      </c>
      <c r="C66" s="4" t="s">
        <v>158</v>
      </c>
      <c r="D66" s="10" t="s">
        <v>460</v>
      </c>
      <c r="E66" s="242">
        <v>75000</v>
      </c>
      <c r="F66" s="13"/>
    </row>
    <row r="67" customHeight="1" spans="1:6">
      <c r="A67" s="10">
        <v>4</v>
      </c>
      <c r="B67" s="18" t="s">
        <v>550</v>
      </c>
      <c r="C67" s="17" t="s">
        <v>158</v>
      </c>
      <c r="D67" s="15" t="s">
        <v>1201</v>
      </c>
      <c r="E67" s="242">
        <v>75000</v>
      </c>
      <c r="F67" s="13"/>
    </row>
    <row r="68" customHeight="1" spans="1:6">
      <c r="A68" s="10">
        <v>5</v>
      </c>
      <c r="B68" s="14" t="s">
        <v>551</v>
      </c>
      <c r="C68" s="17" t="s">
        <v>156</v>
      </c>
      <c r="D68" s="15" t="s">
        <v>178</v>
      </c>
      <c r="E68" s="242">
        <v>75000</v>
      </c>
      <c r="F68" s="13"/>
    </row>
    <row r="69" customHeight="1" spans="1:6">
      <c r="A69" s="10">
        <v>6</v>
      </c>
      <c r="B69" s="14" t="s">
        <v>42</v>
      </c>
      <c r="C69" s="17" t="s">
        <v>156</v>
      </c>
      <c r="D69" s="15" t="s">
        <v>46</v>
      </c>
      <c r="E69" s="242">
        <v>75000</v>
      </c>
      <c r="F69" s="13"/>
    </row>
    <row r="70" customHeight="1" spans="1:6">
      <c r="A70" s="10">
        <v>7</v>
      </c>
      <c r="B70" s="11" t="s">
        <v>161</v>
      </c>
      <c r="C70" s="4" t="s">
        <v>139</v>
      </c>
      <c r="D70" s="10" t="s">
        <v>137</v>
      </c>
      <c r="E70" s="242">
        <v>45000</v>
      </c>
      <c r="F70" s="13"/>
    </row>
    <row r="71" customHeight="1" spans="1:6">
      <c r="A71" s="10">
        <v>8</v>
      </c>
      <c r="B71" s="11" t="s">
        <v>163</v>
      </c>
      <c r="C71" s="17" t="s">
        <v>70</v>
      </c>
      <c r="D71" s="15" t="s">
        <v>137</v>
      </c>
      <c r="E71" s="242">
        <v>45000</v>
      </c>
      <c r="F71" s="13"/>
    </row>
    <row r="72" customHeight="1" spans="1:6">
      <c r="A72" s="10">
        <v>9</v>
      </c>
      <c r="B72" s="11" t="s">
        <v>164</v>
      </c>
      <c r="C72" s="17" t="s">
        <v>70</v>
      </c>
      <c r="D72" s="15" t="s">
        <v>137</v>
      </c>
      <c r="E72" s="242">
        <v>45000</v>
      </c>
      <c r="F72" s="13"/>
    </row>
    <row r="73" customHeight="1" spans="1:6">
      <c r="A73" s="10">
        <v>10</v>
      </c>
      <c r="B73" s="11" t="s">
        <v>165</v>
      </c>
      <c r="C73" s="4" t="s">
        <v>166</v>
      </c>
      <c r="D73" s="10" t="s">
        <v>68</v>
      </c>
      <c r="E73" s="242">
        <v>45000</v>
      </c>
      <c r="F73" s="13"/>
    </row>
    <row r="74" customHeight="1" spans="1:6">
      <c r="A74" s="10">
        <v>11</v>
      </c>
      <c r="B74" s="11" t="s">
        <v>1361</v>
      </c>
      <c r="C74" s="17" t="s">
        <v>139</v>
      </c>
      <c r="D74" s="10" t="s">
        <v>76</v>
      </c>
      <c r="E74" s="242">
        <v>45000</v>
      </c>
      <c r="F74" s="13"/>
    </row>
    <row r="75" customHeight="1" spans="1:6">
      <c r="A75" s="10">
        <v>12</v>
      </c>
      <c r="B75" s="11" t="s">
        <v>81</v>
      </c>
      <c r="C75" s="17" t="s">
        <v>67</v>
      </c>
      <c r="D75" s="10" t="s">
        <v>87</v>
      </c>
      <c r="E75" s="242">
        <v>45000</v>
      </c>
      <c r="F75" s="13"/>
    </row>
    <row r="76" customHeight="1" spans="1:6">
      <c r="A76" s="10">
        <v>13</v>
      </c>
      <c r="B76" s="14" t="s">
        <v>66</v>
      </c>
      <c r="C76" s="17" t="s">
        <v>67</v>
      </c>
      <c r="D76" s="10" t="s">
        <v>105</v>
      </c>
      <c r="E76" s="242">
        <v>45000</v>
      </c>
      <c r="F76" s="13"/>
    </row>
    <row r="77" customHeight="1" spans="1:6">
      <c r="A77" s="10"/>
      <c r="B77" s="20" t="s">
        <v>111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169</v>
      </c>
      <c r="C79" s="21"/>
      <c r="D79" s="21"/>
      <c r="E79" s="246"/>
      <c r="F79" s="13"/>
    </row>
    <row r="80" customHeight="1" spans="1:6">
      <c r="A80" s="10">
        <v>1</v>
      </c>
      <c r="B80" s="11" t="s">
        <v>170</v>
      </c>
      <c r="C80" s="4" t="s">
        <v>171</v>
      </c>
      <c r="D80" s="10" t="s">
        <v>115</v>
      </c>
      <c r="E80" s="242">
        <v>225000</v>
      </c>
      <c r="F80" s="13"/>
    </row>
    <row r="81" customHeight="1" spans="1:6">
      <c r="A81" s="10">
        <v>2</v>
      </c>
      <c r="B81" s="14" t="s">
        <v>552</v>
      </c>
      <c r="C81" s="4" t="s">
        <v>553</v>
      </c>
      <c r="D81" s="15" t="s">
        <v>1202</v>
      </c>
      <c r="E81" s="242">
        <v>105000</v>
      </c>
      <c r="F81" s="13"/>
    </row>
    <row r="82" customHeight="1" spans="1:6">
      <c r="A82" s="10">
        <v>3</v>
      </c>
      <c r="B82" s="14" t="s">
        <v>1362</v>
      </c>
      <c r="C82" s="4" t="s">
        <v>1363</v>
      </c>
      <c r="D82" s="15" t="s">
        <v>1202</v>
      </c>
      <c r="E82" s="242">
        <v>105000</v>
      </c>
      <c r="F82" s="13"/>
    </row>
    <row r="83" customHeight="1" spans="1:6">
      <c r="A83" s="10">
        <v>4</v>
      </c>
      <c r="B83" s="11" t="s">
        <v>176</v>
      </c>
      <c r="C83" s="4" t="s">
        <v>1216</v>
      </c>
      <c r="D83" s="15" t="s">
        <v>460</v>
      </c>
      <c r="E83" s="242">
        <v>75000</v>
      </c>
      <c r="F83" s="13"/>
    </row>
    <row r="84" customHeight="1" spans="1:6">
      <c r="A84" s="10">
        <v>5</v>
      </c>
      <c r="B84" s="11" t="s">
        <v>183</v>
      </c>
      <c r="C84" s="4" t="s">
        <v>186</v>
      </c>
      <c r="D84" s="10" t="s">
        <v>76</v>
      </c>
      <c r="E84" s="242">
        <v>45000</v>
      </c>
      <c r="F84" s="13"/>
    </row>
    <row r="85" customHeight="1" spans="1:6">
      <c r="A85" s="10"/>
      <c r="B85" s="20" t="s">
        <v>111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189</v>
      </c>
      <c r="C87" s="25"/>
      <c r="D87" s="21"/>
      <c r="E87" s="242"/>
      <c r="F87" s="13"/>
    </row>
    <row r="88" customHeight="1" spans="1:6">
      <c r="A88" s="10">
        <v>1</v>
      </c>
      <c r="B88" s="11" t="s">
        <v>192</v>
      </c>
      <c r="C88" s="4" t="s">
        <v>130</v>
      </c>
      <c r="D88" s="10" t="s">
        <v>131</v>
      </c>
      <c r="E88" s="242">
        <v>105000</v>
      </c>
      <c r="F88" s="13"/>
    </row>
    <row r="89" customHeight="1" spans="1:6">
      <c r="A89" s="10">
        <v>2</v>
      </c>
      <c r="B89" s="11" t="s">
        <v>190</v>
      </c>
      <c r="C89" s="4" t="s">
        <v>130</v>
      </c>
      <c r="D89" s="10" t="s">
        <v>131</v>
      </c>
      <c r="E89" s="242">
        <v>105000</v>
      </c>
      <c r="F89" s="13"/>
    </row>
    <row r="90" customHeight="1" spans="1:6">
      <c r="A90" s="10">
        <v>3</v>
      </c>
      <c r="B90" s="14" t="s">
        <v>152</v>
      </c>
      <c r="C90" s="4" t="s">
        <v>156</v>
      </c>
      <c r="D90" s="10" t="s">
        <v>41</v>
      </c>
      <c r="E90" s="242">
        <v>75000</v>
      </c>
      <c r="F90" s="13"/>
    </row>
    <row r="91" customHeight="1" spans="1:6">
      <c r="A91" s="10">
        <v>4</v>
      </c>
      <c r="B91" s="11" t="s">
        <v>195</v>
      </c>
      <c r="C91" s="4" t="s">
        <v>45</v>
      </c>
      <c r="D91" s="10" t="s">
        <v>178</v>
      </c>
      <c r="E91" s="242">
        <v>75000</v>
      </c>
      <c r="F91" s="13"/>
    </row>
    <row r="92" ht="21.6" customHeight="1" spans="1:6">
      <c r="A92" s="10">
        <v>5</v>
      </c>
      <c r="B92" s="11" t="s">
        <v>196</v>
      </c>
      <c r="C92" s="4" t="s">
        <v>556</v>
      </c>
      <c r="D92" s="15" t="s">
        <v>460</v>
      </c>
      <c r="E92" s="242">
        <v>75000</v>
      </c>
      <c r="F92" s="13"/>
    </row>
    <row r="93" ht="21.6" customHeight="1" spans="1:6">
      <c r="A93" s="10">
        <v>6</v>
      </c>
      <c r="B93" s="11" t="s">
        <v>197</v>
      </c>
      <c r="C93" s="12" t="s">
        <v>158</v>
      </c>
      <c r="D93" s="15" t="s">
        <v>1201</v>
      </c>
      <c r="E93" s="242">
        <v>75000</v>
      </c>
      <c r="F93" s="13"/>
    </row>
    <row r="94" ht="21.6" customHeight="1" spans="1:6">
      <c r="A94" s="10">
        <v>7</v>
      </c>
      <c r="B94" s="11" t="s">
        <v>198</v>
      </c>
      <c r="C94" s="12" t="s">
        <v>158</v>
      </c>
      <c r="D94" s="15" t="s">
        <v>1201</v>
      </c>
      <c r="E94" s="242">
        <v>75000</v>
      </c>
      <c r="F94" s="13"/>
    </row>
    <row r="95" ht="21.6" customHeight="1" spans="1:6">
      <c r="A95" s="10">
        <v>8</v>
      </c>
      <c r="B95" s="11" t="s">
        <v>200</v>
      </c>
      <c r="C95" s="17" t="s">
        <v>70</v>
      </c>
      <c r="D95" s="15" t="s">
        <v>137</v>
      </c>
      <c r="E95" s="242">
        <v>45000</v>
      </c>
      <c r="F95" s="13"/>
    </row>
    <row r="96" ht="21.6" customHeight="1" spans="1:6">
      <c r="A96" s="10">
        <v>9</v>
      </c>
      <c r="B96" s="11" t="s">
        <v>204</v>
      </c>
      <c r="C96" s="4" t="s">
        <v>205</v>
      </c>
      <c r="D96" s="10" t="s">
        <v>73</v>
      </c>
      <c r="E96" s="242">
        <v>45000</v>
      </c>
      <c r="F96" s="13"/>
    </row>
    <row r="97" ht="21.6" customHeight="1" spans="1:6">
      <c r="A97" s="10">
        <v>10</v>
      </c>
      <c r="B97" s="11" t="s">
        <v>206</v>
      </c>
      <c r="C97" s="17" t="s">
        <v>207</v>
      </c>
      <c r="D97" s="15" t="s">
        <v>105</v>
      </c>
      <c r="E97" s="242">
        <v>45000</v>
      </c>
      <c r="F97" s="13"/>
    </row>
    <row r="98" customHeight="1" spans="1:6">
      <c r="A98" s="10"/>
      <c r="B98" s="20" t="s">
        <v>111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209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536</v>
      </c>
      <c r="C101" s="10" t="s">
        <v>537</v>
      </c>
      <c r="D101" s="15" t="s">
        <v>35</v>
      </c>
      <c r="E101" s="242">
        <v>150000</v>
      </c>
      <c r="F101" s="13"/>
    </row>
    <row r="102" customHeight="1" spans="1:6">
      <c r="A102" s="10">
        <v>2</v>
      </c>
      <c r="B102" s="11" t="s">
        <v>36</v>
      </c>
      <c r="C102" s="4" t="s">
        <v>214</v>
      </c>
      <c r="D102" s="10" t="s">
        <v>178</v>
      </c>
      <c r="E102" s="242">
        <v>75000</v>
      </c>
      <c r="F102" s="13"/>
    </row>
    <row r="103" customHeight="1" spans="1:6">
      <c r="A103" s="10">
        <v>3</v>
      </c>
      <c r="B103" s="11" t="s">
        <v>219</v>
      </c>
      <c r="C103" s="4" t="s">
        <v>220</v>
      </c>
      <c r="D103" s="15" t="s">
        <v>68</v>
      </c>
      <c r="E103" s="242">
        <v>45000</v>
      </c>
      <c r="F103" s="13"/>
    </row>
    <row r="104" customHeight="1" spans="1:6">
      <c r="A104" s="10">
        <v>4</v>
      </c>
      <c r="B104" s="11" t="s">
        <v>1364</v>
      </c>
      <c r="C104" s="4" t="s">
        <v>1365</v>
      </c>
      <c r="D104" s="15" t="s">
        <v>208</v>
      </c>
      <c r="E104" s="242">
        <v>45000</v>
      </c>
      <c r="F104" s="13"/>
    </row>
    <row r="105" customHeight="1" spans="1:6">
      <c r="A105" s="4"/>
      <c r="B105" s="20" t="s">
        <v>111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223</v>
      </c>
      <c r="C107" s="4"/>
      <c r="D107" s="4"/>
      <c r="E107" s="247"/>
      <c r="F107" s="13"/>
    </row>
    <row r="108" customHeight="1" spans="1:6">
      <c r="A108" s="4">
        <v>1</v>
      </c>
      <c r="B108" s="11" t="s">
        <v>224</v>
      </c>
      <c r="C108" s="12" t="s">
        <v>225</v>
      </c>
      <c r="D108" s="15" t="s">
        <v>115</v>
      </c>
      <c r="E108" s="242">
        <v>225000</v>
      </c>
      <c r="F108" s="13"/>
    </row>
    <row r="109" customHeight="1" spans="1:6">
      <c r="A109" s="4">
        <v>2</v>
      </c>
      <c r="B109" s="11" t="s">
        <v>226</v>
      </c>
      <c r="C109" s="4" t="s">
        <v>227</v>
      </c>
      <c r="D109" s="16" t="s">
        <v>35</v>
      </c>
      <c r="E109" s="242">
        <v>150000</v>
      </c>
      <c r="F109" s="13"/>
    </row>
    <row r="110" customHeight="1" spans="1:6">
      <c r="A110" s="4">
        <v>3</v>
      </c>
      <c r="B110" s="11" t="s">
        <v>228</v>
      </c>
      <c r="C110" s="4" t="s">
        <v>442</v>
      </c>
      <c r="D110" s="10" t="s">
        <v>52</v>
      </c>
      <c r="E110" s="242">
        <v>75000</v>
      </c>
      <c r="F110" s="13"/>
    </row>
    <row r="111" customHeight="1" spans="1:6">
      <c r="A111" s="4">
        <v>4</v>
      </c>
      <c r="B111" s="11" t="s">
        <v>231</v>
      </c>
      <c r="C111" s="4" t="s">
        <v>442</v>
      </c>
      <c r="D111" s="10" t="s">
        <v>52</v>
      </c>
      <c r="E111" s="242">
        <v>75000</v>
      </c>
      <c r="F111" s="13"/>
    </row>
    <row r="112" customHeight="1" spans="1:6">
      <c r="A112" s="4">
        <v>5</v>
      </c>
      <c r="B112" s="11" t="s">
        <v>232</v>
      </c>
      <c r="C112" s="4" t="s">
        <v>233</v>
      </c>
      <c r="D112" s="15" t="s">
        <v>558</v>
      </c>
      <c r="E112" s="242">
        <v>45000</v>
      </c>
      <c r="F112" s="13"/>
    </row>
    <row r="113" customHeight="1" spans="1:6">
      <c r="A113" s="4">
        <v>6</v>
      </c>
      <c r="B113" s="18" t="s">
        <v>235</v>
      </c>
      <c r="C113" s="4" t="s">
        <v>233</v>
      </c>
      <c r="D113" s="10" t="s">
        <v>208</v>
      </c>
      <c r="E113" s="242">
        <v>45000</v>
      </c>
      <c r="F113" s="13"/>
    </row>
    <row r="114" customHeight="1" spans="1:6">
      <c r="A114" s="4">
        <v>7</v>
      </c>
      <c r="B114" s="18" t="s">
        <v>236</v>
      </c>
      <c r="C114" s="4" t="s">
        <v>233</v>
      </c>
      <c r="D114" s="15" t="s">
        <v>105</v>
      </c>
      <c r="E114" s="242">
        <v>45000</v>
      </c>
      <c r="F114" s="13"/>
    </row>
    <row r="115" customHeight="1" spans="1:6">
      <c r="A115" s="4"/>
      <c r="B115" s="20" t="s">
        <v>111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1369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1280</v>
      </c>
      <c r="C118" s="17" t="s">
        <v>70</v>
      </c>
      <c r="D118" s="15" t="s">
        <v>162</v>
      </c>
      <c r="E118" s="242">
        <v>45000</v>
      </c>
      <c r="F118" s="13"/>
    </row>
    <row r="119" ht="27" customHeight="1" spans="1:6">
      <c r="A119" s="10">
        <v>2</v>
      </c>
      <c r="B119" s="11" t="s">
        <v>238</v>
      </c>
      <c r="C119" s="4" t="s">
        <v>239</v>
      </c>
      <c r="D119" s="15" t="s">
        <v>68</v>
      </c>
      <c r="E119" s="242">
        <v>45000</v>
      </c>
      <c r="F119" s="13"/>
    </row>
    <row r="120" ht="27" customHeight="1" spans="1:6">
      <c r="A120" s="4"/>
      <c r="B120" s="20" t="s">
        <v>111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252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253</v>
      </c>
      <c r="C123" s="12" t="s">
        <v>254</v>
      </c>
      <c r="D123" s="15" t="s">
        <v>115</v>
      </c>
      <c r="E123" s="242">
        <v>225000</v>
      </c>
      <c r="F123" s="13"/>
    </row>
    <row r="124" customHeight="1" spans="1:6">
      <c r="A124" s="4">
        <v>2</v>
      </c>
      <c r="B124" s="11" t="s">
        <v>255</v>
      </c>
      <c r="C124" s="12" t="s">
        <v>258</v>
      </c>
      <c r="D124" s="15" t="s">
        <v>131</v>
      </c>
      <c r="E124" s="242">
        <v>105000</v>
      </c>
      <c r="F124" s="13"/>
    </row>
    <row r="125" customHeight="1" spans="1:6">
      <c r="A125" s="4">
        <v>3</v>
      </c>
      <c r="B125" s="14" t="s">
        <v>257</v>
      </c>
      <c r="C125" s="12" t="s">
        <v>258</v>
      </c>
      <c r="D125" s="15" t="s">
        <v>131</v>
      </c>
      <c r="E125" s="242">
        <v>105000</v>
      </c>
      <c r="F125" s="13"/>
    </row>
    <row r="126" customHeight="1" spans="1:6">
      <c r="A126" s="4">
        <v>4</v>
      </c>
      <c r="B126" s="14" t="s">
        <v>560</v>
      </c>
      <c r="C126" s="12" t="s">
        <v>258</v>
      </c>
      <c r="D126" s="15" t="s">
        <v>49</v>
      </c>
      <c r="E126" s="242">
        <v>105000</v>
      </c>
      <c r="F126" s="13"/>
    </row>
    <row r="127" customHeight="1" spans="1:6">
      <c r="A127" s="4">
        <v>5</v>
      </c>
      <c r="B127" s="11" t="s">
        <v>259</v>
      </c>
      <c r="C127" s="12" t="s">
        <v>260</v>
      </c>
      <c r="D127" s="15" t="s">
        <v>46</v>
      </c>
      <c r="E127" s="242">
        <v>75000</v>
      </c>
      <c r="F127" s="13"/>
    </row>
    <row r="128" customHeight="1" spans="1:6">
      <c r="A128" s="4">
        <v>6</v>
      </c>
      <c r="B128" s="11" t="s">
        <v>261</v>
      </c>
      <c r="C128" s="12" t="s">
        <v>495</v>
      </c>
      <c r="D128" s="15" t="s">
        <v>460</v>
      </c>
      <c r="E128" s="242">
        <v>75000</v>
      </c>
      <c r="F128" s="13"/>
    </row>
    <row r="129" customHeight="1" spans="1:6">
      <c r="A129" s="4">
        <v>7</v>
      </c>
      <c r="B129" s="11" t="s">
        <v>262</v>
      </c>
      <c r="C129" s="12" t="s">
        <v>1218</v>
      </c>
      <c r="D129" s="15" t="s">
        <v>460</v>
      </c>
      <c r="E129" s="242">
        <v>75000</v>
      </c>
      <c r="F129" s="13"/>
    </row>
    <row r="130" customHeight="1" spans="1:6">
      <c r="A130" s="4">
        <v>8</v>
      </c>
      <c r="B130" s="11" t="s">
        <v>265</v>
      </c>
      <c r="C130" s="12" t="s">
        <v>266</v>
      </c>
      <c r="D130" s="10" t="s">
        <v>87</v>
      </c>
      <c r="E130" s="242">
        <v>45000</v>
      </c>
      <c r="F130" s="13"/>
    </row>
    <row r="131" customHeight="1" spans="1:6">
      <c r="A131" s="4">
        <v>9</v>
      </c>
      <c r="B131" s="18" t="s">
        <v>267</v>
      </c>
      <c r="C131" s="12" t="s">
        <v>268</v>
      </c>
      <c r="D131" s="15" t="s">
        <v>105</v>
      </c>
      <c r="E131" s="242">
        <v>45000</v>
      </c>
      <c r="F131" s="13"/>
    </row>
    <row r="132" customHeight="1" spans="1:6">
      <c r="A132" s="4"/>
      <c r="B132" s="20" t="s">
        <v>111</v>
      </c>
      <c r="C132" s="26" t="s">
        <v>1366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272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561</v>
      </c>
      <c r="C135" s="12" t="s">
        <v>562</v>
      </c>
      <c r="D135" s="15" t="s">
        <v>115</v>
      </c>
      <c r="E135" s="242">
        <v>225000</v>
      </c>
      <c r="F135" s="13"/>
    </row>
    <row r="136" customHeight="1" spans="1:6">
      <c r="A136" s="27">
        <v>2</v>
      </c>
      <c r="B136" s="11" t="s">
        <v>563</v>
      </c>
      <c r="C136" s="12" t="s">
        <v>564</v>
      </c>
      <c r="D136" s="15" t="s">
        <v>154</v>
      </c>
      <c r="E136" s="242">
        <v>150000</v>
      </c>
      <c r="F136" s="13"/>
    </row>
    <row r="137" customHeight="1" spans="1:6">
      <c r="A137" s="27">
        <v>3</v>
      </c>
      <c r="B137" s="14" t="s">
        <v>276</v>
      </c>
      <c r="C137" s="4" t="s">
        <v>277</v>
      </c>
      <c r="D137" s="16" t="s">
        <v>35</v>
      </c>
      <c r="E137" s="242">
        <v>150000</v>
      </c>
      <c r="F137" s="13"/>
    </row>
    <row r="138" customHeight="1" spans="1:6">
      <c r="A138" s="27">
        <v>4</v>
      </c>
      <c r="B138" s="11" t="s">
        <v>278</v>
      </c>
      <c r="C138" s="12" t="s">
        <v>565</v>
      </c>
      <c r="D138" s="15" t="s">
        <v>178</v>
      </c>
      <c r="E138" s="242">
        <v>75000</v>
      </c>
      <c r="F138" s="13"/>
    </row>
    <row r="139" customHeight="1" spans="1:6">
      <c r="A139" s="27">
        <v>5</v>
      </c>
      <c r="B139" s="11" t="s">
        <v>280</v>
      </c>
      <c r="C139" s="4" t="s">
        <v>566</v>
      </c>
      <c r="D139" s="15" t="s">
        <v>178</v>
      </c>
      <c r="E139" s="242">
        <v>75000</v>
      </c>
      <c r="F139" s="13"/>
    </row>
    <row r="140" customHeight="1" spans="1:6">
      <c r="A140" s="27">
        <v>6</v>
      </c>
      <c r="B140" s="11" t="s">
        <v>213</v>
      </c>
      <c r="C140" s="4" t="s">
        <v>568</v>
      </c>
      <c r="D140" s="15" t="s">
        <v>460</v>
      </c>
      <c r="E140" s="242">
        <v>75000</v>
      </c>
      <c r="F140" s="13"/>
    </row>
    <row r="141" customHeight="1" spans="1:6">
      <c r="A141" s="27">
        <v>7</v>
      </c>
      <c r="B141" s="11" t="s">
        <v>215</v>
      </c>
      <c r="C141" s="12" t="s">
        <v>567</v>
      </c>
      <c r="D141" s="15" t="s">
        <v>162</v>
      </c>
      <c r="E141" s="242">
        <v>45000</v>
      </c>
      <c r="F141" s="13"/>
    </row>
    <row r="142" customHeight="1" spans="1:6">
      <c r="A142" s="27">
        <v>8</v>
      </c>
      <c r="B142" s="11" t="s">
        <v>283</v>
      </c>
      <c r="C142" s="12" t="s">
        <v>567</v>
      </c>
      <c r="D142" s="15" t="s">
        <v>162</v>
      </c>
      <c r="E142" s="242">
        <v>45000</v>
      </c>
      <c r="F142" s="13"/>
    </row>
    <row r="143" customHeight="1" spans="1:6">
      <c r="A143" s="27">
        <v>9</v>
      </c>
      <c r="B143" s="11" t="s">
        <v>284</v>
      </c>
      <c r="C143" s="4" t="s">
        <v>568</v>
      </c>
      <c r="D143" s="15" t="s">
        <v>162</v>
      </c>
      <c r="E143" s="242">
        <v>45000</v>
      </c>
      <c r="F143" s="13"/>
    </row>
    <row r="144" customHeight="1" spans="1:6">
      <c r="A144" s="27">
        <v>10</v>
      </c>
      <c r="B144" s="11" t="s">
        <v>286</v>
      </c>
      <c r="C144" s="12" t="s">
        <v>569</v>
      </c>
      <c r="D144" s="15" t="s">
        <v>68</v>
      </c>
      <c r="E144" s="242">
        <v>45000</v>
      </c>
      <c r="F144" s="13"/>
    </row>
    <row r="145" customHeight="1" spans="1:6">
      <c r="A145" s="27">
        <v>11</v>
      </c>
      <c r="B145" s="11" t="s">
        <v>288</v>
      </c>
      <c r="C145" s="12" t="s">
        <v>1220</v>
      </c>
      <c r="D145" s="15" t="s">
        <v>302</v>
      </c>
      <c r="E145" s="242">
        <v>45000</v>
      </c>
      <c r="F145" s="13"/>
    </row>
    <row r="146" customHeight="1" spans="1:6">
      <c r="A146" s="27">
        <v>12</v>
      </c>
      <c r="B146" s="11" t="s">
        <v>60</v>
      </c>
      <c r="C146" s="12" t="s">
        <v>569</v>
      </c>
      <c r="D146" s="15" t="s">
        <v>162</v>
      </c>
      <c r="E146" s="242">
        <v>45000</v>
      </c>
      <c r="F146" s="13"/>
    </row>
    <row r="147" customHeight="1" spans="1:6">
      <c r="A147" s="27">
        <v>13</v>
      </c>
      <c r="B147" s="18" t="s">
        <v>290</v>
      </c>
      <c r="C147" s="4" t="s">
        <v>299</v>
      </c>
      <c r="D147" s="15" t="s">
        <v>302</v>
      </c>
      <c r="E147" s="242">
        <v>45000</v>
      </c>
      <c r="F147" s="13"/>
    </row>
    <row r="148" customHeight="1" spans="1:6">
      <c r="A148" s="27">
        <v>14</v>
      </c>
      <c r="B148" s="11" t="s">
        <v>292</v>
      </c>
      <c r="C148" s="4" t="s">
        <v>570</v>
      </c>
      <c r="D148" s="15" t="s">
        <v>76</v>
      </c>
      <c r="E148" s="242">
        <v>45000</v>
      </c>
      <c r="F148" s="13"/>
    </row>
    <row r="149" customHeight="1" spans="1:6">
      <c r="A149" s="27">
        <v>15</v>
      </c>
      <c r="B149" s="11" t="s">
        <v>293</v>
      </c>
      <c r="C149" s="4" t="s">
        <v>570</v>
      </c>
      <c r="D149" s="15" t="s">
        <v>119</v>
      </c>
      <c r="E149" s="242">
        <v>45000</v>
      </c>
      <c r="F149" s="13"/>
    </row>
    <row r="150" customHeight="1" spans="1:6">
      <c r="A150" s="27">
        <v>16</v>
      </c>
      <c r="B150" s="11" t="s">
        <v>295</v>
      </c>
      <c r="C150" s="4" t="s">
        <v>570</v>
      </c>
      <c r="D150" s="15" t="s">
        <v>119</v>
      </c>
      <c r="E150" s="242">
        <v>45000</v>
      </c>
      <c r="F150" s="13"/>
    </row>
    <row r="151" customHeight="1" spans="1:6">
      <c r="A151" s="27">
        <v>17</v>
      </c>
      <c r="B151" s="11" t="s">
        <v>296</v>
      </c>
      <c r="C151" s="12" t="s">
        <v>297</v>
      </c>
      <c r="D151" s="15" t="s">
        <v>73</v>
      </c>
      <c r="E151" s="242">
        <v>45000</v>
      </c>
      <c r="F151" s="13"/>
    </row>
    <row r="152" customHeight="1" spans="1:6">
      <c r="A152" s="27">
        <v>18</v>
      </c>
      <c r="B152" s="11" t="s">
        <v>1203</v>
      </c>
      <c r="C152" s="12" t="s">
        <v>299</v>
      </c>
      <c r="D152" s="10" t="s">
        <v>96</v>
      </c>
      <c r="E152" s="242">
        <v>45000</v>
      </c>
      <c r="F152" s="13"/>
    </row>
    <row r="153" customHeight="1" spans="1:6">
      <c r="A153" s="27">
        <v>19</v>
      </c>
      <c r="B153" s="11" t="s">
        <v>300</v>
      </c>
      <c r="C153" s="12" t="s">
        <v>301</v>
      </c>
      <c r="D153" s="15" t="s">
        <v>76</v>
      </c>
      <c r="E153" s="242">
        <v>45000</v>
      </c>
      <c r="F153" s="13"/>
    </row>
    <row r="154" customHeight="1" spans="1:6">
      <c r="A154" s="27">
        <v>20</v>
      </c>
      <c r="B154" s="11" t="s">
        <v>303</v>
      </c>
      <c r="C154" s="12" t="s">
        <v>304</v>
      </c>
      <c r="D154" s="15" t="s">
        <v>87</v>
      </c>
      <c r="E154" s="242">
        <v>45000</v>
      </c>
      <c r="F154" s="13"/>
    </row>
    <row r="155" customHeight="1" spans="1:6">
      <c r="A155" s="27">
        <v>21</v>
      </c>
      <c r="B155" s="11" t="s">
        <v>305</v>
      </c>
      <c r="C155" s="12" t="s">
        <v>306</v>
      </c>
      <c r="D155" s="15" t="s">
        <v>76</v>
      </c>
      <c r="E155" s="242">
        <v>45000</v>
      </c>
      <c r="F155" s="13"/>
    </row>
    <row r="156" customHeight="1" spans="1:6">
      <c r="A156" s="27">
        <v>22</v>
      </c>
      <c r="B156" s="11" t="s">
        <v>307</v>
      </c>
      <c r="C156" s="12" t="s">
        <v>308</v>
      </c>
      <c r="D156" s="15" t="s">
        <v>87</v>
      </c>
      <c r="E156" s="242">
        <v>45000</v>
      </c>
      <c r="F156" s="13"/>
    </row>
    <row r="157" customHeight="1" spans="1:6">
      <c r="A157" s="27">
        <v>23</v>
      </c>
      <c r="B157" s="18" t="s">
        <v>309</v>
      </c>
      <c r="C157" s="12" t="s">
        <v>317</v>
      </c>
      <c r="D157" s="15" t="s">
        <v>208</v>
      </c>
      <c r="E157" s="242">
        <v>45000</v>
      </c>
      <c r="F157" s="13"/>
    </row>
    <row r="158" customHeight="1" spans="1:6">
      <c r="A158" s="27">
        <v>24</v>
      </c>
      <c r="B158" s="18" t="s">
        <v>314</v>
      </c>
      <c r="C158" s="12" t="s">
        <v>315</v>
      </c>
      <c r="D158" s="15" t="s">
        <v>108</v>
      </c>
      <c r="E158" s="242">
        <v>45000</v>
      </c>
      <c r="F158" s="13"/>
    </row>
    <row r="159" customHeight="1" spans="1:6">
      <c r="A159" s="27">
        <v>25</v>
      </c>
      <c r="B159" s="18" t="s">
        <v>316</v>
      </c>
      <c r="C159" s="12" t="s">
        <v>317</v>
      </c>
      <c r="D159" s="15" t="s">
        <v>108</v>
      </c>
      <c r="E159" s="242">
        <v>45000</v>
      </c>
      <c r="F159" s="13"/>
    </row>
    <row r="160" customHeight="1" spans="1:6">
      <c r="A160" s="27">
        <v>26</v>
      </c>
      <c r="B160" s="18" t="s">
        <v>318</v>
      </c>
      <c r="C160" s="12" t="s">
        <v>319</v>
      </c>
      <c r="D160" s="15" t="s">
        <v>105</v>
      </c>
      <c r="E160" s="242">
        <v>45000</v>
      </c>
      <c r="F160" s="13"/>
    </row>
    <row r="161" customHeight="1" spans="1:6">
      <c r="A161" s="27">
        <v>27</v>
      </c>
      <c r="B161" s="18" t="s">
        <v>320</v>
      </c>
      <c r="C161" s="12" t="s">
        <v>321</v>
      </c>
      <c r="D161" s="15" t="s">
        <v>105</v>
      </c>
      <c r="E161" s="242">
        <v>45000</v>
      </c>
      <c r="F161" s="13"/>
    </row>
    <row r="162" customHeight="1" spans="1:6">
      <c r="A162" s="27">
        <v>28</v>
      </c>
      <c r="B162" s="11" t="s">
        <v>331</v>
      </c>
      <c r="C162" s="12" t="s">
        <v>332</v>
      </c>
      <c r="D162" s="15" t="s">
        <v>350</v>
      </c>
      <c r="E162" s="242">
        <v>30000</v>
      </c>
      <c r="F162" s="13"/>
    </row>
    <row r="163" customHeight="1" spans="1:6">
      <c r="A163" s="27">
        <v>29</v>
      </c>
      <c r="B163" s="11" t="s">
        <v>334</v>
      </c>
      <c r="C163" s="12" t="s">
        <v>332</v>
      </c>
      <c r="D163" s="15" t="s">
        <v>350</v>
      </c>
      <c r="E163" s="242">
        <v>30000</v>
      </c>
      <c r="F163" s="13"/>
    </row>
    <row r="164" customHeight="1" spans="1:6">
      <c r="A164" s="27">
        <v>30</v>
      </c>
      <c r="B164" s="11" t="s">
        <v>335</v>
      </c>
      <c r="C164" s="12" t="s">
        <v>332</v>
      </c>
      <c r="D164" s="15" t="s">
        <v>350</v>
      </c>
      <c r="E164" s="242">
        <v>30000</v>
      </c>
      <c r="F164" s="13"/>
    </row>
    <row r="165" customHeight="1" spans="1:6">
      <c r="A165" s="27">
        <v>32</v>
      </c>
      <c r="B165" s="11" t="s">
        <v>336</v>
      </c>
      <c r="C165" s="12" t="s">
        <v>332</v>
      </c>
      <c r="D165" s="15" t="s">
        <v>350</v>
      </c>
      <c r="E165" s="242">
        <v>30000</v>
      </c>
      <c r="F165" s="13"/>
    </row>
    <row r="166" customHeight="1" spans="1:6">
      <c r="A166" s="27">
        <v>33</v>
      </c>
      <c r="B166" s="11" t="s">
        <v>337</v>
      </c>
      <c r="C166" s="12" t="s">
        <v>332</v>
      </c>
      <c r="D166" s="15" t="s">
        <v>350</v>
      </c>
      <c r="E166" s="242">
        <v>30000</v>
      </c>
      <c r="F166" s="13"/>
    </row>
    <row r="167" customHeight="1" spans="1:6">
      <c r="A167" s="27">
        <v>34</v>
      </c>
      <c r="B167" s="11" t="s">
        <v>338</v>
      </c>
      <c r="C167" s="12" t="s">
        <v>332</v>
      </c>
      <c r="D167" s="15" t="s">
        <v>347</v>
      </c>
      <c r="E167" s="242">
        <v>30000</v>
      </c>
      <c r="F167" s="13"/>
    </row>
    <row r="168" customHeight="1" spans="1:6">
      <c r="A168" s="27">
        <v>35</v>
      </c>
      <c r="B168" s="11" t="s">
        <v>340</v>
      </c>
      <c r="C168" s="12" t="s">
        <v>332</v>
      </c>
      <c r="D168" s="15" t="s">
        <v>347</v>
      </c>
      <c r="E168" s="242">
        <v>30000</v>
      </c>
      <c r="F168" s="13"/>
    </row>
    <row r="169" customHeight="1" spans="1:6">
      <c r="A169" s="27">
        <v>36</v>
      </c>
      <c r="B169" s="14" t="s">
        <v>341</v>
      </c>
      <c r="C169" s="12" t="s">
        <v>332</v>
      </c>
      <c r="D169" s="15" t="s">
        <v>347</v>
      </c>
      <c r="E169" s="242">
        <v>30000</v>
      </c>
      <c r="F169" s="13"/>
    </row>
    <row r="170" customHeight="1" spans="1:6">
      <c r="A170" s="27">
        <v>37</v>
      </c>
      <c r="B170" s="11" t="s">
        <v>342</v>
      </c>
      <c r="C170" s="12" t="s">
        <v>332</v>
      </c>
      <c r="D170" s="15" t="s">
        <v>347</v>
      </c>
      <c r="E170" s="242">
        <v>30000</v>
      </c>
      <c r="F170" s="13"/>
    </row>
    <row r="171" customHeight="1" spans="1:6">
      <c r="A171" s="27">
        <v>38</v>
      </c>
      <c r="B171" s="18" t="s">
        <v>343</v>
      </c>
      <c r="C171" s="12" t="s">
        <v>332</v>
      </c>
      <c r="D171" s="15" t="s">
        <v>347</v>
      </c>
      <c r="E171" s="242">
        <v>30000</v>
      </c>
      <c r="F171" s="13"/>
    </row>
    <row r="172" customHeight="1" spans="1:6">
      <c r="A172" s="27">
        <v>39</v>
      </c>
      <c r="B172" s="18" t="s">
        <v>344</v>
      </c>
      <c r="C172" s="12" t="s">
        <v>332</v>
      </c>
      <c r="D172" s="15" t="s">
        <v>347</v>
      </c>
      <c r="E172" s="242">
        <v>30000</v>
      </c>
      <c r="F172" s="13"/>
    </row>
    <row r="173" customHeight="1" spans="1:6">
      <c r="A173" s="27">
        <v>40</v>
      </c>
      <c r="B173" s="11" t="s">
        <v>345</v>
      </c>
      <c r="C173" s="12" t="s">
        <v>352</v>
      </c>
      <c r="D173" s="15" t="s">
        <v>356</v>
      </c>
      <c r="E173" s="242">
        <v>30000</v>
      </c>
      <c r="F173" s="13"/>
    </row>
    <row r="174" customHeight="1" spans="1:6">
      <c r="A174" s="27">
        <v>41</v>
      </c>
      <c r="B174" s="11" t="s">
        <v>348</v>
      </c>
      <c r="C174" s="12" t="s">
        <v>352</v>
      </c>
      <c r="D174" s="15" t="s">
        <v>356</v>
      </c>
      <c r="E174" s="242">
        <v>30000</v>
      </c>
      <c r="F174" s="13"/>
    </row>
    <row r="175" customHeight="1" spans="1:6">
      <c r="A175" s="27">
        <v>42</v>
      </c>
      <c r="B175" s="18" t="s">
        <v>349</v>
      </c>
      <c r="C175" s="12" t="s">
        <v>352</v>
      </c>
      <c r="D175" s="15" t="s">
        <v>1199</v>
      </c>
      <c r="E175" s="242">
        <v>30000</v>
      </c>
      <c r="F175" s="13"/>
    </row>
    <row r="176" customHeight="1" spans="1:6">
      <c r="A176" s="27">
        <v>43</v>
      </c>
      <c r="B176" s="11" t="s">
        <v>351</v>
      </c>
      <c r="C176" s="12" t="s">
        <v>352</v>
      </c>
      <c r="D176" s="15" t="s">
        <v>1204</v>
      </c>
      <c r="E176" s="242">
        <v>30000</v>
      </c>
      <c r="F176" s="13"/>
    </row>
    <row r="177" customHeight="1" spans="1:6">
      <c r="A177" s="27">
        <v>44</v>
      </c>
      <c r="B177" s="11" t="s">
        <v>354</v>
      </c>
      <c r="C177" s="12" t="s">
        <v>355</v>
      </c>
      <c r="D177" s="15" t="s">
        <v>1205</v>
      </c>
      <c r="E177" s="242">
        <v>30000</v>
      </c>
      <c r="F177" s="13"/>
    </row>
    <row r="178" customHeight="1" spans="1:6">
      <c r="A178" s="27">
        <v>45</v>
      </c>
      <c r="B178" s="11" t="s">
        <v>357</v>
      </c>
      <c r="C178" s="12" t="s">
        <v>355</v>
      </c>
      <c r="D178" s="15" t="s">
        <v>1205</v>
      </c>
      <c r="E178" s="242">
        <v>30000</v>
      </c>
      <c r="F178" s="13"/>
    </row>
    <row r="179" customHeight="1" spans="1:6">
      <c r="A179" s="27">
        <v>46</v>
      </c>
      <c r="B179" s="11" t="s">
        <v>358</v>
      </c>
      <c r="C179" s="12" t="s">
        <v>355</v>
      </c>
      <c r="D179" s="15" t="s">
        <v>1205</v>
      </c>
      <c r="E179" s="242">
        <v>30000</v>
      </c>
      <c r="F179" s="13"/>
    </row>
    <row r="180" customHeight="1" spans="1:6">
      <c r="A180" s="27">
        <v>47</v>
      </c>
      <c r="B180" s="11" t="s">
        <v>359</v>
      </c>
      <c r="C180" s="12" t="s">
        <v>355</v>
      </c>
      <c r="D180" s="15" t="s">
        <v>1205</v>
      </c>
      <c r="E180" s="242">
        <v>30000</v>
      </c>
      <c r="F180" s="13"/>
    </row>
    <row r="181" customHeight="1" spans="1:6">
      <c r="A181" s="27">
        <v>48</v>
      </c>
      <c r="B181" s="11" t="s">
        <v>360</v>
      </c>
      <c r="C181" s="12" t="s">
        <v>355</v>
      </c>
      <c r="D181" s="15" t="s">
        <v>1205</v>
      </c>
      <c r="E181" s="242">
        <v>30000</v>
      </c>
      <c r="F181" s="13"/>
    </row>
    <row r="182" customHeight="1" spans="1:6">
      <c r="A182" s="27">
        <v>49</v>
      </c>
      <c r="B182" s="18" t="s">
        <v>361</v>
      </c>
      <c r="C182" s="12" t="s">
        <v>355</v>
      </c>
      <c r="D182" s="15" t="s">
        <v>1205</v>
      </c>
      <c r="E182" s="242">
        <v>30000</v>
      </c>
      <c r="F182" s="13"/>
    </row>
    <row r="183" customHeight="1" spans="1:6">
      <c r="A183" s="27">
        <v>50</v>
      </c>
      <c r="B183" s="18" t="s">
        <v>362</v>
      </c>
      <c r="C183" s="12" t="s">
        <v>355</v>
      </c>
      <c r="D183" s="15" t="s">
        <v>1205</v>
      </c>
      <c r="E183" s="242">
        <v>30000</v>
      </c>
      <c r="F183" s="13"/>
    </row>
    <row r="184" customHeight="1" spans="1:6">
      <c r="A184" s="27">
        <v>51</v>
      </c>
      <c r="B184" s="11" t="s">
        <v>499</v>
      </c>
      <c r="C184" s="12" t="s">
        <v>352</v>
      </c>
      <c r="D184" s="15" t="s">
        <v>1205</v>
      </c>
      <c r="E184" s="242">
        <v>30000</v>
      </c>
      <c r="F184" s="13"/>
    </row>
    <row r="185" customHeight="1" spans="1:6">
      <c r="A185" s="27">
        <v>52</v>
      </c>
      <c r="B185" s="11" t="s">
        <v>363</v>
      </c>
      <c r="C185" s="12" t="s">
        <v>352</v>
      </c>
      <c r="D185" s="15" t="s">
        <v>1205</v>
      </c>
      <c r="E185" s="242">
        <v>30000</v>
      </c>
      <c r="F185" s="13"/>
    </row>
    <row r="186" customHeight="1" spans="1:6">
      <c r="A186" s="27">
        <v>53</v>
      </c>
      <c r="B186" s="18" t="s">
        <v>364</v>
      </c>
      <c r="C186" s="12" t="s">
        <v>355</v>
      </c>
      <c r="D186" s="15" t="s">
        <v>1221</v>
      </c>
      <c r="E186" s="242">
        <v>30000</v>
      </c>
      <c r="F186" s="13"/>
    </row>
    <row r="187" customHeight="1" spans="1:6">
      <c r="A187" s="27">
        <v>54</v>
      </c>
      <c r="B187" s="18" t="s">
        <v>369</v>
      </c>
      <c r="C187" s="12" t="s">
        <v>355</v>
      </c>
      <c r="D187" s="15" t="s">
        <v>373</v>
      </c>
      <c r="E187" s="242">
        <v>30000</v>
      </c>
      <c r="F187" s="13"/>
    </row>
    <row r="188" customHeight="1" spans="1:6">
      <c r="A188" s="27"/>
      <c r="B188" s="8" t="s">
        <v>111</v>
      </c>
      <c r="C188" s="28" t="s">
        <v>1370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381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1351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642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540000</v>
      </c>
      <c r="F7" s="13"/>
    </row>
    <row r="8" customHeight="1" spans="1:6">
      <c r="A8" s="10">
        <v>2</v>
      </c>
      <c r="B8" s="11" t="s">
        <v>1263</v>
      </c>
      <c r="C8" s="4" t="s">
        <v>1352</v>
      </c>
      <c r="D8" s="10" t="s">
        <v>154</v>
      </c>
      <c r="E8" s="242">
        <v>180000</v>
      </c>
      <c r="F8" s="13"/>
    </row>
    <row r="9" customHeight="1" spans="1:6">
      <c r="A9" s="10">
        <v>3</v>
      </c>
      <c r="B9" s="11" t="s">
        <v>26</v>
      </c>
      <c r="C9" s="12" t="s">
        <v>27</v>
      </c>
      <c r="D9" s="10" t="s">
        <v>28</v>
      </c>
      <c r="E9" s="242">
        <v>180000</v>
      </c>
      <c r="F9" s="13"/>
    </row>
    <row r="10" customHeight="1" spans="1:6">
      <c r="A10" s="10">
        <v>4</v>
      </c>
      <c r="B10" s="14" t="s">
        <v>29</v>
      </c>
      <c r="C10" s="4" t="s">
        <v>30</v>
      </c>
      <c r="D10" s="15" t="s">
        <v>35</v>
      </c>
      <c r="E10" s="242">
        <v>180000</v>
      </c>
      <c r="F10" s="13"/>
    </row>
    <row r="11" customHeight="1" spans="1:6">
      <c r="A11" s="10">
        <v>5</v>
      </c>
      <c r="B11" s="14" t="s">
        <v>210</v>
      </c>
      <c r="C11" s="4" t="s">
        <v>1265</v>
      </c>
      <c r="D11" s="16" t="s">
        <v>35</v>
      </c>
      <c r="E11" s="242">
        <v>180000</v>
      </c>
      <c r="F11" s="13"/>
    </row>
    <row r="12" customHeight="1" spans="1:6">
      <c r="A12" s="10">
        <v>6</v>
      </c>
      <c r="B12" s="11" t="s">
        <v>31</v>
      </c>
      <c r="C12" s="17" t="s">
        <v>32</v>
      </c>
      <c r="D12" s="16" t="s">
        <v>35</v>
      </c>
      <c r="E12" s="242">
        <v>180000</v>
      </c>
      <c r="F12" s="13"/>
    </row>
    <row r="13" customHeight="1" spans="1:6">
      <c r="A13" s="10">
        <v>7</v>
      </c>
      <c r="B13" s="14" t="s">
        <v>273</v>
      </c>
      <c r="C13" s="4" t="s">
        <v>535</v>
      </c>
      <c r="D13" s="16" t="s">
        <v>35</v>
      </c>
      <c r="E13" s="242">
        <v>180000</v>
      </c>
      <c r="F13" s="13"/>
    </row>
    <row r="14" customHeight="1" spans="1:6">
      <c r="A14" s="10">
        <v>8</v>
      </c>
      <c r="B14" s="11" t="s">
        <v>33</v>
      </c>
      <c r="C14" s="12" t="s">
        <v>538</v>
      </c>
      <c r="D14" s="15" t="s">
        <v>131</v>
      </c>
      <c r="E14" s="242">
        <v>126000</v>
      </c>
      <c r="F14" s="13"/>
    </row>
    <row r="15" customHeight="1" spans="1:6">
      <c r="A15" s="10">
        <v>9</v>
      </c>
      <c r="B15" s="18" t="s">
        <v>172</v>
      </c>
      <c r="C15" s="12" t="s">
        <v>555</v>
      </c>
      <c r="D15" s="10" t="s">
        <v>554</v>
      </c>
      <c r="E15" s="242">
        <v>126000</v>
      </c>
      <c r="F15" s="13"/>
    </row>
    <row r="16" customHeight="1" spans="1:6">
      <c r="A16" s="10">
        <v>10</v>
      </c>
      <c r="B16" s="19" t="s">
        <v>1355</v>
      </c>
      <c r="C16" s="4" t="s">
        <v>1356</v>
      </c>
      <c r="D16" s="16" t="s">
        <v>178</v>
      </c>
      <c r="E16" s="242">
        <v>90000</v>
      </c>
      <c r="F16" s="13"/>
    </row>
    <row r="17" ht="19.5" customHeight="1" spans="1:6">
      <c r="A17" s="10">
        <v>11</v>
      </c>
      <c r="B17" s="14" t="s">
        <v>1266</v>
      </c>
      <c r="C17" s="4" t="s">
        <v>40</v>
      </c>
      <c r="D17" s="10" t="s">
        <v>178</v>
      </c>
      <c r="E17" s="242">
        <v>90000</v>
      </c>
      <c r="F17" s="13"/>
    </row>
    <row r="18" ht="19.5" customHeight="1" spans="1:6">
      <c r="A18" s="10">
        <v>12</v>
      </c>
      <c r="B18" s="14" t="s">
        <v>1357</v>
      </c>
      <c r="C18" s="4" t="s">
        <v>1358</v>
      </c>
      <c r="D18" s="10" t="s">
        <v>178</v>
      </c>
      <c r="E18" s="242">
        <v>90000</v>
      </c>
      <c r="F18" s="13"/>
    </row>
    <row r="19" customHeight="1" spans="1:6">
      <c r="A19" s="10">
        <v>13</v>
      </c>
      <c r="B19" s="11" t="s">
        <v>39</v>
      </c>
      <c r="C19" s="4" t="s">
        <v>40</v>
      </c>
      <c r="D19" s="15" t="s">
        <v>178</v>
      </c>
      <c r="E19" s="242">
        <v>90000</v>
      </c>
      <c r="F19" s="13"/>
    </row>
    <row r="20" customHeight="1" spans="1:6">
      <c r="A20" s="10">
        <v>14</v>
      </c>
      <c r="B20" s="11" t="s">
        <v>50</v>
      </c>
      <c r="C20" s="12" t="s">
        <v>51</v>
      </c>
      <c r="D20" s="15" t="s">
        <v>1201</v>
      </c>
      <c r="E20" s="242">
        <v>90000</v>
      </c>
      <c r="F20" s="13"/>
    </row>
    <row r="21" customHeight="1" spans="1:6">
      <c r="A21" s="10">
        <v>15</v>
      </c>
      <c r="B21" s="18" t="s">
        <v>53</v>
      </c>
      <c r="C21" s="4" t="s">
        <v>54</v>
      </c>
      <c r="D21" s="15" t="s">
        <v>58</v>
      </c>
      <c r="E21" s="242">
        <v>90000</v>
      </c>
      <c r="F21" s="13"/>
    </row>
    <row r="22" customHeight="1" spans="1:6">
      <c r="A22" s="10">
        <v>16</v>
      </c>
      <c r="B22" s="11" t="s">
        <v>179</v>
      </c>
      <c r="C22" s="12" t="s">
        <v>559</v>
      </c>
      <c r="D22" s="15" t="s">
        <v>162</v>
      </c>
      <c r="E22" s="242">
        <v>54000</v>
      </c>
      <c r="F22" s="13"/>
    </row>
    <row r="23" ht="18.75" customHeight="1" spans="1:6">
      <c r="A23" s="10">
        <v>17</v>
      </c>
      <c r="B23" s="11" t="s">
        <v>63</v>
      </c>
      <c r="C23" s="12" t="s">
        <v>64</v>
      </c>
      <c r="D23" s="15" t="s">
        <v>68</v>
      </c>
      <c r="E23" s="242">
        <v>54000</v>
      </c>
      <c r="F23" s="13"/>
    </row>
    <row r="24" ht="18.75" customHeight="1" spans="1:6">
      <c r="A24" s="10">
        <v>18</v>
      </c>
      <c r="B24" s="18" t="s">
        <v>1359</v>
      </c>
      <c r="C24" s="12" t="s">
        <v>101</v>
      </c>
      <c r="D24" s="15" t="s">
        <v>119</v>
      </c>
      <c r="E24" s="242">
        <v>54000</v>
      </c>
      <c r="F24" s="13"/>
    </row>
    <row r="25" ht="18.75" customHeight="1" spans="1:6">
      <c r="A25" s="10">
        <v>19</v>
      </c>
      <c r="B25" s="4" t="s">
        <v>77</v>
      </c>
      <c r="C25" s="4" t="s">
        <v>78</v>
      </c>
      <c r="D25" s="10" t="s">
        <v>87</v>
      </c>
      <c r="E25" s="242">
        <v>54000</v>
      </c>
      <c r="F25" s="13"/>
    </row>
    <row r="26" ht="18.75" customHeight="1" spans="1:6">
      <c r="A26" s="10">
        <v>20</v>
      </c>
      <c r="B26" s="18" t="s">
        <v>80</v>
      </c>
      <c r="C26" s="12" t="s">
        <v>78</v>
      </c>
      <c r="D26" s="15" t="s">
        <v>87</v>
      </c>
      <c r="E26" s="242">
        <v>54000</v>
      </c>
      <c r="F26" s="13"/>
    </row>
    <row r="27" ht="18.75" customHeight="1" spans="1:6">
      <c r="A27" s="10">
        <v>21</v>
      </c>
      <c r="B27" s="11" t="s">
        <v>1267</v>
      </c>
      <c r="C27" s="12" t="s">
        <v>1268</v>
      </c>
      <c r="D27" s="15" t="s">
        <v>87</v>
      </c>
      <c r="E27" s="242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1215</v>
      </c>
      <c r="D28" s="15" t="s">
        <v>208</v>
      </c>
      <c r="E28" s="242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1269</v>
      </c>
      <c r="D29" s="10" t="s">
        <v>208</v>
      </c>
      <c r="E29" s="242">
        <v>54000</v>
      </c>
      <c r="F29" s="13"/>
    </row>
    <row r="30" ht="18.75" customHeight="1" spans="1:6">
      <c r="A30" s="10">
        <v>24</v>
      </c>
      <c r="B30" s="18" t="s">
        <v>89</v>
      </c>
      <c r="C30" s="17" t="s">
        <v>90</v>
      </c>
      <c r="D30" s="15" t="s">
        <v>87</v>
      </c>
      <c r="E30" s="242">
        <v>54000</v>
      </c>
      <c r="F30" s="13"/>
    </row>
    <row r="31" ht="18.75" customHeight="1" spans="1:6">
      <c r="A31" s="10">
        <v>25</v>
      </c>
      <c r="B31" s="18" t="s">
        <v>92</v>
      </c>
      <c r="C31" s="4" t="s">
        <v>93</v>
      </c>
      <c r="D31" s="10" t="s">
        <v>105</v>
      </c>
      <c r="E31" s="242">
        <v>54000</v>
      </c>
      <c r="F31" s="13"/>
    </row>
    <row r="32" ht="18.75" customHeight="1" spans="1:6">
      <c r="A32" s="10">
        <v>26</v>
      </c>
      <c r="B32" s="18" t="s">
        <v>1193</v>
      </c>
      <c r="C32" s="12" t="s">
        <v>101</v>
      </c>
      <c r="D32" s="15" t="s">
        <v>105</v>
      </c>
      <c r="E32" s="242">
        <v>54000</v>
      </c>
      <c r="F32" s="13"/>
    </row>
    <row r="33" ht="18.75" customHeight="1" spans="1:6">
      <c r="A33" s="10">
        <v>27</v>
      </c>
      <c r="B33" s="18" t="s">
        <v>1360</v>
      </c>
      <c r="C33" s="12" t="s">
        <v>101</v>
      </c>
      <c r="D33" s="15" t="s">
        <v>105</v>
      </c>
      <c r="E33" s="242">
        <v>54000</v>
      </c>
      <c r="F33" s="13"/>
    </row>
    <row r="34" ht="18.75" customHeight="1" spans="1:6">
      <c r="A34" s="10">
        <v>28</v>
      </c>
      <c r="B34" s="18" t="s">
        <v>269</v>
      </c>
      <c r="C34" s="12" t="s">
        <v>264</v>
      </c>
      <c r="D34" s="15" t="s">
        <v>108</v>
      </c>
      <c r="E34" s="242">
        <v>54000</v>
      </c>
      <c r="F34" s="13"/>
    </row>
    <row r="35" ht="26.25" customHeight="1" spans="1:6">
      <c r="A35" s="10"/>
      <c r="B35" s="20" t="s">
        <v>111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112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113</v>
      </c>
      <c r="C38" s="4" t="s">
        <v>114</v>
      </c>
      <c r="D38" s="10" t="s">
        <v>115</v>
      </c>
      <c r="E38" s="242">
        <v>270000</v>
      </c>
      <c r="F38" s="13"/>
    </row>
    <row r="39" ht="18.75" customHeight="1" spans="1:6">
      <c r="A39" s="10">
        <v>2</v>
      </c>
      <c r="B39" s="18" t="s">
        <v>116</v>
      </c>
      <c r="C39" s="4" t="s">
        <v>802</v>
      </c>
      <c r="D39" s="10" t="s">
        <v>108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125</v>
      </c>
      <c r="C42" s="5"/>
      <c r="D42" s="24"/>
      <c r="E42" s="242"/>
      <c r="F42" s="13"/>
    </row>
    <row r="43" customHeight="1" spans="1:6">
      <c r="A43" s="10">
        <v>1</v>
      </c>
      <c r="B43" s="11" t="s">
        <v>541</v>
      </c>
      <c r="C43" s="4" t="s">
        <v>542</v>
      </c>
      <c r="D43" s="10" t="s">
        <v>115</v>
      </c>
      <c r="E43" s="242">
        <v>270000</v>
      </c>
      <c r="F43" s="13"/>
    </row>
    <row r="44" customHeight="1" spans="1:6">
      <c r="A44" s="10">
        <v>2</v>
      </c>
      <c r="B44" s="11" t="s">
        <v>543</v>
      </c>
      <c r="C44" s="4" t="s">
        <v>43</v>
      </c>
      <c r="D44" s="10" t="s">
        <v>131</v>
      </c>
      <c r="E44" s="242">
        <v>126000</v>
      </c>
      <c r="F44" s="13"/>
    </row>
    <row r="45" customHeight="1" spans="1:6">
      <c r="A45" s="10">
        <v>3</v>
      </c>
      <c r="B45" s="11" t="s">
        <v>126</v>
      </c>
      <c r="C45" s="4" t="s">
        <v>130</v>
      </c>
      <c r="D45" s="10" t="s">
        <v>131</v>
      </c>
      <c r="E45" s="242">
        <v>126000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242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38</v>
      </c>
      <c r="E47" s="242">
        <v>126000</v>
      </c>
      <c r="F47" s="13"/>
    </row>
    <row r="48" customHeight="1" spans="1:6">
      <c r="A48" s="10">
        <v>6</v>
      </c>
      <c r="B48" s="11" t="s">
        <v>133</v>
      </c>
      <c r="C48" s="4" t="s">
        <v>45</v>
      </c>
      <c r="D48" s="10" t="s">
        <v>178</v>
      </c>
      <c r="E48" s="242">
        <v>90000</v>
      </c>
      <c r="F48" s="13"/>
    </row>
    <row r="49" customHeight="1" spans="1:6">
      <c r="A49" s="10">
        <v>7</v>
      </c>
      <c r="B49" s="14" t="s">
        <v>134</v>
      </c>
      <c r="C49" s="4" t="s">
        <v>156</v>
      </c>
      <c r="D49" s="16" t="s">
        <v>178</v>
      </c>
      <c r="E49" s="242">
        <v>90000</v>
      </c>
      <c r="F49" s="13"/>
    </row>
    <row r="50" customHeight="1" spans="1:6">
      <c r="A50" s="10">
        <v>8</v>
      </c>
      <c r="B50" s="11" t="s">
        <v>1272</v>
      </c>
      <c r="C50" s="4" t="s">
        <v>156</v>
      </c>
      <c r="D50" s="10" t="s">
        <v>46</v>
      </c>
      <c r="E50" s="242">
        <v>90000</v>
      </c>
      <c r="F50" s="13"/>
    </row>
    <row r="51" customHeight="1" spans="1:6">
      <c r="A51" s="10">
        <v>9</v>
      </c>
      <c r="B51" s="11" t="s">
        <v>44</v>
      </c>
      <c r="C51" s="4" t="s">
        <v>556</v>
      </c>
      <c r="D51" s="10" t="s">
        <v>460</v>
      </c>
      <c r="E51" s="242">
        <v>90000</v>
      </c>
      <c r="F51" s="13"/>
    </row>
    <row r="52" customHeight="1" spans="1:6">
      <c r="A52" s="10">
        <v>10</v>
      </c>
      <c r="B52" s="11" t="s">
        <v>142</v>
      </c>
      <c r="C52" s="4" t="s">
        <v>139</v>
      </c>
      <c r="D52" s="10" t="s">
        <v>96</v>
      </c>
      <c r="E52" s="242">
        <v>54000</v>
      </c>
      <c r="F52" s="13"/>
    </row>
    <row r="53" customHeight="1" spans="1:6">
      <c r="A53" s="10">
        <v>11</v>
      </c>
      <c r="B53" s="11" t="s">
        <v>544</v>
      </c>
      <c r="C53" s="4" t="s">
        <v>139</v>
      </c>
      <c r="D53" s="10" t="s">
        <v>96</v>
      </c>
      <c r="E53" s="242">
        <v>54000</v>
      </c>
      <c r="F53" s="13"/>
    </row>
    <row r="54" customHeight="1" spans="1:6">
      <c r="A54" s="10">
        <v>12</v>
      </c>
      <c r="B54" s="11" t="s">
        <v>143</v>
      </c>
      <c r="C54" s="4" t="s">
        <v>139</v>
      </c>
      <c r="D54" s="10" t="s">
        <v>96</v>
      </c>
      <c r="E54" s="242">
        <v>54000</v>
      </c>
      <c r="F54" s="13"/>
    </row>
    <row r="55" ht="25.5" customHeight="1" spans="1:6">
      <c r="A55" s="10"/>
      <c r="B55" s="20" t="s">
        <v>111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145</v>
      </c>
      <c r="C57" s="21"/>
      <c r="D57" s="21"/>
      <c r="E57" s="246"/>
      <c r="F57" s="13"/>
    </row>
    <row r="58" customHeight="1" spans="1:6">
      <c r="A58" s="10">
        <v>1</v>
      </c>
      <c r="B58" s="11" t="s">
        <v>545</v>
      </c>
      <c r="C58" s="12" t="s">
        <v>147</v>
      </c>
      <c r="D58" s="15" t="s">
        <v>115</v>
      </c>
      <c r="E58" s="242">
        <v>270000</v>
      </c>
      <c r="F58" s="13"/>
    </row>
    <row r="59" customHeight="1" spans="1:6">
      <c r="A59" s="10">
        <v>2</v>
      </c>
      <c r="B59" s="11" t="s">
        <v>148</v>
      </c>
      <c r="C59" s="12" t="s">
        <v>149</v>
      </c>
      <c r="D59" s="15" t="s">
        <v>554</v>
      </c>
      <c r="E59" s="242">
        <v>126000</v>
      </c>
      <c r="F59" s="13"/>
    </row>
    <row r="60" customHeight="1" spans="1:6">
      <c r="A60" s="10"/>
      <c r="B60" s="20" t="s">
        <v>111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151</v>
      </c>
      <c r="C62" s="21"/>
      <c r="D62" s="21"/>
      <c r="E62" s="246"/>
      <c r="F62" s="13"/>
    </row>
    <row r="63" customHeight="1" spans="1:6">
      <c r="A63" s="10">
        <v>1</v>
      </c>
      <c r="B63" s="11" t="s">
        <v>546</v>
      </c>
      <c r="C63" s="17" t="s">
        <v>547</v>
      </c>
      <c r="D63" s="10" t="s">
        <v>115</v>
      </c>
      <c r="E63" s="242">
        <v>270000</v>
      </c>
      <c r="F63" s="13"/>
    </row>
    <row r="64" customHeight="1" spans="1:6">
      <c r="A64" s="10">
        <v>2</v>
      </c>
      <c r="B64" s="18" t="s">
        <v>548</v>
      </c>
      <c r="C64" s="17" t="s">
        <v>549</v>
      </c>
      <c r="D64" s="15" t="s">
        <v>1202</v>
      </c>
      <c r="E64" s="242">
        <v>126000</v>
      </c>
      <c r="F64" s="13"/>
    </row>
    <row r="65" customHeight="1" spans="1:6">
      <c r="A65" s="10">
        <v>3</v>
      </c>
      <c r="B65" s="11" t="s">
        <v>155</v>
      </c>
      <c r="C65" s="4" t="s">
        <v>158</v>
      </c>
      <c r="D65" s="10" t="s">
        <v>460</v>
      </c>
      <c r="E65" s="242">
        <v>90000</v>
      </c>
      <c r="F65" s="13"/>
    </row>
    <row r="66" customHeight="1" spans="1:6">
      <c r="A66" s="10">
        <v>4</v>
      </c>
      <c r="B66" s="18" t="s">
        <v>550</v>
      </c>
      <c r="C66" s="17" t="s">
        <v>158</v>
      </c>
      <c r="D66" s="15" t="s">
        <v>1201</v>
      </c>
      <c r="E66" s="242">
        <v>90000</v>
      </c>
      <c r="F66" s="13"/>
    </row>
    <row r="67" customHeight="1" spans="1:6">
      <c r="A67" s="10">
        <v>5</v>
      </c>
      <c r="B67" s="14" t="s">
        <v>551</v>
      </c>
      <c r="C67" s="17" t="s">
        <v>156</v>
      </c>
      <c r="D67" s="15" t="s">
        <v>178</v>
      </c>
      <c r="E67" s="242">
        <v>90000</v>
      </c>
      <c r="F67" s="13"/>
    </row>
    <row r="68" customHeight="1" spans="1:6">
      <c r="A68" s="10">
        <v>6</v>
      </c>
      <c r="B68" s="14" t="s">
        <v>42</v>
      </c>
      <c r="C68" s="17" t="s">
        <v>156</v>
      </c>
      <c r="D68" s="15" t="s">
        <v>46</v>
      </c>
      <c r="E68" s="242">
        <v>90000</v>
      </c>
      <c r="F68" s="13"/>
    </row>
    <row r="69" customHeight="1" spans="1:6">
      <c r="A69" s="10">
        <v>7</v>
      </c>
      <c r="B69" s="11" t="s">
        <v>161</v>
      </c>
      <c r="C69" s="4" t="s">
        <v>139</v>
      </c>
      <c r="D69" s="10" t="s">
        <v>137</v>
      </c>
      <c r="E69" s="242">
        <v>54000</v>
      </c>
      <c r="F69" s="13"/>
    </row>
    <row r="70" customHeight="1" spans="1:6">
      <c r="A70" s="10">
        <v>8</v>
      </c>
      <c r="B70" s="11" t="s">
        <v>163</v>
      </c>
      <c r="C70" s="17" t="s">
        <v>70</v>
      </c>
      <c r="D70" s="15" t="s">
        <v>137</v>
      </c>
      <c r="E70" s="242">
        <v>54000</v>
      </c>
      <c r="F70" s="13"/>
    </row>
    <row r="71" customHeight="1" spans="1:6">
      <c r="A71" s="10">
        <v>9</v>
      </c>
      <c r="B71" s="11" t="s">
        <v>164</v>
      </c>
      <c r="C71" s="17" t="s">
        <v>70</v>
      </c>
      <c r="D71" s="15" t="s">
        <v>137</v>
      </c>
      <c r="E71" s="242">
        <v>54000</v>
      </c>
      <c r="F71" s="13"/>
    </row>
    <row r="72" customHeight="1" spans="1:6">
      <c r="A72" s="10">
        <v>10</v>
      </c>
      <c r="B72" s="11" t="s">
        <v>165</v>
      </c>
      <c r="C72" s="4" t="s">
        <v>166</v>
      </c>
      <c r="D72" s="10" t="s">
        <v>68</v>
      </c>
      <c r="E72" s="242">
        <v>54000</v>
      </c>
      <c r="F72" s="13"/>
    </row>
    <row r="73" customHeight="1" spans="1:6">
      <c r="A73" s="10">
        <v>11</v>
      </c>
      <c r="B73" s="11" t="s">
        <v>1361</v>
      </c>
      <c r="C73" s="17" t="s">
        <v>139</v>
      </c>
      <c r="D73" s="10" t="s">
        <v>76</v>
      </c>
      <c r="E73" s="242">
        <v>54000</v>
      </c>
      <c r="F73" s="13"/>
    </row>
    <row r="74" customHeight="1" spans="1:6">
      <c r="A74" s="10">
        <v>12</v>
      </c>
      <c r="B74" s="11" t="s">
        <v>81</v>
      </c>
      <c r="C74" s="17" t="s">
        <v>67</v>
      </c>
      <c r="D74" s="10" t="s">
        <v>87</v>
      </c>
      <c r="E74" s="242">
        <v>54000</v>
      </c>
      <c r="F74" s="13"/>
    </row>
    <row r="75" customHeight="1" spans="1:6">
      <c r="A75" s="10">
        <v>13</v>
      </c>
      <c r="B75" s="14" t="s">
        <v>66</v>
      </c>
      <c r="C75" s="17" t="s">
        <v>67</v>
      </c>
      <c r="D75" s="10" t="s">
        <v>105</v>
      </c>
      <c r="E75" s="242">
        <v>54000</v>
      </c>
      <c r="F75" s="13"/>
    </row>
    <row r="76" customHeight="1" spans="1:6">
      <c r="A76" s="10"/>
      <c r="B76" s="20" t="s">
        <v>111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169</v>
      </c>
      <c r="C78" s="21"/>
      <c r="D78" s="21"/>
      <c r="E78" s="246"/>
      <c r="F78" s="13"/>
    </row>
    <row r="79" customHeight="1" spans="1:6">
      <c r="A79" s="10">
        <v>1</v>
      </c>
      <c r="B79" s="11" t="s">
        <v>170</v>
      </c>
      <c r="C79" s="4" t="s">
        <v>171</v>
      </c>
      <c r="D79" s="10" t="s">
        <v>115</v>
      </c>
      <c r="E79" s="242">
        <v>270000</v>
      </c>
      <c r="F79" s="13"/>
    </row>
    <row r="80" customHeight="1" spans="1:6">
      <c r="A80" s="10">
        <v>2</v>
      </c>
      <c r="B80" s="14" t="s">
        <v>552</v>
      </c>
      <c r="C80" s="4" t="s">
        <v>553</v>
      </c>
      <c r="D80" s="15" t="s">
        <v>1202</v>
      </c>
      <c r="E80" s="242">
        <v>126000</v>
      </c>
      <c r="F80" s="13"/>
    </row>
    <row r="81" customHeight="1" spans="1:6">
      <c r="A81" s="10">
        <v>3</v>
      </c>
      <c r="B81" s="14" t="s">
        <v>1362</v>
      </c>
      <c r="C81" s="4" t="s">
        <v>1363</v>
      </c>
      <c r="D81" s="15" t="s">
        <v>1202</v>
      </c>
      <c r="E81" s="242">
        <v>126000</v>
      </c>
      <c r="F81" s="13"/>
    </row>
    <row r="82" customHeight="1" spans="1:6">
      <c r="A82" s="10">
        <v>4</v>
      </c>
      <c r="B82" s="11" t="s">
        <v>176</v>
      </c>
      <c r="C82" s="4" t="s">
        <v>1216</v>
      </c>
      <c r="D82" s="15" t="s">
        <v>460</v>
      </c>
      <c r="E82" s="242">
        <v>90000</v>
      </c>
      <c r="F82" s="13"/>
    </row>
    <row r="83" customHeight="1" spans="1:6">
      <c r="A83" s="10">
        <v>5</v>
      </c>
      <c r="B83" s="11" t="s">
        <v>183</v>
      </c>
      <c r="C83" s="4" t="s">
        <v>186</v>
      </c>
      <c r="D83" s="10" t="s">
        <v>76</v>
      </c>
      <c r="E83" s="242">
        <v>54000</v>
      </c>
      <c r="F83" s="13"/>
    </row>
    <row r="84" customHeight="1" spans="1:6">
      <c r="A84" s="10"/>
      <c r="B84" s="20" t="s">
        <v>111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189</v>
      </c>
      <c r="C86" s="25"/>
      <c r="D86" s="21"/>
      <c r="E86" s="242"/>
      <c r="F86" s="13"/>
    </row>
    <row r="87" customHeight="1" spans="1:6">
      <c r="A87" s="10">
        <v>1</v>
      </c>
      <c r="B87" s="11" t="s">
        <v>192</v>
      </c>
      <c r="C87" s="4" t="s">
        <v>130</v>
      </c>
      <c r="D87" s="10" t="s">
        <v>131</v>
      </c>
      <c r="E87" s="242">
        <v>126000</v>
      </c>
      <c r="F87" s="13"/>
    </row>
    <row r="88" customHeight="1" spans="1:6">
      <c r="A88" s="10">
        <v>2</v>
      </c>
      <c r="B88" s="11" t="s">
        <v>190</v>
      </c>
      <c r="C88" s="4" t="s">
        <v>130</v>
      </c>
      <c r="D88" s="10" t="s">
        <v>131</v>
      </c>
      <c r="E88" s="242">
        <v>126000</v>
      </c>
      <c r="F88" s="13"/>
    </row>
    <row r="89" customHeight="1" spans="1:6">
      <c r="A89" s="10">
        <v>3</v>
      </c>
      <c r="B89" s="14" t="s">
        <v>152</v>
      </c>
      <c r="C89" s="4" t="s">
        <v>156</v>
      </c>
      <c r="D89" s="10" t="s">
        <v>41</v>
      </c>
      <c r="E89" s="242">
        <v>90000</v>
      </c>
      <c r="F89" s="13"/>
    </row>
    <row r="90" customHeight="1" spans="1:6">
      <c r="A90" s="10">
        <v>4</v>
      </c>
      <c r="B90" s="11" t="s">
        <v>195</v>
      </c>
      <c r="C90" s="4" t="s">
        <v>45</v>
      </c>
      <c r="D90" s="10" t="s">
        <v>178</v>
      </c>
      <c r="E90" s="242">
        <v>90000</v>
      </c>
      <c r="F90" s="13"/>
    </row>
    <row r="91" ht="21.6" customHeight="1" spans="1:6">
      <c r="A91" s="10">
        <v>5</v>
      </c>
      <c r="B91" s="11" t="s">
        <v>196</v>
      </c>
      <c r="C91" s="4" t="s">
        <v>556</v>
      </c>
      <c r="D91" s="15" t="s">
        <v>460</v>
      </c>
      <c r="E91" s="242">
        <v>90000</v>
      </c>
      <c r="F91" s="13"/>
    </row>
    <row r="92" ht="21.6" customHeight="1" spans="1:6">
      <c r="A92" s="10">
        <v>6</v>
      </c>
      <c r="B92" s="11" t="s">
        <v>197</v>
      </c>
      <c r="C92" s="12" t="s">
        <v>158</v>
      </c>
      <c r="D92" s="15" t="s">
        <v>1201</v>
      </c>
      <c r="E92" s="242">
        <v>90000</v>
      </c>
      <c r="F92" s="13"/>
    </row>
    <row r="93" ht="21.6" customHeight="1" spans="1:6">
      <c r="A93" s="10">
        <v>7</v>
      </c>
      <c r="B93" s="11" t="s">
        <v>198</v>
      </c>
      <c r="C93" s="12" t="s">
        <v>158</v>
      </c>
      <c r="D93" s="15" t="s">
        <v>1201</v>
      </c>
      <c r="E93" s="242">
        <v>90000</v>
      </c>
      <c r="F93" s="13"/>
    </row>
    <row r="94" ht="21.6" customHeight="1" spans="1:6">
      <c r="A94" s="10">
        <v>8</v>
      </c>
      <c r="B94" s="11" t="s">
        <v>200</v>
      </c>
      <c r="C94" s="17" t="s">
        <v>70</v>
      </c>
      <c r="D94" s="15" t="s">
        <v>137</v>
      </c>
      <c r="E94" s="242">
        <v>54000</v>
      </c>
      <c r="F94" s="13"/>
    </row>
    <row r="95" ht="21.6" customHeight="1" spans="1:6">
      <c r="A95" s="10">
        <v>9</v>
      </c>
      <c r="B95" s="11" t="s">
        <v>204</v>
      </c>
      <c r="C95" s="4" t="s">
        <v>205</v>
      </c>
      <c r="D95" s="10" t="s">
        <v>73</v>
      </c>
      <c r="E95" s="242">
        <v>54000</v>
      </c>
      <c r="F95" s="13"/>
    </row>
    <row r="96" ht="21.6" customHeight="1" spans="1:6">
      <c r="A96" s="10">
        <v>10</v>
      </c>
      <c r="B96" s="11" t="s">
        <v>206</v>
      </c>
      <c r="C96" s="17" t="s">
        <v>207</v>
      </c>
      <c r="D96" s="15" t="s">
        <v>105</v>
      </c>
      <c r="E96" s="242">
        <v>54000</v>
      </c>
      <c r="F96" s="13"/>
    </row>
    <row r="97" customHeight="1" spans="1:6">
      <c r="A97" s="10"/>
      <c r="B97" s="20" t="s">
        <v>111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209</v>
      </c>
      <c r="C99" s="21"/>
      <c r="D99" s="21"/>
      <c r="E99" s="246"/>
      <c r="F99" s="13"/>
    </row>
    <row r="100" customHeight="1" spans="1:6">
      <c r="A100" s="10">
        <v>1</v>
      </c>
      <c r="B100" s="18" t="s">
        <v>536</v>
      </c>
      <c r="C100" s="10" t="s">
        <v>537</v>
      </c>
      <c r="D100" s="15" t="s">
        <v>35</v>
      </c>
      <c r="E100" s="242">
        <v>180000</v>
      </c>
      <c r="F100" s="13"/>
    </row>
    <row r="101" customHeight="1" spans="1:6">
      <c r="A101" s="10">
        <v>2</v>
      </c>
      <c r="B101" s="11" t="s">
        <v>36</v>
      </c>
      <c r="C101" s="4" t="s">
        <v>214</v>
      </c>
      <c r="D101" s="10" t="s">
        <v>178</v>
      </c>
      <c r="E101" s="242">
        <v>90000</v>
      </c>
      <c r="F101" s="13"/>
    </row>
    <row r="102" customHeight="1" spans="1:6">
      <c r="A102" s="10">
        <v>3</v>
      </c>
      <c r="B102" s="11" t="s">
        <v>219</v>
      </c>
      <c r="C102" s="4" t="s">
        <v>220</v>
      </c>
      <c r="D102" s="15" t="s">
        <v>68</v>
      </c>
      <c r="E102" s="242">
        <v>54000</v>
      </c>
      <c r="F102" s="13"/>
    </row>
    <row r="103" customHeight="1" spans="1:6">
      <c r="A103" s="10">
        <v>4</v>
      </c>
      <c r="B103" s="11" t="s">
        <v>1364</v>
      </c>
      <c r="C103" s="4" t="s">
        <v>1365</v>
      </c>
      <c r="D103" s="15" t="s">
        <v>208</v>
      </c>
      <c r="E103" s="242">
        <v>54000</v>
      </c>
      <c r="F103" s="13"/>
    </row>
    <row r="104" customHeight="1" spans="1:6">
      <c r="A104" s="4"/>
      <c r="B104" s="20" t="s">
        <v>111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223</v>
      </c>
      <c r="C106" s="4"/>
      <c r="D106" s="4"/>
      <c r="E106" s="247"/>
      <c r="F106" s="13"/>
    </row>
    <row r="107" customHeight="1" spans="1:6">
      <c r="A107" s="4">
        <v>1</v>
      </c>
      <c r="B107" s="11" t="s">
        <v>224</v>
      </c>
      <c r="C107" s="12" t="s">
        <v>225</v>
      </c>
      <c r="D107" s="15" t="s">
        <v>115</v>
      </c>
      <c r="E107" s="242">
        <v>270000</v>
      </c>
      <c r="F107" s="13"/>
    </row>
    <row r="108" customHeight="1" spans="1:6">
      <c r="A108" s="4">
        <v>2</v>
      </c>
      <c r="B108" s="11" t="s">
        <v>226</v>
      </c>
      <c r="C108" s="4" t="s">
        <v>227</v>
      </c>
      <c r="D108" s="16" t="s">
        <v>35</v>
      </c>
      <c r="E108" s="242">
        <v>180000</v>
      </c>
      <c r="F108" s="13"/>
    </row>
    <row r="109" customHeight="1" spans="1:6">
      <c r="A109" s="4">
        <v>3</v>
      </c>
      <c r="B109" s="11" t="s">
        <v>228</v>
      </c>
      <c r="C109" s="4" t="s">
        <v>442</v>
      </c>
      <c r="D109" s="10" t="s">
        <v>52</v>
      </c>
      <c r="E109" s="242">
        <v>90000</v>
      </c>
      <c r="F109" s="13"/>
    </row>
    <row r="110" customHeight="1" spans="1:6">
      <c r="A110" s="4">
        <v>4</v>
      </c>
      <c r="B110" s="11" t="s">
        <v>231</v>
      </c>
      <c r="C110" s="4" t="s">
        <v>442</v>
      </c>
      <c r="D110" s="10" t="s">
        <v>52</v>
      </c>
      <c r="E110" s="242">
        <v>90000</v>
      </c>
      <c r="F110" s="13"/>
    </row>
    <row r="111" customHeight="1" spans="1:6">
      <c r="A111" s="4">
        <v>5</v>
      </c>
      <c r="B111" s="11" t="s">
        <v>232</v>
      </c>
      <c r="C111" s="4" t="s">
        <v>233</v>
      </c>
      <c r="D111" s="15" t="s">
        <v>558</v>
      </c>
      <c r="E111" s="242">
        <v>54000</v>
      </c>
      <c r="F111" s="13"/>
    </row>
    <row r="112" customHeight="1" spans="1:6">
      <c r="A112" s="4">
        <v>6</v>
      </c>
      <c r="B112" s="18" t="s">
        <v>235</v>
      </c>
      <c r="C112" s="4" t="s">
        <v>233</v>
      </c>
      <c r="D112" s="10" t="s">
        <v>208</v>
      </c>
      <c r="E112" s="242">
        <v>54000</v>
      </c>
      <c r="F112" s="13"/>
    </row>
    <row r="113" customHeight="1" spans="1:6">
      <c r="A113" s="4">
        <v>7</v>
      </c>
      <c r="B113" s="18" t="s">
        <v>236</v>
      </c>
      <c r="C113" s="4" t="s">
        <v>233</v>
      </c>
      <c r="D113" s="15" t="s">
        <v>105</v>
      </c>
      <c r="E113" s="242">
        <v>54000</v>
      </c>
      <c r="F113" s="13"/>
    </row>
    <row r="114" customHeight="1" spans="1:6">
      <c r="A114" s="4"/>
      <c r="B114" s="20" t="s">
        <v>111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1371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1280</v>
      </c>
      <c r="C117" s="17" t="s">
        <v>70</v>
      </c>
      <c r="D117" s="15" t="s">
        <v>162</v>
      </c>
      <c r="E117" s="242">
        <v>54000</v>
      </c>
      <c r="F117" s="13"/>
    </row>
    <row r="118" ht="27" customHeight="1" spans="1:6">
      <c r="A118" s="10">
        <v>2</v>
      </c>
      <c r="B118" s="11" t="s">
        <v>238</v>
      </c>
      <c r="C118" s="4" t="s">
        <v>239</v>
      </c>
      <c r="D118" s="15" t="s">
        <v>68</v>
      </c>
      <c r="E118" s="242">
        <v>54000</v>
      </c>
      <c r="F118" s="13"/>
    </row>
    <row r="119" ht="27" customHeight="1" spans="1:6">
      <c r="A119" s="4"/>
      <c r="B119" s="20" t="s">
        <v>111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252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253</v>
      </c>
      <c r="C122" s="12" t="s">
        <v>254</v>
      </c>
      <c r="D122" s="15" t="s">
        <v>115</v>
      </c>
      <c r="E122" s="242">
        <v>270000</v>
      </c>
      <c r="F122" s="13"/>
    </row>
    <row r="123" customHeight="1" spans="1:6">
      <c r="A123" s="4">
        <v>2</v>
      </c>
      <c r="B123" s="11" t="s">
        <v>255</v>
      </c>
      <c r="C123" s="12" t="s">
        <v>258</v>
      </c>
      <c r="D123" s="15" t="s">
        <v>131</v>
      </c>
      <c r="E123" s="242">
        <v>126000</v>
      </c>
      <c r="F123" s="13"/>
    </row>
    <row r="124" customHeight="1" spans="1:6">
      <c r="A124" s="4">
        <v>3</v>
      </c>
      <c r="B124" s="14" t="s">
        <v>257</v>
      </c>
      <c r="C124" s="12" t="s">
        <v>258</v>
      </c>
      <c r="D124" s="15" t="s">
        <v>131</v>
      </c>
      <c r="E124" s="242">
        <v>126000</v>
      </c>
      <c r="F124" s="13"/>
    </row>
    <row r="125" customHeight="1" spans="1:6">
      <c r="A125" s="4">
        <v>4</v>
      </c>
      <c r="B125" s="14" t="s">
        <v>560</v>
      </c>
      <c r="C125" s="12" t="s">
        <v>258</v>
      </c>
      <c r="D125" s="15" t="s">
        <v>49</v>
      </c>
      <c r="E125" s="242">
        <v>126000</v>
      </c>
      <c r="F125" s="13"/>
    </row>
    <row r="126" customHeight="1" spans="1:6">
      <c r="A126" s="4">
        <v>5</v>
      </c>
      <c r="B126" s="11" t="s">
        <v>259</v>
      </c>
      <c r="C126" s="12" t="s">
        <v>260</v>
      </c>
      <c r="D126" s="15" t="s">
        <v>46</v>
      </c>
      <c r="E126" s="242">
        <v>90000</v>
      </c>
      <c r="F126" s="13"/>
    </row>
    <row r="127" customHeight="1" spans="1:6">
      <c r="A127" s="4">
        <v>6</v>
      </c>
      <c r="B127" s="11" t="s">
        <v>261</v>
      </c>
      <c r="C127" s="12" t="s">
        <v>495</v>
      </c>
      <c r="D127" s="15" t="s">
        <v>460</v>
      </c>
      <c r="E127" s="242">
        <v>90000</v>
      </c>
      <c r="F127" s="13"/>
    </row>
    <row r="128" customHeight="1" spans="1:6">
      <c r="A128" s="4">
        <v>7</v>
      </c>
      <c r="B128" s="11" t="s">
        <v>262</v>
      </c>
      <c r="C128" s="12" t="s">
        <v>1218</v>
      </c>
      <c r="D128" s="15" t="s">
        <v>460</v>
      </c>
      <c r="E128" s="242">
        <v>90000</v>
      </c>
      <c r="F128" s="13"/>
    </row>
    <row r="129" customHeight="1" spans="1:6">
      <c r="A129" s="4">
        <v>8</v>
      </c>
      <c r="B129" s="11" t="s">
        <v>265</v>
      </c>
      <c r="C129" s="12" t="s">
        <v>266</v>
      </c>
      <c r="D129" s="10" t="s">
        <v>87</v>
      </c>
      <c r="E129" s="242">
        <v>54000</v>
      </c>
      <c r="F129" s="13"/>
    </row>
    <row r="130" customHeight="1" spans="1:6">
      <c r="A130" s="4">
        <v>9</v>
      </c>
      <c r="B130" s="18" t="s">
        <v>267</v>
      </c>
      <c r="C130" s="12" t="s">
        <v>268</v>
      </c>
      <c r="D130" s="15" t="s">
        <v>105</v>
      </c>
      <c r="E130" s="242">
        <v>54000</v>
      </c>
      <c r="F130" s="13"/>
    </row>
    <row r="131" customHeight="1" spans="1:6">
      <c r="A131" s="4"/>
      <c r="B131" s="20" t="s">
        <v>111</v>
      </c>
      <c r="C131" s="26" t="s">
        <v>1366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272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561</v>
      </c>
      <c r="C134" s="12" t="s">
        <v>562</v>
      </c>
      <c r="D134" s="15" t="s">
        <v>115</v>
      </c>
      <c r="E134" s="242">
        <v>270000</v>
      </c>
      <c r="F134" s="13"/>
    </row>
    <row r="135" customHeight="1" spans="1:6">
      <c r="A135" s="27">
        <v>2</v>
      </c>
      <c r="B135" s="11" t="s">
        <v>563</v>
      </c>
      <c r="C135" s="12" t="s">
        <v>564</v>
      </c>
      <c r="D135" s="15" t="s">
        <v>154</v>
      </c>
      <c r="E135" s="242">
        <v>180000</v>
      </c>
      <c r="F135" s="13"/>
    </row>
    <row r="136" customHeight="1" spans="1:6">
      <c r="A136" s="27">
        <v>3</v>
      </c>
      <c r="B136" s="14" t="s">
        <v>276</v>
      </c>
      <c r="C136" s="4" t="s">
        <v>277</v>
      </c>
      <c r="D136" s="16" t="s">
        <v>35</v>
      </c>
      <c r="E136" s="242">
        <v>180000</v>
      </c>
      <c r="F136" s="13"/>
    </row>
    <row r="137" customHeight="1" spans="1:6">
      <c r="A137" s="27">
        <v>4</v>
      </c>
      <c r="B137" s="11" t="s">
        <v>278</v>
      </c>
      <c r="C137" s="12" t="s">
        <v>565</v>
      </c>
      <c r="D137" s="15" t="s">
        <v>178</v>
      </c>
      <c r="E137" s="242">
        <v>90000</v>
      </c>
      <c r="F137" s="13"/>
    </row>
    <row r="138" customHeight="1" spans="1:6">
      <c r="A138" s="27">
        <v>5</v>
      </c>
      <c r="B138" s="11" t="s">
        <v>280</v>
      </c>
      <c r="C138" s="4" t="s">
        <v>566</v>
      </c>
      <c r="D138" s="15" t="s">
        <v>178</v>
      </c>
      <c r="E138" s="242">
        <v>90000</v>
      </c>
      <c r="F138" s="13"/>
    </row>
    <row r="139" customHeight="1" spans="1:6">
      <c r="A139" s="27">
        <v>6</v>
      </c>
      <c r="B139" s="11" t="s">
        <v>213</v>
      </c>
      <c r="C139" s="4" t="s">
        <v>568</v>
      </c>
      <c r="D139" s="15" t="s">
        <v>460</v>
      </c>
      <c r="E139" s="242">
        <v>90000</v>
      </c>
      <c r="F139" s="13"/>
    </row>
    <row r="140" customHeight="1" spans="1:6">
      <c r="A140" s="27">
        <v>7</v>
      </c>
      <c r="B140" s="11" t="s">
        <v>215</v>
      </c>
      <c r="C140" s="12" t="s">
        <v>567</v>
      </c>
      <c r="D140" s="15" t="s">
        <v>162</v>
      </c>
      <c r="E140" s="242">
        <v>54000</v>
      </c>
      <c r="F140" s="13"/>
    </row>
    <row r="141" customHeight="1" spans="1:6">
      <c r="A141" s="27">
        <v>8</v>
      </c>
      <c r="B141" s="11" t="s">
        <v>283</v>
      </c>
      <c r="C141" s="12" t="s">
        <v>567</v>
      </c>
      <c r="D141" s="15" t="s">
        <v>162</v>
      </c>
      <c r="E141" s="242">
        <v>54000</v>
      </c>
      <c r="F141" s="13"/>
    </row>
    <row r="142" customHeight="1" spans="1:6">
      <c r="A142" s="27">
        <v>9</v>
      </c>
      <c r="B142" s="11" t="s">
        <v>284</v>
      </c>
      <c r="C142" s="4" t="s">
        <v>568</v>
      </c>
      <c r="D142" s="15" t="s">
        <v>162</v>
      </c>
      <c r="E142" s="242">
        <v>54000</v>
      </c>
      <c r="F142" s="13"/>
    </row>
    <row r="143" customHeight="1" spans="1:6">
      <c r="A143" s="27">
        <v>10</v>
      </c>
      <c r="B143" s="11" t="s">
        <v>286</v>
      </c>
      <c r="C143" s="12" t="s">
        <v>569</v>
      </c>
      <c r="D143" s="15" t="s">
        <v>68</v>
      </c>
      <c r="E143" s="242">
        <v>54000</v>
      </c>
      <c r="F143" s="13"/>
    </row>
    <row r="144" customHeight="1" spans="1:6">
      <c r="A144" s="27">
        <v>11</v>
      </c>
      <c r="B144" s="11" t="s">
        <v>288</v>
      </c>
      <c r="C144" s="12" t="s">
        <v>1220</v>
      </c>
      <c r="D144" s="15" t="s">
        <v>302</v>
      </c>
      <c r="E144" s="242">
        <v>54000</v>
      </c>
      <c r="F144" s="13"/>
    </row>
    <row r="145" customHeight="1" spans="1:6">
      <c r="A145" s="27">
        <v>12</v>
      </c>
      <c r="B145" s="11" t="s">
        <v>60</v>
      </c>
      <c r="C145" s="12" t="s">
        <v>569</v>
      </c>
      <c r="D145" s="15" t="s">
        <v>162</v>
      </c>
      <c r="E145" s="242">
        <v>54000</v>
      </c>
      <c r="F145" s="13"/>
    </row>
    <row r="146" customHeight="1" spans="1:6">
      <c r="A146" s="27">
        <v>13</v>
      </c>
      <c r="B146" s="18" t="s">
        <v>290</v>
      </c>
      <c r="C146" s="4" t="s">
        <v>299</v>
      </c>
      <c r="D146" s="15" t="s">
        <v>302</v>
      </c>
      <c r="E146" s="242">
        <v>54000</v>
      </c>
      <c r="F146" s="13"/>
    </row>
    <row r="147" customHeight="1" spans="1:6">
      <c r="A147" s="27">
        <v>14</v>
      </c>
      <c r="B147" s="11" t="s">
        <v>292</v>
      </c>
      <c r="C147" s="4" t="s">
        <v>570</v>
      </c>
      <c r="D147" s="15" t="s">
        <v>76</v>
      </c>
      <c r="E147" s="242">
        <v>54000</v>
      </c>
      <c r="F147" s="13"/>
    </row>
    <row r="148" customHeight="1" spans="1:6">
      <c r="A148" s="27">
        <v>15</v>
      </c>
      <c r="B148" s="11" t="s">
        <v>293</v>
      </c>
      <c r="C148" s="4" t="s">
        <v>570</v>
      </c>
      <c r="D148" s="15" t="s">
        <v>119</v>
      </c>
      <c r="E148" s="242">
        <v>54000</v>
      </c>
      <c r="F148" s="13"/>
    </row>
    <row r="149" customHeight="1" spans="1:6">
      <c r="A149" s="27">
        <v>16</v>
      </c>
      <c r="B149" s="11" t="s">
        <v>295</v>
      </c>
      <c r="C149" s="4" t="s">
        <v>570</v>
      </c>
      <c r="D149" s="15" t="s">
        <v>119</v>
      </c>
      <c r="E149" s="242">
        <v>54000</v>
      </c>
      <c r="F149" s="13"/>
    </row>
    <row r="150" customHeight="1" spans="1:6">
      <c r="A150" s="27">
        <v>17</v>
      </c>
      <c r="B150" s="11" t="s">
        <v>296</v>
      </c>
      <c r="C150" s="12" t="s">
        <v>297</v>
      </c>
      <c r="D150" s="15" t="s">
        <v>73</v>
      </c>
      <c r="E150" s="242">
        <v>54000</v>
      </c>
      <c r="F150" s="13"/>
    </row>
    <row r="151" customHeight="1" spans="1:6">
      <c r="A151" s="27">
        <v>18</v>
      </c>
      <c r="B151" s="11" t="s">
        <v>1203</v>
      </c>
      <c r="C151" s="12" t="s">
        <v>299</v>
      </c>
      <c r="D151" s="10" t="s">
        <v>96</v>
      </c>
      <c r="E151" s="242">
        <v>54000</v>
      </c>
      <c r="F151" s="13"/>
    </row>
    <row r="152" customHeight="1" spans="1:6">
      <c r="A152" s="27">
        <v>19</v>
      </c>
      <c r="B152" s="11" t="s">
        <v>300</v>
      </c>
      <c r="C152" s="12" t="s">
        <v>301</v>
      </c>
      <c r="D152" s="15" t="s">
        <v>76</v>
      </c>
      <c r="E152" s="242">
        <v>54000</v>
      </c>
      <c r="F152" s="13"/>
    </row>
    <row r="153" customHeight="1" spans="1:6">
      <c r="A153" s="27">
        <v>20</v>
      </c>
      <c r="B153" s="11" t="s">
        <v>303</v>
      </c>
      <c r="C153" s="12" t="s">
        <v>304</v>
      </c>
      <c r="D153" s="15" t="s">
        <v>87</v>
      </c>
      <c r="E153" s="242">
        <v>54000</v>
      </c>
      <c r="F153" s="13"/>
    </row>
    <row r="154" customHeight="1" spans="1:6">
      <c r="A154" s="27">
        <v>21</v>
      </c>
      <c r="B154" s="11" t="s">
        <v>305</v>
      </c>
      <c r="C154" s="12" t="s">
        <v>306</v>
      </c>
      <c r="D154" s="15" t="s">
        <v>76</v>
      </c>
      <c r="E154" s="242">
        <v>54000</v>
      </c>
      <c r="F154" s="13"/>
    </row>
    <row r="155" customHeight="1" spans="1:6">
      <c r="A155" s="27">
        <v>22</v>
      </c>
      <c r="B155" s="11" t="s">
        <v>307</v>
      </c>
      <c r="C155" s="12" t="s">
        <v>308</v>
      </c>
      <c r="D155" s="15" t="s">
        <v>87</v>
      </c>
      <c r="E155" s="242">
        <v>54000</v>
      </c>
      <c r="F155" s="13"/>
    </row>
    <row r="156" customHeight="1" spans="1:6">
      <c r="A156" s="27">
        <v>23</v>
      </c>
      <c r="B156" s="18" t="s">
        <v>309</v>
      </c>
      <c r="C156" s="12" t="s">
        <v>317</v>
      </c>
      <c r="D156" s="15" t="s">
        <v>208</v>
      </c>
      <c r="E156" s="242">
        <v>54000</v>
      </c>
      <c r="F156" s="13"/>
    </row>
    <row r="157" customHeight="1" spans="1:6">
      <c r="A157" s="27">
        <v>24</v>
      </c>
      <c r="B157" s="18" t="s">
        <v>314</v>
      </c>
      <c r="C157" s="12" t="s">
        <v>315</v>
      </c>
      <c r="D157" s="15" t="s">
        <v>108</v>
      </c>
      <c r="E157" s="242">
        <v>54000</v>
      </c>
      <c r="F157" s="13"/>
    </row>
    <row r="158" customHeight="1" spans="1:6">
      <c r="A158" s="27">
        <v>25</v>
      </c>
      <c r="B158" s="18" t="s">
        <v>316</v>
      </c>
      <c r="C158" s="12" t="s">
        <v>317</v>
      </c>
      <c r="D158" s="15" t="s">
        <v>108</v>
      </c>
      <c r="E158" s="242">
        <v>54000</v>
      </c>
      <c r="F158" s="13"/>
    </row>
    <row r="159" customHeight="1" spans="1:6">
      <c r="A159" s="27">
        <v>26</v>
      </c>
      <c r="B159" s="18" t="s">
        <v>318</v>
      </c>
      <c r="C159" s="12" t="s">
        <v>319</v>
      </c>
      <c r="D159" s="15" t="s">
        <v>105</v>
      </c>
      <c r="E159" s="242">
        <v>54000</v>
      </c>
      <c r="F159" s="13"/>
    </row>
    <row r="160" customHeight="1" spans="1:6">
      <c r="A160" s="27">
        <v>27</v>
      </c>
      <c r="B160" s="18" t="s">
        <v>320</v>
      </c>
      <c r="C160" s="12" t="s">
        <v>321</v>
      </c>
      <c r="D160" s="15" t="s">
        <v>105</v>
      </c>
      <c r="E160" s="242">
        <v>54000</v>
      </c>
      <c r="F160" s="13"/>
    </row>
    <row r="161" customHeight="1" spans="1:6">
      <c r="A161" s="27">
        <v>28</v>
      </c>
      <c r="B161" s="11" t="s">
        <v>331</v>
      </c>
      <c r="C161" s="12" t="s">
        <v>332</v>
      </c>
      <c r="D161" s="15" t="s">
        <v>350</v>
      </c>
      <c r="E161" s="242">
        <v>36000</v>
      </c>
      <c r="F161" s="13"/>
    </row>
    <row r="162" customHeight="1" spans="1:6">
      <c r="A162" s="27">
        <v>29</v>
      </c>
      <c r="B162" s="11" t="s">
        <v>334</v>
      </c>
      <c r="C162" s="12" t="s">
        <v>332</v>
      </c>
      <c r="D162" s="15" t="s">
        <v>350</v>
      </c>
      <c r="E162" s="242">
        <v>36000</v>
      </c>
      <c r="F162" s="13"/>
    </row>
    <row r="163" customHeight="1" spans="1:6">
      <c r="A163" s="27">
        <v>30</v>
      </c>
      <c r="B163" s="11" t="s">
        <v>335</v>
      </c>
      <c r="C163" s="12" t="s">
        <v>332</v>
      </c>
      <c r="D163" s="15" t="s">
        <v>350</v>
      </c>
      <c r="E163" s="242">
        <v>36000</v>
      </c>
      <c r="F163" s="13"/>
    </row>
    <row r="164" customHeight="1" spans="1:6">
      <c r="A164" s="27">
        <v>32</v>
      </c>
      <c r="B164" s="11" t="s">
        <v>336</v>
      </c>
      <c r="C164" s="12" t="s">
        <v>332</v>
      </c>
      <c r="D164" s="15" t="s">
        <v>350</v>
      </c>
      <c r="E164" s="242">
        <v>36000</v>
      </c>
      <c r="F164" s="13"/>
    </row>
    <row r="165" customHeight="1" spans="1:6">
      <c r="A165" s="27">
        <v>33</v>
      </c>
      <c r="B165" s="11" t="s">
        <v>337</v>
      </c>
      <c r="C165" s="12" t="s">
        <v>332</v>
      </c>
      <c r="D165" s="15" t="s">
        <v>350</v>
      </c>
      <c r="E165" s="242">
        <v>36000</v>
      </c>
      <c r="F165" s="13"/>
    </row>
    <row r="166" customHeight="1" spans="1:6">
      <c r="A166" s="27">
        <v>34</v>
      </c>
      <c r="B166" s="11" t="s">
        <v>338</v>
      </c>
      <c r="C166" s="12" t="s">
        <v>332</v>
      </c>
      <c r="D166" s="15" t="s">
        <v>347</v>
      </c>
      <c r="E166" s="242">
        <v>36000</v>
      </c>
      <c r="F166" s="13"/>
    </row>
    <row r="167" customHeight="1" spans="1:6">
      <c r="A167" s="27">
        <v>35</v>
      </c>
      <c r="B167" s="11" t="s">
        <v>340</v>
      </c>
      <c r="C167" s="12" t="s">
        <v>332</v>
      </c>
      <c r="D167" s="15" t="s">
        <v>347</v>
      </c>
      <c r="E167" s="242">
        <v>36000</v>
      </c>
      <c r="F167" s="13"/>
    </row>
    <row r="168" customHeight="1" spans="1:6">
      <c r="A168" s="27">
        <v>36</v>
      </c>
      <c r="B168" s="14" t="s">
        <v>341</v>
      </c>
      <c r="C168" s="12" t="s">
        <v>332</v>
      </c>
      <c r="D168" s="15" t="s">
        <v>347</v>
      </c>
      <c r="E168" s="242">
        <v>36000</v>
      </c>
      <c r="F168" s="13"/>
    </row>
    <row r="169" customHeight="1" spans="1:6">
      <c r="A169" s="27">
        <v>37</v>
      </c>
      <c r="B169" s="11" t="s">
        <v>342</v>
      </c>
      <c r="C169" s="12" t="s">
        <v>332</v>
      </c>
      <c r="D169" s="15" t="s">
        <v>347</v>
      </c>
      <c r="E169" s="242">
        <v>36000</v>
      </c>
      <c r="F169" s="13"/>
    </row>
    <row r="170" customHeight="1" spans="1:6">
      <c r="A170" s="27">
        <v>38</v>
      </c>
      <c r="B170" s="18" t="s">
        <v>343</v>
      </c>
      <c r="C170" s="12" t="s">
        <v>332</v>
      </c>
      <c r="D170" s="15" t="s">
        <v>347</v>
      </c>
      <c r="E170" s="242">
        <v>36000</v>
      </c>
      <c r="F170" s="13"/>
    </row>
    <row r="171" customHeight="1" spans="1:6">
      <c r="A171" s="27">
        <v>39</v>
      </c>
      <c r="B171" s="18" t="s">
        <v>344</v>
      </c>
      <c r="C171" s="12" t="s">
        <v>332</v>
      </c>
      <c r="D171" s="15" t="s">
        <v>347</v>
      </c>
      <c r="E171" s="242">
        <v>36000</v>
      </c>
      <c r="F171" s="13"/>
    </row>
    <row r="172" customHeight="1" spans="1:6">
      <c r="A172" s="27">
        <v>40</v>
      </c>
      <c r="B172" s="11" t="s">
        <v>345</v>
      </c>
      <c r="C172" s="12" t="s">
        <v>352</v>
      </c>
      <c r="D172" s="15" t="s">
        <v>356</v>
      </c>
      <c r="E172" s="242">
        <v>36000</v>
      </c>
      <c r="F172" s="13"/>
    </row>
    <row r="173" customHeight="1" spans="1:6">
      <c r="A173" s="27">
        <v>41</v>
      </c>
      <c r="B173" s="11" t="s">
        <v>348</v>
      </c>
      <c r="C173" s="12" t="s">
        <v>352</v>
      </c>
      <c r="D173" s="15" t="s">
        <v>356</v>
      </c>
      <c r="E173" s="242">
        <v>36000</v>
      </c>
      <c r="F173" s="13"/>
    </row>
    <row r="174" customHeight="1" spans="1:6">
      <c r="A174" s="27">
        <v>42</v>
      </c>
      <c r="B174" s="18" t="s">
        <v>349</v>
      </c>
      <c r="C174" s="12" t="s">
        <v>352</v>
      </c>
      <c r="D174" s="15" t="s">
        <v>1199</v>
      </c>
      <c r="E174" s="242">
        <v>36000</v>
      </c>
      <c r="F174" s="13"/>
    </row>
    <row r="175" customHeight="1" spans="1:6">
      <c r="A175" s="27">
        <v>43</v>
      </c>
      <c r="B175" s="11" t="s">
        <v>351</v>
      </c>
      <c r="C175" s="12" t="s">
        <v>352</v>
      </c>
      <c r="D175" s="15" t="s">
        <v>1204</v>
      </c>
      <c r="E175" s="242">
        <v>36000</v>
      </c>
      <c r="F175" s="13"/>
    </row>
    <row r="176" customHeight="1" spans="1:6">
      <c r="A176" s="27">
        <v>44</v>
      </c>
      <c r="B176" s="11" t="s">
        <v>354</v>
      </c>
      <c r="C176" s="12" t="s">
        <v>355</v>
      </c>
      <c r="D176" s="15" t="s">
        <v>1205</v>
      </c>
      <c r="E176" s="242">
        <v>36000</v>
      </c>
      <c r="F176" s="13"/>
    </row>
    <row r="177" customHeight="1" spans="1:6">
      <c r="A177" s="27">
        <v>45</v>
      </c>
      <c r="B177" s="11" t="s">
        <v>357</v>
      </c>
      <c r="C177" s="12" t="s">
        <v>355</v>
      </c>
      <c r="D177" s="15" t="s">
        <v>1205</v>
      </c>
      <c r="E177" s="242">
        <v>36000</v>
      </c>
      <c r="F177" s="13"/>
    </row>
    <row r="178" customHeight="1" spans="1:6">
      <c r="A178" s="27">
        <v>46</v>
      </c>
      <c r="B178" s="11" t="s">
        <v>358</v>
      </c>
      <c r="C178" s="12" t="s">
        <v>355</v>
      </c>
      <c r="D178" s="15" t="s">
        <v>1205</v>
      </c>
      <c r="E178" s="242">
        <v>36000</v>
      </c>
      <c r="F178" s="13"/>
    </row>
    <row r="179" customHeight="1" spans="1:6">
      <c r="A179" s="27">
        <v>47</v>
      </c>
      <c r="B179" s="11" t="s">
        <v>359</v>
      </c>
      <c r="C179" s="12" t="s">
        <v>355</v>
      </c>
      <c r="D179" s="15" t="s">
        <v>1205</v>
      </c>
      <c r="E179" s="242">
        <v>36000</v>
      </c>
      <c r="F179" s="13"/>
    </row>
    <row r="180" customHeight="1" spans="1:6">
      <c r="A180" s="27">
        <v>48</v>
      </c>
      <c r="B180" s="11" t="s">
        <v>360</v>
      </c>
      <c r="C180" s="12" t="s">
        <v>355</v>
      </c>
      <c r="D180" s="15" t="s">
        <v>1205</v>
      </c>
      <c r="E180" s="242">
        <v>36000</v>
      </c>
      <c r="F180" s="13"/>
    </row>
    <row r="181" customHeight="1" spans="1:6">
      <c r="A181" s="27">
        <v>49</v>
      </c>
      <c r="B181" s="18" t="s">
        <v>361</v>
      </c>
      <c r="C181" s="12" t="s">
        <v>355</v>
      </c>
      <c r="D181" s="15" t="s">
        <v>1205</v>
      </c>
      <c r="E181" s="242">
        <v>36000</v>
      </c>
      <c r="F181" s="13"/>
    </row>
    <row r="182" customHeight="1" spans="1:6">
      <c r="A182" s="27">
        <v>50</v>
      </c>
      <c r="B182" s="18" t="s">
        <v>362</v>
      </c>
      <c r="C182" s="12" t="s">
        <v>355</v>
      </c>
      <c r="D182" s="15" t="s">
        <v>1205</v>
      </c>
      <c r="E182" s="242">
        <v>36000</v>
      </c>
      <c r="F182" s="13"/>
    </row>
    <row r="183" customHeight="1" spans="1:6">
      <c r="A183" s="27">
        <v>51</v>
      </c>
      <c r="B183" s="11" t="s">
        <v>499</v>
      </c>
      <c r="C183" s="12" t="s">
        <v>352</v>
      </c>
      <c r="D183" s="15" t="s">
        <v>1205</v>
      </c>
      <c r="E183" s="242">
        <v>36000</v>
      </c>
      <c r="F183" s="13"/>
    </row>
    <row r="184" customHeight="1" spans="1:6">
      <c r="A184" s="27">
        <v>52</v>
      </c>
      <c r="B184" s="11" t="s">
        <v>363</v>
      </c>
      <c r="C184" s="12" t="s">
        <v>352</v>
      </c>
      <c r="D184" s="15" t="s">
        <v>1205</v>
      </c>
      <c r="E184" s="242">
        <v>36000</v>
      </c>
      <c r="F184" s="13"/>
    </row>
    <row r="185" customHeight="1" spans="1:6">
      <c r="A185" s="27">
        <v>53</v>
      </c>
      <c r="B185" s="18" t="s">
        <v>364</v>
      </c>
      <c r="C185" s="12" t="s">
        <v>355</v>
      </c>
      <c r="D185" s="15" t="s">
        <v>1221</v>
      </c>
      <c r="E185" s="242">
        <v>36000</v>
      </c>
      <c r="F185" s="13"/>
    </row>
    <row r="186" customHeight="1" spans="1:6">
      <c r="A186" s="27">
        <v>54</v>
      </c>
      <c r="B186" s="18" t="s">
        <v>369</v>
      </c>
      <c r="C186" s="12" t="s">
        <v>355</v>
      </c>
      <c r="D186" s="15" t="s">
        <v>373</v>
      </c>
      <c r="E186" s="242">
        <v>36000</v>
      </c>
      <c r="F186" s="13"/>
    </row>
    <row r="187" customHeight="1" spans="1:6">
      <c r="A187" s="27"/>
      <c r="B187" s="8" t="s">
        <v>111</v>
      </c>
      <c r="C187" s="28" t="s">
        <v>1370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381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1372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779</v>
      </c>
      <c r="F4" s="24" t="s">
        <v>709</v>
      </c>
      <c r="G4" s="80" t="s">
        <v>1373</v>
      </c>
    </row>
    <row r="5" customHeight="1" spans="1:7">
      <c r="A5" s="9" t="s">
        <v>21</v>
      </c>
      <c r="B5" s="8" t="s">
        <v>22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1263</v>
      </c>
      <c r="C7" s="4" t="s">
        <v>1352</v>
      </c>
      <c r="D7" s="10" t="s">
        <v>154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1353</v>
      </c>
      <c r="C8" s="4" t="s">
        <v>1354</v>
      </c>
      <c r="D8" s="10" t="s">
        <v>154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210</v>
      </c>
      <c r="C11" s="4" t="s">
        <v>1265</v>
      </c>
      <c r="D11" s="16" t="s">
        <v>35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273</v>
      </c>
      <c r="C13" s="4" t="s">
        <v>535</v>
      </c>
      <c r="D13" s="16" t="s">
        <v>35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33</v>
      </c>
      <c r="C14" s="12" t="s">
        <v>538</v>
      </c>
      <c r="D14" s="15" t="s">
        <v>131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172</v>
      </c>
      <c r="C15" s="12" t="s">
        <v>555</v>
      </c>
      <c r="D15" s="10" t="s">
        <v>554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1355</v>
      </c>
      <c r="C16" s="4" t="s">
        <v>1356</v>
      </c>
      <c r="D16" s="16" t="s">
        <v>178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1266</v>
      </c>
      <c r="C17" s="4" t="s">
        <v>40</v>
      </c>
      <c r="D17" s="10" t="s">
        <v>178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1357</v>
      </c>
      <c r="C18" s="4" t="s">
        <v>1358</v>
      </c>
      <c r="D18" s="10" t="s">
        <v>178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39</v>
      </c>
      <c r="C19" s="4" t="s">
        <v>40</v>
      </c>
      <c r="D19" s="15" t="s">
        <v>178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1201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58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179</v>
      </c>
      <c r="C22" s="12" t="s">
        <v>559</v>
      </c>
      <c r="D22" s="15" t="s">
        <v>162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63</v>
      </c>
      <c r="C23" s="12" t="s">
        <v>64</v>
      </c>
      <c r="D23" s="15" t="s">
        <v>68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238</v>
      </c>
      <c r="C24" s="4" t="s">
        <v>239</v>
      </c>
      <c r="D24" s="15" t="s">
        <v>68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290</v>
      </c>
      <c r="C25" s="4" t="s">
        <v>1374</v>
      </c>
      <c r="D25" s="15" t="s">
        <v>302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1359</v>
      </c>
      <c r="C26" s="12" t="s">
        <v>101</v>
      </c>
      <c r="D26" s="15" t="s">
        <v>119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77</v>
      </c>
      <c r="C27" s="4" t="s">
        <v>78</v>
      </c>
      <c r="D27" s="10" t="s">
        <v>87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80</v>
      </c>
      <c r="C28" s="12" t="s">
        <v>78</v>
      </c>
      <c r="D28" s="15" t="s">
        <v>87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1267</v>
      </c>
      <c r="C29" s="12" t="s">
        <v>1268</v>
      </c>
      <c r="D29" s="15" t="s">
        <v>87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82</v>
      </c>
      <c r="C30" s="12" t="s">
        <v>1215</v>
      </c>
      <c r="D30" s="15" t="s">
        <v>1375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221</v>
      </c>
      <c r="C31" s="17" t="s">
        <v>1376</v>
      </c>
      <c r="D31" s="15" t="s">
        <v>208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85</v>
      </c>
      <c r="C32" s="4" t="s">
        <v>1269</v>
      </c>
      <c r="D32" s="10" t="s">
        <v>208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89</v>
      </c>
      <c r="C33" s="17" t="s">
        <v>90</v>
      </c>
      <c r="D33" s="15" t="s">
        <v>87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92</v>
      </c>
      <c r="C34" s="4" t="s">
        <v>1377</v>
      </c>
      <c r="D34" s="10" t="s">
        <v>105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1193</v>
      </c>
      <c r="C35" s="12" t="s">
        <v>101</v>
      </c>
      <c r="D35" s="15" t="s">
        <v>105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1360</v>
      </c>
      <c r="C36" s="12" t="s">
        <v>101</v>
      </c>
      <c r="D36" s="15" t="s">
        <v>105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111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112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113</v>
      </c>
      <c r="C40" s="4" t="s">
        <v>114</v>
      </c>
      <c r="D40" s="10" t="s">
        <v>115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116</v>
      </c>
      <c r="C41" s="4" t="s">
        <v>802</v>
      </c>
      <c r="D41" s="10" t="s">
        <v>108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125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541</v>
      </c>
      <c r="C45" s="4" t="s">
        <v>542</v>
      </c>
      <c r="D45" s="10" t="s">
        <v>115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543</v>
      </c>
      <c r="C46" s="4" t="s">
        <v>43</v>
      </c>
      <c r="D46" s="10" t="s">
        <v>131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38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133</v>
      </c>
      <c r="C50" s="4" t="s">
        <v>45</v>
      </c>
      <c r="D50" s="10" t="s">
        <v>178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134</v>
      </c>
      <c r="C51" s="4" t="s">
        <v>156</v>
      </c>
      <c r="D51" s="16" t="s">
        <v>178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1272</v>
      </c>
      <c r="C52" s="4" t="s">
        <v>156</v>
      </c>
      <c r="D52" s="10" t="s">
        <v>46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44</v>
      </c>
      <c r="C53" s="4" t="s">
        <v>556</v>
      </c>
      <c r="D53" s="10" t="s">
        <v>460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96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544</v>
      </c>
      <c r="C55" s="4" t="s">
        <v>139</v>
      </c>
      <c r="D55" s="10" t="s">
        <v>96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96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111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145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545</v>
      </c>
      <c r="C60" s="12" t="s">
        <v>147</v>
      </c>
      <c r="D60" s="15" t="s">
        <v>115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111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151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546</v>
      </c>
      <c r="C64" s="17" t="s">
        <v>547</v>
      </c>
      <c r="D64" s="10" t="s">
        <v>115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548</v>
      </c>
      <c r="C65" s="17" t="s">
        <v>549</v>
      </c>
      <c r="D65" s="15" t="s">
        <v>1202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155</v>
      </c>
      <c r="C66" s="4" t="s">
        <v>158</v>
      </c>
      <c r="D66" s="10" t="s">
        <v>460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550</v>
      </c>
      <c r="C67" s="17" t="s">
        <v>158</v>
      </c>
      <c r="D67" s="15" t="s">
        <v>1201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551</v>
      </c>
      <c r="C68" s="17" t="s">
        <v>156</v>
      </c>
      <c r="D68" s="15" t="s">
        <v>178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161</v>
      </c>
      <c r="C69" s="4" t="s">
        <v>139</v>
      </c>
      <c r="D69" s="10" t="s">
        <v>1378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1280</v>
      </c>
      <c r="C70" s="17" t="s">
        <v>70</v>
      </c>
      <c r="D70" s="15" t="s">
        <v>162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163</v>
      </c>
      <c r="C71" s="17" t="s">
        <v>70</v>
      </c>
      <c r="D71" s="15" t="s">
        <v>137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164</v>
      </c>
      <c r="C72" s="17" t="s">
        <v>70</v>
      </c>
      <c r="D72" s="15" t="s">
        <v>137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165</v>
      </c>
      <c r="C73" s="4" t="s">
        <v>166</v>
      </c>
      <c r="D73" s="10" t="s">
        <v>68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1361</v>
      </c>
      <c r="C74" s="17" t="s">
        <v>139</v>
      </c>
      <c r="D74" s="10" t="s">
        <v>76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81</v>
      </c>
      <c r="C75" s="17" t="s">
        <v>67</v>
      </c>
      <c r="D75" s="10" t="s">
        <v>87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66</v>
      </c>
      <c r="C76" s="17" t="s">
        <v>67</v>
      </c>
      <c r="D76" s="10" t="s">
        <v>105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111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169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170</v>
      </c>
      <c r="C80" s="4" t="s">
        <v>171</v>
      </c>
      <c r="D80" s="10" t="s">
        <v>115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552</v>
      </c>
      <c r="C81" s="4" t="s">
        <v>553</v>
      </c>
      <c r="D81" s="15" t="s">
        <v>1202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1362</v>
      </c>
      <c r="C82" s="4" t="s">
        <v>1363</v>
      </c>
      <c r="D82" s="15" t="s">
        <v>1202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176</v>
      </c>
      <c r="C83" s="4" t="s">
        <v>1216</v>
      </c>
      <c r="D83" s="15" t="s">
        <v>460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183</v>
      </c>
      <c r="C84" s="4" t="s">
        <v>186</v>
      </c>
      <c r="D84" s="10" t="s">
        <v>76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111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189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1379</v>
      </c>
      <c r="C88" s="4" t="s">
        <v>1380</v>
      </c>
      <c r="D88" s="10" t="s">
        <v>154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192</v>
      </c>
      <c r="C89" s="4" t="s">
        <v>130</v>
      </c>
      <c r="D89" s="10" t="s">
        <v>131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190</v>
      </c>
      <c r="C90" s="4" t="s">
        <v>130</v>
      </c>
      <c r="D90" s="10" t="s">
        <v>131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152</v>
      </c>
      <c r="C91" s="4" t="s">
        <v>156</v>
      </c>
      <c r="D91" s="10" t="s">
        <v>41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195</v>
      </c>
      <c r="C92" s="4" t="s">
        <v>45</v>
      </c>
      <c r="D92" s="10" t="s">
        <v>178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196</v>
      </c>
      <c r="C93" s="4" t="s">
        <v>556</v>
      </c>
      <c r="D93" s="15" t="s">
        <v>460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197</v>
      </c>
      <c r="C94" s="12" t="s">
        <v>158</v>
      </c>
      <c r="D94" s="15" t="s">
        <v>1201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198</v>
      </c>
      <c r="C95" s="12" t="s">
        <v>158</v>
      </c>
      <c r="D95" s="15" t="s">
        <v>1201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200</v>
      </c>
      <c r="C96" s="17" t="s">
        <v>70</v>
      </c>
      <c r="D96" s="15" t="s">
        <v>137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204</v>
      </c>
      <c r="C97" s="4" t="s">
        <v>205</v>
      </c>
      <c r="D97" s="10" t="s">
        <v>73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206</v>
      </c>
      <c r="C98" s="17" t="s">
        <v>207</v>
      </c>
      <c r="D98" s="15" t="s">
        <v>105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111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209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536</v>
      </c>
      <c r="C102" s="10" t="s">
        <v>537</v>
      </c>
      <c r="D102" s="15" t="s">
        <v>35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36</v>
      </c>
      <c r="C103" s="4" t="s">
        <v>214</v>
      </c>
      <c r="D103" s="10" t="s">
        <v>178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1381</v>
      </c>
      <c r="C104" s="4" t="s">
        <v>1382</v>
      </c>
      <c r="D104" s="15" t="s">
        <v>1201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219</v>
      </c>
      <c r="C105" s="4" t="s">
        <v>220</v>
      </c>
      <c r="D105" s="15" t="s">
        <v>68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111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223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224</v>
      </c>
      <c r="C109" s="12" t="s">
        <v>225</v>
      </c>
      <c r="D109" s="15" t="s">
        <v>115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226</v>
      </c>
      <c r="C110" s="4" t="s">
        <v>227</v>
      </c>
      <c r="D110" s="16" t="s">
        <v>35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228</v>
      </c>
      <c r="C111" s="4" t="s">
        <v>442</v>
      </c>
      <c r="D111" s="10" t="s">
        <v>52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231</v>
      </c>
      <c r="C112" s="4" t="s">
        <v>442</v>
      </c>
      <c r="D112" s="10" t="s">
        <v>52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232</v>
      </c>
      <c r="C113" s="4" t="s">
        <v>233</v>
      </c>
      <c r="D113" s="15" t="s">
        <v>558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235</v>
      </c>
      <c r="C114" s="4" t="s">
        <v>233</v>
      </c>
      <c r="D114" s="10" t="s">
        <v>208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236</v>
      </c>
      <c r="C115" s="4" t="s">
        <v>233</v>
      </c>
      <c r="D115" s="15" t="s">
        <v>105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111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252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253</v>
      </c>
      <c r="C119" s="12" t="s">
        <v>254</v>
      </c>
      <c r="D119" s="15" t="s">
        <v>115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1383</v>
      </c>
      <c r="B120" s="11" t="s">
        <v>1384</v>
      </c>
      <c r="C120" s="12" t="s">
        <v>1385</v>
      </c>
      <c r="D120" s="15" t="s">
        <v>154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255</v>
      </c>
      <c r="C121" s="12" t="s">
        <v>258</v>
      </c>
      <c r="D121" s="15" t="s">
        <v>131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257</v>
      </c>
      <c r="C122" s="12" t="s">
        <v>258</v>
      </c>
      <c r="D122" s="15" t="s">
        <v>131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560</v>
      </c>
      <c r="C123" s="12" t="s">
        <v>258</v>
      </c>
      <c r="D123" s="15" t="s">
        <v>49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259</v>
      </c>
      <c r="C124" s="12" t="s">
        <v>260</v>
      </c>
      <c r="D124" s="15" t="s">
        <v>46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261</v>
      </c>
      <c r="C125" s="12" t="s">
        <v>495</v>
      </c>
      <c r="D125" s="15" t="s">
        <v>460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262</v>
      </c>
      <c r="C126" s="12" t="s">
        <v>1218</v>
      </c>
      <c r="D126" s="15" t="s">
        <v>460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1386</v>
      </c>
      <c r="C127" s="12" t="s">
        <v>1387</v>
      </c>
      <c r="D127" s="15" t="s">
        <v>540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265</v>
      </c>
      <c r="C128" s="12" t="s">
        <v>266</v>
      </c>
      <c r="D128" s="10" t="s">
        <v>87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267</v>
      </c>
      <c r="C129" s="12" t="s">
        <v>268</v>
      </c>
      <c r="D129" s="15" t="s">
        <v>105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111</v>
      </c>
      <c r="C130" s="26" t="s">
        <v>271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272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561</v>
      </c>
      <c r="C133" s="12" t="s">
        <v>562</v>
      </c>
      <c r="D133" s="15" t="s">
        <v>115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563</v>
      </c>
      <c r="C134" s="12" t="s">
        <v>564</v>
      </c>
      <c r="D134" s="15" t="s">
        <v>154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276</v>
      </c>
      <c r="C135" s="4" t="s">
        <v>277</v>
      </c>
      <c r="D135" s="16" t="s">
        <v>35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278</v>
      </c>
      <c r="C136" s="12" t="s">
        <v>565</v>
      </c>
      <c r="D136" s="15" t="s">
        <v>178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280</v>
      </c>
      <c r="C137" s="4" t="s">
        <v>566</v>
      </c>
      <c r="D137" s="15" t="s">
        <v>178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213</v>
      </c>
      <c r="C138" s="4" t="s">
        <v>568</v>
      </c>
      <c r="D138" s="15" t="s">
        <v>460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215</v>
      </c>
      <c r="C139" s="12" t="s">
        <v>567</v>
      </c>
      <c r="D139" s="15" t="s">
        <v>162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283</v>
      </c>
      <c r="C140" s="12" t="s">
        <v>567</v>
      </c>
      <c r="D140" s="15" t="s">
        <v>162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284</v>
      </c>
      <c r="C141" s="4" t="s">
        <v>568</v>
      </c>
      <c r="D141" s="15" t="s">
        <v>162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286</v>
      </c>
      <c r="C142" s="12" t="s">
        <v>569</v>
      </c>
      <c r="D142" s="15" t="s">
        <v>68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288</v>
      </c>
      <c r="C143" s="12" t="s">
        <v>1220</v>
      </c>
      <c r="D143" s="15" t="s">
        <v>302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60</v>
      </c>
      <c r="C144" s="12" t="s">
        <v>569</v>
      </c>
      <c r="D144" s="15" t="s">
        <v>162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292</v>
      </c>
      <c r="C145" s="4" t="s">
        <v>570</v>
      </c>
      <c r="D145" s="15" t="s">
        <v>76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293</v>
      </c>
      <c r="C146" s="4" t="s">
        <v>570</v>
      </c>
      <c r="D146" s="15" t="s">
        <v>119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295</v>
      </c>
      <c r="C147" s="4" t="s">
        <v>570</v>
      </c>
      <c r="D147" s="15" t="s">
        <v>119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296</v>
      </c>
      <c r="C148" s="12" t="s">
        <v>297</v>
      </c>
      <c r="D148" s="15" t="s">
        <v>73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1203</v>
      </c>
      <c r="C149" s="12" t="s">
        <v>299</v>
      </c>
      <c r="D149" s="10" t="s">
        <v>96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300</v>
      </c>
      <c r="C150" s="12" t="s">
        <v>301</v>
      </c>
      <c r="D150" s="15" t="s">
        <v>76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303</v>
      </c>
      <c r="C151" s="12" t="s">
        <v>304</v>
      </c>
      <c r="D151" s="15" t="s">
        <v>87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305</v>
      </c>
      <c r="C152" s="12" t="s">
        <v>306</v>
      </c>
      <c r="D152" s="15" t="s">
        <v>76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307</v>
      </c>
      <c r="C153" s="12" t="s">
        <v>308</v>
      </c>
      <c r="D153" s="15" t="s">
        <v>87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309</v>
      </c>
      <c r="C154" s="12" t="s">
        <v>317</v>
      </c>
      <c r="D154" s="15" t="s">
        <v>1375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1388</v>
      </c>
      <c r="C155" s="12" t="s">
        <v>315</v>
      </c>
      <c r="D155" s="15" t="s">
        <v>105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314</v>
      </c>
      <c r="C156" s="12" t="s">
        <v>315</v>
      </c>
      <c r="D156" s="15" t="s">
        <v>108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316</v>
      </c>
      <c r="C157" s="12" t="s">
        <v>317</v>
      </c>
      <c r="D157" s="15" t="s">
        <v>108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318</v>
      </c>
      <c r="C158" s="12" t="s">
        <v>319</v>
      </c>
      <c r="D158" s="15" t="s">
        <v>105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320</v>
      </c>
      <c r="C159" s="12" t="s">
        <v>321</v>
      </c>
      <c r="D159" s="15" t="s">
        <v>105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331</v>
      </c>
      <c r="C160" s="12" t="s">
        <v>332</v>
      </c>
      <c r="D160" s="15" t="s">
        <v>350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334</v>
      </c>
      <c r="C161" s="12" t="s">
        <v>332</v>
      </c>
      <c r="D161" s="15" t="s">
        <v>350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335</v>
      </c>
      <c r="C162" s="12" t="s">
        <v>332</v>
      </c>
      <c r="D162" s="15" t="s">
        <v>350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923</v>
      </c>
      <c r="C163" s="12" t="s">
        <v>332</v>
      </c>
      <c r="D163" s="15" t="s">
        <v>350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336</v>
      </c>
      <c r="C164" s="12" t="s">
        <v>332</v>
      </c>
      <c r="D164" s="15" t="s">
        <v>350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337</v>
      </c>
      <c r="C165" s="12" t="s">
        <v>332</v>
      </c>
      <c r="D165" s="15" t="s">
        <v>350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338</v>
      </c>
      <c r="C166" s="12" t="s">
        <v>332</v>
      </c>
      <c r="D166" s="15" t="s">
        <v>347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340</v>
      </c>
      <c r="C167" s="12" t="s">
        <v>332</v>
      </c>
      <c r="D167" s="15" t="s">
        <v>347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1367</v>
      </c>
      <c r="C168" s="12" t="s">
        <v>332</v>
      </c>
      <c r="D168" s="15" t="s">
        <v>347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341</v>
      </c>
      <c r="C169" s="12" t="s">
        <v>332</v>
      </c>
      <c r="D169" s="15" t="s">
        <v>347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342</v>
      </c>
      <c r="C170" s="12" t="s">
        <v>332</v>
      </c>
      <c r="D170" s="15" t="s">
        <v>347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343</v>
      </c>
      <c r="C171" s="12" t="s">
        <v>332</v>
      </c>
      <c r="D171" s="15" t="s">
        <v>347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344</v>
      </c>
      <c r="C172" s="12" t="s">
        <v>332</v>
      </c>
      <c r="D172" s="15" t="s">
        <v>347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345</v>
      </c>
      <c r="C173" s="12" t="s">
        <v>352</v>
      </c>
      <c r="D173" s="15" t="s">
        <v>356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348</v>
      </c>
      <c r="C174" s="12" t="s">
        <v>352</v>
      </c>
      <c r="D174" s="15" t="s">
        <v>356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349</v>
      </c>
      <c r="C175" s="12" t="s">
        <v>352</v>
      </c>
      <c r="D175" s="15" t="s">
        <v>1199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351</v>
      </c>
      <c r="C176" s="12" t="s">
        <v>352</v>
      </c>
      <c r="D176" s="15" t="s">
        <v>1204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354</v>
      </c>
      <c r="C177" s="12" t="s">
        <v>355</v>
      </c>
      <c r="D177" s="15" t="s">
        <v>1205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357</v>
      </c>
      <c r="C178" s="12" t="s">
        <v>355</v>
      </c>
      <c r="D178" s="15" t="s">
        <v>1205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358</v>
      </c>
      <c r="C179" s="12" t="s">
        <v>355</v>
      </c>
      <c r="D179" s="15" t="s">
        <v>1205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359</v>
      </c>
      <c r="C180" s="12" t="s">
        <v>355</v>
      </c>
      <c r="D180" s="15" t="s">
        <v>1205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360</v>
      </c>
      <c r="C181" s="12" t="s">
        <v>355</v>
      </c>
      <c r="D181" s="15" t="s">
        <v>1205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361</v>
      </c>
      <c r="C182" s="12" t="s">
        <v>355</v>
      </c>
      <c r="D182" s="15" t="s">
        <v>1205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362</v>
      </c>
      <c r="C183" s="12" t="s">
        <v>355</v>
      </c>
      <c r="D183" s="15" t="s">
        <v>1205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499</v>
      </c>
      <c r="C184" s="12" t="s">
        <v>352</v>
      </c>
      <c r="D184" s="15" t="s">
        <v>1205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363</v>
      </c>
      <c r="C185" s="12" t="s">
        <v>352</v>
      </c>
      <c r="D185" s="15" t="s">
        <v>1205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364</v>
      </c>
      <c r="C186" s="12" t="s">
        <v>355</v>
      </c>
      <c r="D186" s="15" t="s">
        <v>1221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369</v>
      </c>
      <c r="C187" s="12" t="s">
        <v>355</v>
      </c>
      <c r="D187" s="15" t="s">
        <v>373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111</v>
      </c>
      <c r="C188" s="28" t="s">
        <v>1368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381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1372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1389</v>
      </c>
      <c r="G4" s="218" t="s">
        <v>1390</v>
      </c>
      <c r="H4" s="24" t="s">
        <v>781</v>
      </c>
    </row>
    <row r="5" customHeight="1" spans="1:8">
      <c r="A5" s="9" t="s">
        <v>21</v>
      </c>
      <c r="B5" s="8" t="s">
        <v>22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1263</v>
      </c>
      <c r="C7" s="4" t="s">
        <v>1352</v>
      </c>
      <c r="D7" s="10" t="s">
        <v>154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1353</v>
      </c>
      <c r="C8" s="4" t="s">
        <v>1354</v>
      </c>
      <c r="D8" s="10" t="s">
        <v>154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210</v>
      </c>
      <c r="C11" s="4" t="s">
        <v>1265</v>
      </c>
      <c r="D11" s="16" t="s">
        <v>35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273</v>
      </c>
      <c r="C13" s="4" t="s">
        <v>535</v>
      </c>
      <c r="D13" s="16" t="s">
        <v>35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33</v>
      </c>
      <c r="C14" s="12" t="s">
        <v>538</v>
      </c>
      <c r="D14" s="15" t="s">
        <v>131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172</v>
      </c>
      <c r="C15" s="12" t="s">
        <v>555</v>
      </c>
      <c r="D15" s="10" t="s">
        <v>554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1355</v>
      </c>
      <c r="C16" s="4" t="s">
        <v>1356</v>
      </c>
      <c r="D16" s="16" t="s">
        <v>178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1266</v>
      </c>
      <c r="C17" s="4" t="s">
        <v>40</v>
      </c>
      <c r="D17" s="10" t="s">
        <v>178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1357</v>
      </c>
      <c r="C18" s="4" t="s">
        <v>1358</v>
      </c>
      <c r="D18" s="10" t="s">
        <v>178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39</v>
      </c>
      <c r="C19" s="4" t="s">
        <v>40</v>
      </c>
      <c r="D19" s="15" t="s">
        <v>178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1201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58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179</v>
      </c>
      <c r="C22" s="12" t="s">
        <v>559</v>
      </c>
      <c r="D22" s="15" t="s">
        <v>162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63</v>
      </c>
      <c r="C23" s="12" t="s">
        <v>64</v>
      </c>
      <c r="D23" s="15" t="s">
        <v>68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238</v>
      </c>
      <c r="C24" s="4" t="s">
        <v>239</v>
      </c>
      <c r="D24" s="15" t="s">
        <v>68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290</v>
      </c>
      <c r="C25" s="4" t="s">
        <v>1374</v>
      </c>
      <c r="D25" s="15" t="s">
        <v>302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1359</v>
      </c>
      <c r="C26" s="12" t="s">
        <v>101</v>
      </c>
      <c r="D26" s="15" t="s">
        <v>119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77</v>
      </c>
      <c r="C27" s="4" t="s">
        <v>78</v>
      </c>
      <c r="D27" s="10" t="s">
        <v>87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80</v>
      </c>
      <c r="C28" s="12" t="s">
        <v>78</v>
      </c>
      <c r="D28" s="15" t="s">
        <v>87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1267</v>
      </c>
      <c r="C29" s="12" t="s">
        <v>1268</v>
      </c>
      <c r="D29" s="15" t="s">
        <v>87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82</v>
      </c>
      <c r="C30" s="12" t="s">
        <v>1215</v>
      </c>
      <c r="D30" s="15" t="s">
        <v>1375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221</v>
      </c>
      <c r="C31" s="17" t="s">
        <v>1376</v>
      </c>
      <c r="D31" s="15" t="s">
        <v>208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85</v>
      </c>
      <c r="C32" s="4" t="s">
        <v>1269</v>
      </c>
      <c r="D32" s="10" t="s">
        <v>208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89</v>
      </c>
      <c r="C33" s="17" t="s">
        <v>90</v>
      </c>
      <c r="D33" s="15" t="s">
        <v>87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92</v>
      </c>
      <c r="C34" s="4" t="s">
        <v>1377</v>
      </c>
      <c r="D34" s="10" t="s">
        <v>105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1193</v>
      </c>
      <c r="C35" s="12" t="s">
        <v>101</v>
      </c>
      <c r="D35" s="15" t="s">
        <v>105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1360</v>
      </c>
      <c r="C36" s="12" t="s">
        <v>101</v>
      </c>
      <c r="D36" s="15" t="s">
        <v>105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111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112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113</v>
      </c>
      <c r="C40" s="4" t="s">
        <v>114</v>
      </c>
      <c r="D40" s="10" t="s">
        <v>115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116</v>
      </c>
      <c r="C41" s="4" t="s">
        <v>802</v>
      </c>
      <c r="D41" s="10" t="s">
        <v>108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125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541</v>
      </c>
      <c r="C45" s="4" t="s">
        <v>542</v>
      </c>
      <c r="D45" s="10" t="s">
        <v>115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543</v>
      </c>
      <c r="C46" s="4" t="s">
        <v>43</v>
      </c>
      <c r="D46" s="10" t="s">
        <v>131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38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133</v>
      </c>
      <c r="C50" s="4" t="s">
        <v>45</v>
      </c>
      <c r="D50" s="10" t="s">
        <v>178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134</v>
      </c>
      <c r="C51" s="4" t="s">
        <v>156</v>
      </c>
      <c r="D51" s="16" t="s">
        <v>178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1272</v>
      </c>
      <c r="C52" s="4" t="s">
        <v>156</v>
      </c>
      <c r="D52" s="10" t="s">
        <v>46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44</v>
      </c>
      <c r="C53" s="4" t="s">
        <v>556</v>
      </c>
      <c r="D53" s="10" t="s">
        <v>460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96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544</v>
      </c>
      <c r="C55" s="4" t="s">
        <v>139</v>
      </c>
      <c r="D55" s="10" t="s">
        <v>96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96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111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145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545</v>
      </c>
      <c r="C60" s="12" t="s">
        <v>147</v>
      </c>
      <c r="D60" s="15" t="s">
        <v>115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111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151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546</v>
      </c>
      <c r="C64" s="17" t="s">
        <v>547</v>
      </c>
      <c r="D64" s="10" t="s">
        <v>115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548</v>
      </c>
      <c r="C65" s="17" t="s">
        <v>549</v>
      </c>
      <c r="D65" s="15" t="s">
        <v>1202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155</v>
      </c>
      <c r="C66" s="4" t="s">
        <v>158</v>
      </c>
      <c r="D66" s="10" t="s">
        <v>460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550</v>
      </c>
      <c r="C67" s="17" t="s">
        <v>158</v>
      </c>
      <c r="D67" s="15" t="s">
        <v>1201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551</v>
      </c>
      <c r="C68" s="17" t="s">
        <v>156</v>
      </c>
      <c r="D68" s="15" t="s">
        <v>178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161</v>
      </c>
      <c r="C69" s="4" t="s">
        <v>139</v>
      </c>
      <c r="D69" s="10" t="s">
        <v>1378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1280</v>
      </c>
      <c r="C70" s="17" t="s">
        <v>70</v>
      </c>
      <c r="D70" s="15" t="s">
        <v>162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163</v>
      </c>
      <c r="C71" s="17" t="s">
        <v>70</v>
      </c>
      <c r="D71" s="15" t="s">
        <v>137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164</v>
      </c>
      <c r="C72" s="17" t="s">
        <v>70</v>
      </c>
      <c r="D72" s="15" t="s">
        <v>137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165</v>
      </c>
      <c r="C73" s="4" t="s">
        <v>166</v>
      </c>
      <c r="D73" s="10" t="s">
        <v>68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1361</v>
      </c>
      <c r="C74" s="17" t="s">
        <v>139</v>
      </c>
      <c r="D74" s="10" t="s">
        <v>76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81</v>
      </c>
      <c r="C75" s="17" t="s">
        <v>67</v>
      </c>
      <c r="D75" s="10" t="s">
        <v>87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66</v>
      </c>
      <c r="C76" s="17" t="s">
        <v>67</v>
      </c>
      <c r="D76" s="10" t="s">
        <v>105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111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169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170</v>
      </c>
      <c r="C80" s="4" t="s">
        <v>171</v>
      </c>
      <c r="D80" s="10" t="s">
        <v>115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552</v>
      </c>
      <c r="C81" s="4" t="s">
        <v>553</v>
      </c>
      <c r="D81" s="15" t="s">
        <v>1202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1362</v>
      </c>
      <c r="C82" s="4" t="s">
        <v>1363</v>
      </c>
      <c r="D82" s="15" t="s">
        <v>1202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176</v>
      </c>
      <c r="C83" s="4" t="s">
        <v>1216</v>
      </c>
      <c r="D83" s="15" t="s">
        <v>460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183</v>
      </c>
      <c r="C84" s="4" t="s">
        <v>186</v>
      </c>
      <c r="D84" s="10" t="s">
        <v>76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111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189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1379</v>
      </c>
      <c r="C88" s="4" t="s">
        <v>1380</v>
      </c>
      <c r="D88" s="10" t="s">
        <v>154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192</v>
      </c>
      <c r="C89" s="4" t="s">
        <v>130</v>
      </c>
      <c r="D89" s="10" t="s">
        <v>131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190</v>
      </c>
      <c r="C90" s="4" t="s">
        <v>130</v>
      </c>
      <c r="D90" s="10" t="s">
        <v>131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152</v>
      </c>
      <c r="C91" s="4" t="s">
        <v>156</v>
      </c>
      <c r="D91" s="10" t="s">
        <v>41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195</v>
      </c>
      <c r="C92" s="4" t="s">
        <v>45</v>
      </c>
      <c r="D92" s="10" t="s">
        <v>178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196</v>
      </c>
      <c r="C93" s="4" t="s">
        <v>556</v>
      </c>
      <c r="D93" s="15" t="s">
        <v>460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197</v>
      </c>
      <c r="C94" s="12" t="s">
        <v>158</v>
      </c>
      <c r="D94" s="15" t="s">
        <v>1201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198</v>
      </c>
      <c r="C95" s="12" t="s">
        <v>158</v>
      </c>
      <c r="D95" s="15" t="s">
        <v>1201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200</v>
      </c>
      <c r="C96" s="17" t="s">
        <v>70</v>
      </c>
      <c r="D96" s="15" t="s">
        <v>137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204</v>
      </c>
      <c r="C97" s="4" t="s">
        <v>205</v>
      </c>
      <c r="D97" s="10" t="s">
        <v>73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206</v>
      </c>
      <c r="C98" s="17" t="s">
        <v>207</v>
      </c>
      <c r="D98" s="15" t="s">
        <v>105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111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209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536</v>
      </c>
      <c r="C102" s="10" t="s">
        <v>537</v>
      </c>
      <c r="D102" s="15" t="s">
        <v>35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36</v>
      </c>
      <c r="C103" s="4" t="s">
        <v>214</v>
      </c>
      <c r="D103" s="10" t="s">
        <v>178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1381</v>
      </c>
      <c r="C104" s="4" t="s">
        <v>1382</v>
      </c>
      <c r="D104" s="15" t="s">
        <v>1201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219</v>
      </c>
      <c r="C105" s="4" t="s">
        <v>220</v>
      </c>
      <c r="D105" s="15" t="s">
        <v>68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111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223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224</v>
      </c>
      <c r="C109" s="12" t="s">
        <v>225</v>
      </c>
      <c r="D109" s="15" t="s">
        <v>115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226</v>
      </c>
      <c r="C110" s="4" t="s">
        <v>227</v>
      </c>
      <c r="D110" s="16" t="s">
        <v>35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228</v>
      </c>
      <c r="C111" s="4" t="s">
        <v>442</v>
      </c>
      <c r="D111" s="10" t="s">
        <v>52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231</v>
      </c>
      <c r="C112" s="4" t="s">
        <v>442</v>
      </c>
      <c r="D112" s="10" t="s">
        <v>52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232</v>
      </c>
      <c r="C113" s="4" t="s">
        <v>233</v>
      </c>
      <c r="D113" s="15" t="s">
        <v>558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235</v>
      </c>
      <c r="C114" s="4" t="s">
        <v>233</v>
      </c>
      <c r="D114" s="10" t="s">
        <v>208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236</v>
      </c>
      <c r="C115" s="4" t="s">
        <v>233</v>
      </c>
      <c r="D115" s="15" t="s">
        <v>105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111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252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253</v>
      </c>
      <c r="C119" s="12" t="s">
        <v>254</v>
      </c>
      <c r="D119" s="15" t="s">
        <v>115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1383</v>
      </c>
      <c r="B120" s="11" t="s">
        <v>1384</v>
      </c>
      <c r="C120" s="12" t="s">
        <v>1385</v>
      </c>
      <c r="D120" s="15" t="s">
        <v>154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255</v>
      </c>
      <c r="C121" s="12" t="s">
        <v>258</v>
      </c>
      <c r="D121" s="15" t="s">
        <v>131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257</v>
      </c>
      <c r="C122" s="12" t="s">
        <v>258</v>
      </c>
      <c r="D122" s="15" t="s">
        <v>131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560</v>
      </c>
      <c r="C123" s="12" t="s">
        <v>258</v>
      </c>
      <c r="D123" s="15" t="s">
        <v>49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259</v>
      </c>
      <c r="C124" s="12" t="s">
        <v>260</v>
      </c>
      <c r="D124" s="15" t="s">
        <v>46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261</v>
      </c>
      <c r="C125" s="12" t="s">
        <v>495</v>
      </c>
      <c r="D125" s="15" t="s">
        <v>460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262</v>
      </c>
      <c r="C126" s="12" t="s">
        <v>1218</v>
      </c>
      <c r="D126" s="15" t="s">
        <v>460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1386</v>
      </c>
      <c r="C127" s="12" t="s">
        <v>1387</v>
      </c>
      <c r="D127" s="15" t="s">
        <v>540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265</v>
      </c>
      <c r="C128" s="12" t="s">
        <v>266</v>
      </c>
      <c r="D128" s="10" t="s">
        <v>87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267</v>
      </c>
      <c r="C129" s="12" t="s">
        <v>268</v>
      </c>
      <c r="D129" s="15" t="s">
        <v>105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111</v>
      </c>
      <c r="C130" s="26" t="s">
        <v>271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272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561</v>
      </c>
      <c r="C133" s="12" t="s">
        <v>562</v>
      </c>
      <c r="D133" s="15" t="s">
        <v>115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563</v>
      </c>
      <c r="C134" s="12" t="s">
        <v>564</v>
      </c>
      <c r="D134" s="15" t="s">
        <v>154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276</v>
      </c>
      <c r="C135" s="4" t="s">
        <v>277</v>
      </c>
      <c r="D135" s="16" t="s">
        <v>35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278</v>
      </c>
      <c r="C136" s="12" t="s">
        <v>565</v>
      </c>
      <c r="D136" s="15" t="s">
        <v>178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280</v>
      </c>
      <c r="C137" s="4" t="s">
        <v>566</v>
      </c>
      <c r="D137" s="15" t="s">
        <v>178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213</v>
      </c>
      <c r="C138" s="4" t="s">
        <v>568</v>
      </c>
      <c r="D138" s="15" t="s">
        <v>460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215</v>
      </c>
      <c r="C139" s="12" t="s">
        <v>567</v>
      </c>
      <c r="D139" s="15" t="s">
        <v>162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283</v>
      </c>
      <c r="C140" s="12" t="s">
        <v>567</v>
      </c>
      <c r="D140" s="15" t="s">
        <v>162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284</v>
      </c>
      <c r="C141" s="4" t="s">
        <v>568</v>
      </c>
      <c r="D141" s="15" t="s">
        <v>162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286</v>
      </c>
      <c r="C142" s="12" t="s">
        <v>569</v>
      </c>
      <c r="D142" s="15" t="s">
        <v>68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288</v>
      </c>
      <c r="C143" s="12" t="s">
        <v>1220</v>
      </c>
      <c r="D143" s="15" t="s">
        <v>302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60</v>
      </c>
      <c r="C144" s="12" t="s">
        <v>569</v>
      </c>
      <c r="D144" s="15" t="s">
        <v>162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292</v>
      </c>
      <c r="C145" s="4" t="s">
        <v>570</v>
      </c>
      <c r="D145" s="15" t="s">
        <v>76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293</v>
      </c>
      <c r="C146" s="4" t="s">
        <v>570</v>
      </c>
      <c r="D146" s="15" t="s">
        <v>119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295</v>
      </c>
      <c r="C147" s="4" t="s">
        <v>570</v>
      </c>
      <c r="D147" s="15" t="s">
        <v>119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296</v>
      </c>
      <c r="C148" s="12" t="s">
        <v>297</v>
      </c>
      <c r="D148" s="15" t="s">
        <v>73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1203</v>
      </c>
      <c r="C149" s="12" t="s">
        <v>299</v>
      </c>
      <c r="D149" s="10" t="s">
        <v>96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300</v>
      </c>
      <c r="C150" s="12" t="s">
        <v>301</v>
      </c>
      <c r="D150" s="15" t="s">
        <v>76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303</v>
      </c>
      <c r="C151" s="12" t="s">
        <v>304</v>
      </c>
      <c r="D151" s="15" t="s">
        <v>87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305</v>
      </c>
      <c r="C152" s="12" t="s">
        <v>306</v>
      </c>
      <c r="D152" s="15" t="s">
        <v>76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307</v>
      </c>
      <c r="C153" s="12" t="s">
        <v>308</v>
      </c>
      <c r="D153" s="15" t="s">
        <v>87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309</v>
      </c>
      <c r="C154" s="12" t="s">
        <v>317</v>
      </c>
      <c r="D154" s="15" t="s">
        <v>1375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1388</v>
      </c>
      <c r="C155" s="12" t="s">
        <v>315</v>
      </c>
      <c r="D155" s="15" t="s">
        <v>105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314</v>
      </c>
      <c r="C156" s="12" t="s">
        <v>315</v>
      </c>
      <c r="D156" s="15" t="s">
        <v>108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316</v>
      </c>
      <c r="C157" s="12" t="s">
        <v>317</v>
      </c>
      <c r="D157" s="15" t="s">
        <v>108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318</v>
      </c>
      <c r="C158" s="12" t="s">
        <v>319</v>
      </c>
      <c r="D158" s="15" t="s">
        <v>105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320</v>
      </c>
      <c r="C159" s="12" t="s">
        <v>321</v>
      </c>
      <c r="D159" s="15" t="s">
        <v>105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331</v>
      </c>
      <c r="C160" s="12" t="s">
        <v>332</v>
      </c>
      <c r="D160" s="15" t="s">
        <v>350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334</v>
      </c>
      <c r="C161" s="12" t="s">
        <v>332</v>
      </c>
      <c r="D161" s="15" t="s">
        <v>350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335</v>
      </c>
      <c r="C162" s="12" t="s">
        <v>332</v>
      </c>
      <c r="D162" s="15" t="s">
        <v>350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923</v>
      </c>
      <c r="C163" s="12" t="s">
        <v>332</v>
      </c>
      <c r="D163" s="15" t="s">
        <v>350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336</v>
      </c>
      <c r="C164" s="12" t="s">
        <v>332</v>
      </c>
      <c r="D164" s="15" t="s">
        <v>350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337</v>
      </c>
      <c r="C165" s="12" t="s">
        <v>332</v>
      </c>
      <c r="D165" s="15" t="s">
        <v>350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338</v>
      </c>
      <c r="C166" s="12" t="s">
        <v>332</v>
      </c>
      <c r="D166" s="15" t="s">
        <v>347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340</v>
      </c>
      <c r="C167" s="12" t="s">
        <v>332</v>
      </c>
      <c r="D167" s="15" t="s">
        <v>347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1367</v>
      </c>
      <c r="C168" s="12" t="s">
        <v>332</v>
      </c>
      <c r="D168" s="15" t="s">
        <v>347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341</v>
      </c>
      <c r="C169" s="12" t="s">
        <v>332</v>
      </c>
      <c r="D169" s="15" t="s">
        <v>347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342</v>
      </c>
      <c r="C170" s="12" t="s">
        <v>332</v>
      </c>
      <c r="D170" s="15" t="s">
        <v>347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343</v>
      </c>
      <c r="C171" s="12" t="s">
        <v>332</v>
      </c>
      <c r="D171" s="15" t="s">
        <v>347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344</v>
      </c>
      <c r="C172" s="12" t="s">
        <v>332</v>
      </c>
      <c r="D172" s="15" t="s">
        <v>347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345</v>
      </c>
      <c r="C173" s="12" t="s">
        <v>352</v>
      </c>
      <c r="D173" s="15" t="s">
        <v>356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348</v>
      </c>
      <c r="C174" s="12" t="s">
        <v>352</v>
      </c>
      <c r="D174" s="15" t="s">
        <v>356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349</v>
      </c>
      <c r="C175" s="12" t="s">
        <v>352</v>
      </c>
      <c r="D175" s="15" t="s">
        <v>1199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351</v>
      </c>
      <c r="C176" s="12" t="s">
        <v>352</v>
      </c>
      <c r="D176" s="15" t="s">
        <v>1204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354</v>
      </c>
      <c r="C177" s="12" t="s">
        <v>355</v>
      </c>
      <c r="D177" s="15" t="s">
        <v>1205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357</v>
      </c>
      <c r="C178" s="12" t="s">
        <v>355</v>
      </c>
      <c r="D178" s="15" t="s">
        <v>1205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358</v>
      </c>
      <c r="C179" s="12" t="s">
        <v>355</v>
      </c>
      <c r="D179" s="15" t="s">
        <v>1205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359</v>
      </c>
      <c r="C180" s="12" t="s">
        <v>355</v>
      </c>
      <c r="D180" s="15" t="s">
        <v>1205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360</v>
      </c>
      <c r="C181" s="12" t="s">
        <v>355</v>
      </c>
      <c r="D181" s="15" t="s">
        <v>1205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361</v>
      </c>
      <c r="C182" s="12" t="s">
        <v>355</v>
      </c>
      <c r="D182" s="15" t="s">
        <v>1205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362</v>
      </c>
      <c r="C183" s="12" t="s">
        <v>355</v>
      </c>
      <c r="D183" s="15" t="s">
        <v>1205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499</v>
      </c>
      <c r="C184" s="12" t="s">
        <v>352</v>
      </c>
      <c r="D184" s="15" t="s">
        <v>1205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363</v>
      </c>
      <c r="C185" s="12" t="s">
        <v>352</v>
      </c>
      <c r="D185" s="15" t="s">
        <v>1205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364</v>
      </c>
      <c r="C186" s="12" t="s">
        <v>355</v>
      </c>
      <c r="D186" s="15" t="s">
        <v>1221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369</v>
      </c>
      <c r="C187" s="12" t="s">
        <v>355</v>
      </c>
      <c r="D187" s="15" t="s">
        <v>373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111</v>
      </c>
      <c r="C188" s="28" t="s">
        <v>1368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381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504</v>
      </c>
    </row>
    <row r="3" ht="13" spans="1:1">
      <c r="A3" s="214" t="s">
        <v>1391</v>
      </c>
    </row>
    <row r="4" ht="90" customHeight="1" spans="1:28">
      <c r="A4" s="215" t="s">
        <v>506</v>
      </c>
      <c r="B4" s="215" t="s">
        <v>507</v>
      </c>
      <c r="C4" s="215" t="s">
        <v>508</v>
      </c>
      <c r="D4" s="215" t="s">
        <v>509</v>
      </c>
      <c r="E4" s="215" t="s">
        <v>510</v>
      </c>
      <c r="F4" s="215" t="s">
        <v>511</v>
      </c>
      <c r="G4" s="215" t="s">
        <v>512</v>
      </c>
      <c r="H4" s="215" t="s">
        <v>513</v>
      </c>
      <c r="I4" s="215" t="s">
        <v>514</v>
      </c>
      <c r="J4" s="215"/>
      <c r="K4" s="215"/>
      <c r="L4" s="215"/>
      <c r="M4" s="215" t="s">
        <v>515</v>
      </c>
      <c r="N4" s="215" t="s">
        <v>516</v>
      </c>
      <c r="O4" s="215" t="s">
        <v>517</v>
      </c>
      <c r="P4" s="215" t="s">
        <v>518</v>
      </c>
      <c r="Q4" s="215" t="s">
        <v>519</v>
      </c>
      <c r="R4" s="215" t="s">
        <v>520</v>
      </c>
      <c r="S4" s="215" t="s">
        <v>521</v>
      </c>
      <c r="T4" s="215" t="s">
        <v>522</v>
      </c>
      <c r="U4" s="215" t="s">
        <v>523</v>
      </c>
      <c r="V4" s="215" t="s">
        <v>524</v>
      </c>
      <c r="W4" s="215"/>
      <c r="X4" s="215" t="s">
        <v>525</v>
      </c>
      <c r="Y4" s="215" t="s">
        <v>526</v>
      </c>
      <c r="Z4" s="215" t="s">
        <v>527</v>
      </c>
      <c r="AA4" s="215" t="s">
        <v>1392</v>
      </c>
      <c r="AB4" s="215" t="s">
        <v>444</v>
      </c>
    </row>
    <row r="5" spans="1:28">
      <c r="A5">
        <v>1</v>
      </c>
      <c r="B5" s="213" t="s">
        <v>23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1263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1353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26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29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210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31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273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33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172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1355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1266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1357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39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50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53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179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63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238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290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1359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77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80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1267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82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221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85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89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92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1193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1360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113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116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541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543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126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129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132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133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134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1272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44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142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544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143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545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148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546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548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155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550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551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161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1280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163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164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165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1361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81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66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170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552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1362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176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183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1379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192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190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152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195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196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197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198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200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204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206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536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36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1381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219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224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226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228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231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232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235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236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253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1384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255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257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560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259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261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262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1386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265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267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561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563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276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278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280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213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215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283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284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286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288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60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292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293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295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296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1203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300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303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305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307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309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1388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314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316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318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320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331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334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335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923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336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337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338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340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1367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341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342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343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344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345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348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349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351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354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357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358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359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360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361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362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499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363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364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369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1393</v>
      </c>
    </row>
    <row r="2" ht="5.25" customHeight="1" spans="6:7">
      <c r="F2" s="150"/>
      <c r="G2" s="150"/>
    </row>
    <row r="3" customHeight="1" spans="2:7">
      <c r="B3" s="107" t="s">
        <v>1394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1395</v>
      </c>
      <c r="E6" s="55"/>
      <c r="F6" s="68"/>
      <c r="G6" s="68"/>
    </row>
    <row r="7" ht="37.15" customHeight="1" spans="1:7">
      <c r="A7" s="43"/>
      <c r="B7" s="42"/>
      <c r="C7" s="55"/>
      <c r="D7" s="55" t="s">
        <v>1396</v>
      </c>
      <c r="E7" s="111" t="s">
        <v>1397</v>
      </c>
      <c r="F7" s="111" t="s">
        <v>1398</v>
      </c>
      <c r="G7" s="57" t="s">
        <v>781</v>
      </c>
    </row>
    <row r="8" customHeight="1" spans="1:7">
      <c r="A8" s="42" t="s">
        <v>21</v>
      </c>
      <c r="B8" s="182" t="s">
        <v>22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23</v>
      </c>
      <c r="C9" s="117" t="s">
        <v>24</v>
      </c>
      <c r="D9" s="117" t="s">
        <v>25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1399</v>
      </c>
      <c r="C10" s="117" t="s">
        <v>1400</v>
      </c>
      <c r="D10" s="119" t="s">
        <v>115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1263</v>
      </c>
      <c r="C11" s="43" t="s">
        <v>1401</v>
      </c>
      <c r="D11" s="49" t="s">
        <v>35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1353</v>
      </c>
      <c r="C12" s="120" t="s">
        <v>1354</v>
      </c>
      <c r="D12" s="121" t="s">
        <v>35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26</v>
      </c>
      <c r="C13" s="117" t="s">
        <v>27</v>
      </c>
      <c r="D13" s="49" t="s">
        <v>1402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29</v>
      </c>
      <c r="C14" s="43" t="s">
        <v>30</v>
      </c>
      <c r="D14" s="119" t="s">
        <v>1202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210</v>
      </c>
      <c r="C15" s="43" t="s">
        <v>1403</v>
      </c>
      <c r="D15" s="124" t="s">
        <v>131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31</v>
      </c>
      <c r="C16" s="17" t="s">
        <v>549</v>
      </c>
      <c r="D16" s="10" t="s">
        <v>131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273</v>
      </c>
      <c r="C17" s="43" t="s">
        <v>1404</v>
      </c>
      <c r="D17" s="49" t="s">
        <v>131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33</v>
      </c>
      <c r="C18" s="117" t="s">
        <v>1405</v>
      </c>
      <c r="D18" s="119" t="s">
        <v>131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172</v>
      </c>
      <c r="C19" s="117" t="s">
        <v>555</v>
      </c>
      <c r="D19" s="50" t="s">
        <v>1202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1355</v>
      </c>
      <c r="C20" s="120" t="s">
        <v>1356</v>
      </c>
      <c r="D20" s="127" t="s">
        <v>46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1266</v>
      </c>
      <c r="C21" s="120" t="s">
        <v>40</v>
      </c>
      <c r="D21" s="49" t="s">
        <v>46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1357</v>
      </c>
      <c r="C22" s="43" t="s">
        <v>1358</v>
      </c>
      <c r="D22" s="49" t="s">
        <v>46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39</v>
      </c>
      <c r="C23" s="120" t="s">
        <v>1406</v>
      </c>
      <c r="D23" s="119" t="s">
        <v>52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176</v>
      </c>
      <c r="C24" s="43" t="s">
        <v>1216</v>
      </c>
      <c r="D24" s="119" t="s">
        <v>1201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50</v>
      </c>
      <c r="C25" s="117" t="s">
        <v>51</v>
      </c>
      <c r="D25" s="119" t="s">
        <v>202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53</v>
      </c>
      <c r="C26" s="43" t="s">
        <v>54</v>
      </c>
      <c r="D26" s="119" t="s">
        <v>634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179</v>
      </c>
      <c r="C27" s="117" t="s">
        <v>559</v>
      </c>
      <c r="D27" s="119" t="s">
        <v>68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63</v>
      </c>
      <c r="C28" s="117" t="s">
        <v>104</v>
      </c>
      <c r="D28" s="119" t="s">
        <v>302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238</v>
      </c>
      <c r="C29" s="43" t="s">
        <v>1407</v>
      </c>
      <c r="D29" s="119" t="s">
        <v>302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290</v>
      </c>
      <c r="C30" s="43" t="s">
        <v>1374</v>
      </c>
      <c r="D30" s="119" t="s">
        <v>119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1359</v>
      </c>
      <c r="C31" s="117" t="s">
        <v>101</v>
      </c>
      <c r="D31" s="119" t="s">
        <v>76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77</v>
      </c>
      <c r="C32" s="46" t="s">
        <v>78</v>
      </c>
      <c r="D32" s="49" t="s">
        <v>96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80</v>
      </c>
      <c r="C33" s="117" t="s">
        <v>78</v>
      </c>
      <c r="D33" s="119" t="s">
        <v>1375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1267</v>
      </c>
      <c r="C34" s="117" t="s">
        <v>1215</v>
      </c>
      <c r="D34" s="119" t="s">
        <v>208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82</v>
      </c>
      <c r="C35" s="117" t="s">
        <v>1215</v>
      </c>
      <c r="D35" s="119" t="s">
        <v>1408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221</v>
      </c>
      <c r="C36" s="17" t="s">
        <v>1376</v>
      </c>
      <c r="D36" s="119" t="s">
        <v>102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85</v>
      </c>
      <c r="C37" s="43" t="s">
        <v>1269</v>
      </c>
      <c r="D37" s="49" t="s">
        <v>102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89</v>
      </c>
      <c r="C38" s="17" t="s">
        <v>90</v>
      </c>
      <c r="D38" s="119" t="s">
        <v>108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1409</v>
      </c>
      <c r="C39" s="17" t="s">
        <v>90</v>
      </c>
      <c r="D39" s="119" t="s">
        <v>108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92</v>
      </c>
      <c r="C40" s="43" t="s">
        <v>1377</v>
      </c>
      <c r="D40" s="49" t="s">
        <v>108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1193</v>
      </c>
      <c r="C41" s="117" t="s">
        <v>101</v>
      </c>
      <c r="D41" s="119" t="s">
        <v>108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1360</v>
      </c>
      <c r="C42" s="117" t="s">
        <v>101</v>
      </c>
      <c r="D42" s="119" t="s">
        <v>108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111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112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113</v>
      </c>
      <c r="C46" s="43" t="s">
        <v>114</v>
      </c>
      <c r="D46" s="49" t="s">
        <v>212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116</v>
      </c>
      <c r="C47" s="43" t="s">
        <v>802</v>
      </c>
      <c r="D47" s="49" t="s">
        <v>108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125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541</v>
      </c>
      <c r="C51" s="43" t="s">
        <v>542</v>
      </c>
      <c r="D51" s="49" t="s">
        <v>115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543</v>
      </c>
      <c r="C52" s="43" t="s">
        <v>43</v>
      </c>
      <c r="D52" s="49" t="s">
        <v>131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126</v>
      </c>
      <c r="C53" s="43" t="s">
        <v>130</v>
      </c>
      <c r="D53" s="49" t="s">
        <v>131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129</v>
      </c>
      <c r="C54" s="43" t="s">
        <v>130</v>
      </c>
      <c r="D54" s="49" t="s">
        <v>38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132</v>
      </c>
      <c r="C55" s="43" t="s">
        <v>45</v>
      </c>
      <c r="D55" s="49" t="s">
        <v>41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133</v>
      </c>
      <c r="C56" s="43" t="s">
        <v>45</v>
      </c>
      <c r="D56" s="49" t="s">
        <v>46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134</v>
      </c>
      <c r="C57" s="43" t="s">
        <v>156</v>
      </c>
      <c r="D57" s="16" t="s">
        <v>46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1272</v>
      </c>
      <c r="C58" s="43" t="s">
        <v>158</v>
      </c>
      <c r="D58" s="49" t="s">
        <v>460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44</v>
      </c>
      <c r="C59" s="43" t="s">
        <v>556</v>
      </c>
      <c r="D59" s="10" t="s">
        <v>1201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142</v>
      </c>
      <c r="C60" s="43" t="s">
        <v>139</v>
      </c>
      <c r="D60" s="49" t="s">
        <v>96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544</v>
      </c>
      <c r="C61" s="43" t="s">
        <v>139</v>
      </c>
      <c r="D61" s="49" t="s">
        <v>96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143</v>
      </c>
      <c r="C62" s="43" t="s">
        <v>139</v>
      </c>
      <c r="D62" s="49" t="s">
        <v>96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111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145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545</v>
      </c>
      <c r="C66" s="117" t="s">
        <v>147</v>
      </c>
      <c r="D66" s="119" t="s">
        <v>115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148</v>
      </c>
      <c r="C67" s="117" t="s">
        <v>149</v>
      </c>
      <c r="D67" s="119" t="s">
        <v>554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111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1410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546</v>
      </c>
      <c r="C71" s="17" t="s">
        <v>547</v>
      </c>
      <c r="D71" s="10" t="s">
        <v>115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548</v>
      </c>
      <c r="C72" s="17" t="s">
        <v>549</v>
      </c>
      <c r="D72" s="119" t="s">
        <v>1202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155</v>
      </c>
      <c r="C73" s="43" t="s">
        <v>158</v>
      </c>
      <c r="D73" s="10" t="s">
        <v>1201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550</v>
      </c>
      <c r="C74" s="17" t="s">
        <v>158</v>
      </c>
      <c r="D74" s="119" t="s">
        <v>202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551</v>
      </c>
      <c r="C75" s="17" t="s">
        <v>156</v>
      </c>
      <c r="D75" s="119" t="s">
        <v>46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161</v>
      </c>
      <c r="C76" s="4" t="s">
        <v>139</v>
      </c>
      <c r="D76" s="10" t="s">
        <v>1411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1280</v>
      </c>
      <c r="C77" s="17" t="s">
        <v>70</v>
      </c>
      <c r="D77" s="119" t="s">
        <v>68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163</v>
      </c>
      <c r="C78" s="17" t="s">
        <v>70</v>
      </c>
      <c r="D78" s="119" t="s">
        <v>137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164</v>
      </c>
      <c r="C79" s="17" t="s">
        <v>70</v>
      </c>
      <c r="D79" s="119" t="s">
        <v>137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165</v>
      </c>
      <c r="C80" s="43" t="s">
        <v>186</v>
      </c>
      <c r="D80" s="49" t="s">
        <v>302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1361</v>
      </c>
      <c r="C81" s="17" t="s">
        <v>139</v>
      </c>
      <c r="D81" s="49" t="s">
        <v>73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81</v>
      </c>
      <c r="C82" s="17" t="s">
        <v>67</v>
      </c>
      <c r="D82" s="49" t="s">
        <v>96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66</v>
      </c>
      <c r="C83" s="17" t="s">
        <v>67</v>
      </c>
      <c r="D83" s="49" t="s">
        <v>108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111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1412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170</v>
      </c>
      <c r="C87" s="43" t="s">
        <v>171</v>
      </c>
      <c r="D87" s="49" t="s">
        <v>115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552</v>
      </c>
      <c r="C88" s="46" t="s">
        <v>553</v>
      </c>
      <c r="D88" s="119" t="s">
        <v>1202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1362</v>
      </c>
      <c r="C89" s="46" t="s">
        <v>1363</v>
      </c>
      <c r="D89" s="119" t="s">
        <v>1202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183</v>
      </c>
      <c r="C90" s="43" t="s">
        <v>186</v>
      </c>
      <c r="D90" s="49" t="s">
        <v>73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111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1413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1414</v>
      </c>
      <c r="C94" s="43" t="s">
        <v>1380</v>
      </c>
      <c r="D94" s="49" t="s">
        <v>35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192</v>
      </c>
      <c r="C95" s="43" t="s">
        <v>130</v>
      </c>
      <c r="D95" s="49" t="s">
        <v>131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190</v>
      </c>
      <c r="C96" s="43" t="s">
        <v>130</v>
      </c>
      <c r="D96" s="49" t="s">
        <v>131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152</v>
      </c>
      <c r="C97" s="43" t="s">
        <v>156</v>
      </c>
      <c r="D97" s="49" t="s">
        <v>178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195</v>
      </c>
      <c r="C98" s="43" t="s">
        <v>45</v>
      </c>
      <c r="D98" s="49" t="s">
        <v>46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1415</v>
      </c>
      <c r="C99" s="43" t="s">
        <v>45</v>
      </c>
      <c r="D99" s="49" t="s">
        <v>230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196</v>
      </c>
      <c r="C100" s="43" t="s">
        <v>556</v>
      </c>
      <c r="D100" s="119" t="s">
        <v>1201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197</v>
      </c>
      <c r="C101" s="117" t="s">
        <v>158</v>
      </c>
      <c r="D101" s="119" t="s">
        <v>202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198</v>
      </c>
      <c r="C102" s="117" t="s">
        <v>158</v>
      </c>
      <c r="D102" s="119" t="s">
        <v>202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200</v>
      </c>
      <c r="C103" s="17" t="s">
        <v>70</v>
      </c>
      <c r="D103" s="119" t="s">
        <v>137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204</v>
      </c>
      <c r="C104" s="43" t="s">
        <v>139</v>
      </c>
      <c r="D104" s="49" t="s">
        <v>96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206</v>
      </c>
      <c r="C105" s="17" t="s">
        <v>207</v>
      </c>
      <c r="D105" s="119" t="s">
        <v>108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111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1416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536</v>
      </c>
      <c r="C109" s="49" t="s">
        <v>537</v>
      </c>
      <c r="D109" s="119" t="s">
        <v>35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36</v>
      </c>
      <c r="C110" s="4" t="s">
        <v>214</v>
      </c>
      <c r="D110" s="10" t="s">
        <v>46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1381</v>
      </c>
      <c r="C111" s="4" t="s">
        <v>1382</v>
      </c>
      <c r="D111" s="119" t="s">
        <v>202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219</v>
      </c>
      <c r="C112" s="43" t="s">
        <v>1417</v>
      </c>
      <c r="D112" s="119" t="s">
        <v>1418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111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1419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224</v>
      </c>
      <c r="C116" s="117" t="s">
        <v>225</v>
      </c>
      <c r="D116" s="119" t="s">
        <v>115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226</v>
      </c>
      <c r="C117" s="43" t="s">
        <v>227</v>
      </c>
      <c r="D117" s="49" t="s">
        <v>131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228</v>
      </c>
      <c r="C118" s="43" t="s">
        <v>442</v>
      </c>
      <c r="D118" s="49" t="s">
        <v>52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231</v>
      </c>
      <c r="C119" s="43" t="s">
        <v>442</v>
      </c>
      <c r="D119" s="10" t="s">
        <v>460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232</v>
      </c>
      <c r="C120" s="46" t="s">
        <v>233</v>
      </c>
      <c r="D120" s="119" t="s">
        <v>208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235</v>
      </c>
      <c r="C121" s="46" t="s">
        <v>233</v>
      </c>
      <c r="D121" s="49" t="s">
        <v>102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236</v>
      </c>
      <c r="C122" s="46" t="s">
        <v>233</v>
      </c>
      <c r="D122" s="119" t="s">
        <v>108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111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1420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253</v>
      </c>
      <c r="C126" s="117" t="s">
        <v>254</v>
      </c>
      <c r="D126" s="119" t="s">
        <v>115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1384</v>
      </c>
      <c r="C127" s="117" t="s">
        <v>1385</v>
      </c>
      <c r="D127" s="119" t="s">
        <v>154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255</v>
      </c>
      <c r="C128" s="117" t="s">
        <v>258</v>
      </c>
      <c r="D128" s="119" t="s">
        <v>131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257</v>
      </c>
      <c r="C129" s="117" t="s">
        <v>258</v>
      </c>
      <c r="D129" s="119" t="s">
        <v>131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560</v>
      </c>
      <c r="C130" s="117" t="s">
        <v>258</v>
      </c>
      <c r="D130" s="119" t="s">
        <v>49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259</v>
      </c>
      <c r="C131" s="117" t="s">
        <v>1387</v>
      </c>
      <c r="D131" s="119" t="s">
        <v>460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261</v>
      </c>
      <c r="C132" s="117" t="s">
        <v>495</v>
      </c>
      <c r="D132" s="119" t="s">
        <v>1201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262</v>
      </c>
      <c r="C133" s="117" t="s">
        <v>1218</v>
      </c>
      <c r="D133" s="119" t="s">
        <v>1201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1386</v>
      </c>
      <c r="C134" s="117" t="s">
        <v>1387</v>
      </c>
      <c r="D134" s="119" t="s">
        <v>58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265</v>
      </c>
      <c r="C135" s="117" t="s">
        <v>266</v>
      </c>
      <c r="D135" s="49" t="s">
        <v>96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267</v>
      </c>
      <c r="C136" s="117" t="s">
        <v>268</v>
      </c>
      <c r="D136" s="119" t="s">
        <v>108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111</v>
      </c>
      <c r="C137" s="162" t="s">
        <v>271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1421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1422</v>
      </c>
      <c r="C140" s="117" t="s">
        <v>1423</v>
      </c>
      <c r="D140" s="119" t="s">
        <v>115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561</v>
      </c>
      <c r="C141" s="117" t="s">
        <v>562</v>
      </c>
      <c r="D141" s="119" t="s">
        <v>115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563</v>
      </c>
      <c r="C142" s="117" t="s">
        <v>564</v>
      </c>
      <c r="D142" s="119" t="s">
        <v>154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276</v>
      </c>
      <c r="C143" s="4" t="s">
        <v>1424</v>
      </c>
      <c r="D143" s="16" t="s">
        <v>131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1425</v>
      </c>
      <c r="C144" s="4" t="s">
        <v>1426</v>
      </c>
      <c r="D144" s="16" t="s">
        <v>131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278</v>
      </c>
      <c r="C145" s="117" t="s">
        <v>565</v>
      </c>
      <c r="D145" s="119" t="s">
        <v>46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280</v>
      </c>
      <c r="C146" s="43" t="s">
        <v>566</v>
      </c>
      <c r="D146" s="119" t="s">
        <v>46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213</v>
      </c>
      <c r="C147" s="43" t="s">
        <v>568</v>
      </c>
      <c r="D147" s="119" t="s">
        <v>1201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215</v>
      </c>
      <c r="C148" s="117" t="s">
        <v>567</v>
      </c>
      <c r="D148" s="119" t="s">
        <v>68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283</v>
      </c>
      <c r="C149" s="117" t="s">
        <v>567</v>
      </c>
      <c r="D149" s="119" t="s">
        <v>68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284</v>
      </c>
      <c r="C150" s="43" t="s">
        <v>568</v>
      </c>
      <c r="D150" s="119" t="s">
        <v>68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286</v>
      </c>
      <c r="C151" s="43" t="s">
        <v>570</v>
      </c>
      <c r="D151" s="119" t="s">
        <v>302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288</v>
      </c>
      <c r="C152" s="117" t="s">
        <v>1220</v>
      </c>
      <c r="D152" s="119" t="s">
        <v>119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60</v>
      </c>
      <c r="C153" s="117" t="s">
        <v>315</v>
      </c>
      <c r="D153" s="119" t="s">
        <v>302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1427</v>
      </c>
      <c r="C154" s="43" t="s">
        <v>570</v>
      </c>
      <c r="D154" s="119" t="s">
        <v>76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627</v>
      </c>
      <c r="C155" s="43" t="s">
        <v>570</v>
      </c>
      <c r="D155" s="119" t="s">
        <v>76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295</v>
      </c>
      <c r="C156" s="43" t="s">
        <v>570</v>
      </c>
      <c r="D156" s="119" t="s">
        <v>76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296</v>
      </c>
      <c r="C157" s="117" t="s">
        <v>297</v>
      </c>
      <c r="D157" s="119" t="s">
        <v>73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1203</v>
      </c>
      <c r="C158" s="117" t="s">
        <v>299</v>
      </c>
      <c r="D158" s="49" t="s">
        <v>96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300</v>
      </c>
      <c r="C159" s="117" t="s">
        <v>315</v>
      </c>
      <c r="D159" s="119" t="s">
        <v>208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303</v>
      </c>
      <c r="C160" s="117" t="s">
        <v>1428</v>
      </c>
      <c r="D160" s="119" t="s">
        <v>208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305</v>
      </c>
      <c r="C161" s="117" t="s">
        <v>315</v>
      </c>
      <c r="D161" s="119" t="s">
        <v>208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307</v>
      </c>
      <c r="C162" s="117" t="s">
        <v>308</v>
      </c>
      <c r="D162" s="119" t="s">
        <v>208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309</v>
      </c>
      <c r="C163" s="117" t="s">
        <v>317</v>
      </c>
      <c r="D163" s="119" t="s">
        <v>1408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1388</v>
      </c>
      <c r="C164" s="117" t="s">
        <v>315</v>
      </c>
      <c r="D164" s="119" t="s">
        <v>108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314</v>
      </c>
      <c r="C165" s="117" t="s">
        <v>315</v>
      </c>
      <c r="D165" s="119" t="s">
        <v>108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316</v>
      </c>
      <c r="C166" s="117" t="s">
        <v>317</v>
      </c>
      <c r="D166" s="119" t="s">
        <v>108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318</v>
      </c>
      <c r="C167" s="117" t="s">
        <v>319</v>
      </c>
      <c r="D167" s="119" t="s">
        <v>108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320</v>
      </c>
      <c r="C168" s="117" t="s">
        <v>321</v>
      </c>
      <c r="D168" s="119" t="s">
        <v>108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331</v>
      </c>
      <c r="C169" s="117" t="s">
        <v>332</v>
      </c>
      <c r="D169" s="119" t="s">
        <v>347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334</v>
      </c>
      <c r="C170" s="117" t="s">
        <v>332</v>
      </c>
      <c r="D170" s="119" t="s">
        <v>347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335</v>
      </c>
      <c r="C171" s="117" t="s">
        <v>332</v>
      </c>
      <c r="D171" s="119" t="s">
        <v>347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925</v>
      </c>
      <c r="C172" s="117" t="s">
        <v>332</v>
      </c>
      <c r="D172" s="119" t="s">
        <v>347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923</v>
      </c>
      <c r="C173" s="117" t="s">
        <v>332</v>
      </c>
      <c r="D173" s="119" t="s">
        <v>347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336</v>
      </c>
      <c r="C174" s="117" t="s">
        <v>332</v>
      </c>
      <c r="D174" s="119" t="s">
        <v>347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337</v>
      </c>
      <c r="C175" s="117" t="s">
        <v>332</v>
      </c>
      <c r="D175" s="119" t="s">
        <v>347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338</v>
      </c>
      <c r="C176" s="117" t="s">
        <v>352</v>
      </c>
      <c r="D176" s="119" t="s">
        <v>1429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340</v>
      </c>
      <c r="C177" s="117" t="s">
        <v>352</v>
      </c>
      <c r="D177" s="119" t="s">
        <v>1429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1367</v>
      </c>
      <c r="C178" s="117" t="s">
        <v>352</v>
      </c>
      <c r="D178" s="119" t="s">
        <v>1429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341</v>
      </c>
      <c r="C179" s="117" t="s">
        <v>352</v>
      </c>
      <c r="D179" s="119" t="s">
        <v>1429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342</v>
      </c>
      <c r="C180" s="117" t="s">
        <v>352</v>
      </c>
      <c r="D180" s="119" t="s">
        <v>1429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343</v>
      </c>
      <c r="C181" s="117" t="s">
        <v>352</v>
      </c>
      <c r="D181" s="119" t="s">
        <v>1429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344</v>
      </c>
      <c r="C182" s="117" t="s">
        <v>352</v>
      </c>
      <c r="D182" s="119" t="s">
        <v>1429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345</v>
      </c>
      <c r="C183" s="117" t="s">
        <v>352</v>
      </c>
      <c r="D183" s="119" t="s">
        <v>1204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348</v>
      </c>
      <c r="C184" s="117" t="s">
        <v>352</v>
      </c>
      <c r="D184" s="119" t="s">
        <v>1204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349</v>
      </c>
      <c r="C185" s="117" t="s">
        <v>352</v>
      </c>
      <c r="D185" s="119" t="s">
        <v>356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351</v>
      </c>
      <c r="C186" s="117" t="s">
        <v>352</v>
      </c>
      <c r="D186" s="119" t="s">
        <v>378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354</v>
      </c>
      <c r="C187" s="117" t="s">
        <v>355</v>
      </c>
      <c r="D187" s="119" t="s">
        <v>1430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357</v>
      </c>
      <c r="C188" s="117" t="s">
        <v>355</v>
      </c>
      <c r="D188" s="119" t="s">
        <v>1430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358</v>
      </c>
      <c r="C189" s="117" t="s">
        <v>355</v>
      </c>
      <c r="D189" s="119" t="s">
        <v>1430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359</v>
      </c>
      <c r="C190" s="117" t="s">
        <v>355</v>
      </c>
      <c r="D190" s="119" t="s">
        <v>1430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360</v>
      </c>
      <c r="C191" s="117" t="s">
        <v>355</v>
      </c>
      <c r="D191" s="119" t="s">
        <v>1430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361</v>
      </c>
      <c r="C192" s="117" t="s">
        <v>355</v>
      </c>
      <c r="D192" s="119" t="s">
        <v>368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362</v>
      </c>
      <c r="C193" s="117" t="s">
        <v>355</v>
      </c>
      <c r="D193" s="119" t="s">
        <v>368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499</v>
      </c>
      <c r="C194" s="117" t="s">
        <v>355</v>
      </c>
      <c r="D194" s="119" t="s">
        <v>571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363</v>
      </c>
      <c r="C195" s="117" t="s">
        <v>355</v>
      </c>
      <c r="D195" s="119" t="s">
        <v>571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364</v>
      </c>
      <c r="C196" s="117" t="s">
        <v>355</v>
      </c>
      <c r="D196" s="119" t="s">
        <v>571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369</v>
      </c>
      <c r="C197" s="117" t="s">
        <v>355</v>
      </c>
      <c r="D197" s="119" t="s">
        <v>572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111</v>
      </c>
      <c r="C198" s="172" t="s">
        <v>1431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381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1432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1393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1433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1395</v>
      </c>
      <c r="F6" s="57" t="s">
        <v>1434</v>
      </c>
      <c r="G6" s="43"/>
      <c r="H6" s="57"/>
      <c r="I6" s="57"/>
      <c r="J6" s="57"/>
      <c r="K6" s="57"/>
      <c r="L6" s="57"/>
      <c r="M6" s="57" t="s">
        <v>1435</v>
      </c>
      <c r="N6" s="57" t="s">
        <v>1436</v>
      </c>
      <c r="O6" s="57" t="s">
        <v>1437</v>
      </c>
      <c r="P6" s="57" t="s">
        <v>1438</v>
      </c>
      <c r="Q6" s="57" t="s">
        <v>1439</v>
      </c>
      <c r="R6" s="57" t="s">
        <v>1440</v>
      </c>
      <c r="S6" s="57" t="s">
        <v>1441</v>
      </c>
      <c r="T6" s="57" t="s">
        <v>1442</v>
      </c>
      <c r="U6" s="57" t="s">
        <v>781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1396</v>
      </c>
      <c r="F7" s="57" t="s">
        <v>751</v>
      </c>
      <c r="G7" s="111" t="s">
        <v>1443</v>
      </c>
      <c r="H7" s="57" t="s">
        <v>828</v>
      </c>
      <c r="I7" s="57" t="s">
        <v>829</v>
      </c>
      <c r="J7" s="57" t="s">
        <v>830</v>
      </c>
      <c r="K7" s="57" t="s">
        <v>831</v>
      </c>
      <c r="L7" s="57" t="s">
        <v>832</v>
      </c>
      <c r="M7" s="57" t="s">
        <v>833</v>
      </c>
      <c r="N7" s="57" t="s">
        <v>7</v>
      </c>
      <c r="O7" s="57" t="s">
        <v>7</v>
      </c>
      <c r="P7" s="57" t="s">
        <v>834</v>
      </c>
      <c r="Q7" s="57" t="s">
        <v>834</v>
      </c>
      <c r="R7" s="57" t="s">
        <v>8</v>
      </c>
      <c r="S7" s="57" t="s">
        <v>751</v>
      </c>
      <c r="T7" s="111" t="s">
        <v>751</v>
      </c>
      <c r="U7" s="111"/>
      <c r="V7" s="111"/>
      <c r="W7" s="57" t="s">
        <v>779</v>
      </c>
      <c r="X7" s="111" t="s">
        <v>709</v>
      </c>
      <c r="Y7" s="57" t="s">
        <v>781</v>
      </c>
      <c r="Z7" s="57"/>
      <c r="AA7" s="57"/>
      <c r="AB7" s="57"/>
    </row>
    <row r="8" customHeight="1" spans="1:28">
      <c r="A8" s="42" t="s">
        <v>21</v>
      </c>
      <c r="B8" s="112" t="s">
        <v>1444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23</v>
      </c>
      <c r="C9" s="116"/>
      <c r="D9" s="117" t="s">
        <v>24</v>
      </c>
      <c r="E9" s="117" t="s">
        <v>25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1399</v>
      </c>
      <c r="C10" s="116"/>
      <c r="D10" s="117" t="s">
        <v>1400</v>
      </c>
      <c r="E10" s="119" t="s">
        <v>115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1445</v>
      </c>
      <c r="C11" s="54"/>
      <c r="D11" s="120" t="s">
        <v>1446</v>
      </c>
      <c r="E11" s="121" t="s">
        <v>154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1263</v>
      </c>
      <c r="C12" s="116"/>
      <c r="D12" s="43" t="s">
        <v>1401</v>
      </c>
      <c r="E12" s="49" t="s">
        <v>35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1353</v>
      </c>
      <c r="C13" s="54"/>
      <c r="D13" s="120" t="s">
        <v>1354</v>
      </c>
      <c r="E13" s="121" t="s">
        <v>35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26</v>
      </c>
      <c r="C14" s="116"/>
      <c r="D14" s="117" t="s">
        <v>27</v>
      </c>
      <c r="E14" s="49" t="s">
        <v>1402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210</v>
      </c>
      <c r="C15" s="54"/>
      <c r="D15" s="43" t="s">
        <v>1403</v>
      </c>
      <c r="E15" s="124" t="s">
        <v>131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31</v>
      </c>
      <c r="C16" s="126"/>
      <c r="D16" s="17" t="s">
        <v>549</v>
      </c>
      <c r="E16" s="10" t="s">
        <v>131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273</v>
      </c>
      <c r="C17" s="54"/>
      <c r="D17" s="43" t="s">
        <v>1404</v>
      </c>
      <c r="E17" s="49" t="s">
        <v>131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33</v>
      </c>
      <c r="C18" s="117"/>
      <c r="D18" s="117" t="s">
        <v>1405</v>
      </c>
      <c r="E18" s="119" t="s">
        <v>131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172</v>
      </c>
      <c r="C19" s="116"/>
      <c r="D19" s="117" t="s">
        <v>555</v>
      </c>
      <c r="E19" s="50" t="s">
        <v>1202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1355</v>
      </c>
      <c r="C20" s="54"/>
      <c r="D20" s="120" t="s">
        <v>1356</v>
      </c>
      <c r="E20" s="127" t="s">
        <v>46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1266</v>
      </c>
      <c r="C21" s="54"/>
      <c r="D21" s="120" t="s">
        <v>40</v>
      </c>
      <c r="E21" s="49" t="s">
        <v>46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1357</v>
      </c>
      <c r="C22" s="54"/>
      <c r="D22" s="43" t="s">
        <v>1358</v>
      </c>
      <c r="E22" s="49" t="s">
        <v>46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39</v>
      </c>
      <c r="C23" s="116"/>
      <c r="D23" s="120" t="s">
        <v>1406</v>
      </c>
      <c r="E23" s="119" t="s">
        <v>52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29</v>
      </c>
      <c r="C24" s="54"/>
      <c r="D24" s="43" t="s">
        <v>1447</v>
      </c>
      <c r="E24" s="119" t="s">
        <v>634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50</v>
      </c>
      <c r="C25" s="116"/>
      <c r="D25" s="117" t="s">
        <v>51</v>
      </c>
      <c r="E25" s="119" t="s">
        <v>202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63</v>
      </c>
      <c r="C26" s="116"/>
      <c r="D26" s="117" t="s">
        <v>104</v>
      </c>
      <c r="E26" s="119" t="s">
        <v>302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179</v>
      </c>
      <c r="C27" s="116"/>
      <c r="D27" s="117" t="s">
        <v>559</v>
      </c>
      <c r="E27" s="119" t="s">
        <v>68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53</v>
      </c>
      <c r="C28" s="116"/>
      <c r="D28" s="43" t="s">
        <v>54</v>
      </c>
      <c r="E28" s="119" t="s">
        <v>119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80</v>
      </c>
      <c r="C29" s="116"/>
      <c r="D29" s="117" t="s">
        <v>78</v>
      </c>
      <c r="E29" s="119" t="s">
        <v>1375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1193</v>
      </c>
      <c r="C30" s="116"/>
      <c r="D30" s="117" t="s">
        <v>101</v>
      </c>
      <c r="E30" s="119" t="s">
        <v>108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1359</v>
      </c>
      <c r="C31" s="116"/>
      <c r="D31" s="117" t="s">
        <v>101</v>
      </c>
      <c r="E31" s="119" t="s">
        <v>76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176</v>
      </c>
      <c r="C32" s="117"/>
      <c r="D32" s="43" t="s">
        <v>1216</v>
      </c>
      <c r="E32" s="119" t="s">
        <v>1201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238</v>
      </c>
      <c r="C33" s="116"/>
      <c r="D33" s="43" t="s">
        <v>1407</v>
      </c>
      <c r="E33" s="119" t="s">
        <v>302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290</v>
      </c>
      <c r="C34" s="116"/>
      <c r="D34" s="43" t="s">
        <v>1374</v>
      </c>
      <c r="E34" s="119" t="s">
        <v>119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1267</v>
      </c>
      <c r="C35" s="116"/>
      <c r="D35" s="117" t="s">
        <v>1215</v>
      </c>
      <c r="E35" s="119" t="s">
        <v>208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82</v>
      </c>
      <c r="C36" s="116"/>
      <c r="D36" s="117" t="s">
        <v>1215</v>
      </c>
      <c r="E36" s="119" t="s">
        <v>1408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221</v>
      </c>
      <c r="C37" s="126"/>
      <c r="D37" s="17" t="s">
        <v>1376</v>
      </c>
      <c r="E37" s="119" t="s">
        <v>102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89</v>
      </c>
      <c r="C38" s="126"/>
      <c r="D38" s="17" t="s">
        <v>90</v>
      </c>
      <c r="E38" s="119" t="s">
        <v>108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111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112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113</v>
      </c>
      <c r="C42" s="116"/>
      <c r="D42" s="43" t="s">
        <v>114</v>
      </c>
      <c r="E42" s="49" t="s">
        <v>212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111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125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541</v>
      </c>
      <c r="C46" s="116"/>
      <c r="D46" s="43" t="s">
        <v>542</v>
      </c>
      <c r="E46" s="49" t="s">
        <v>115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543</v>
      </c>
      <c r="C47" s="116"/>
      <c r="D47" s="43" t="s">
        <v>43</v>
      </c>
      <c r="E47" s="49" t="s">
        <v>131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126</v>
      </c>
      <c r="C48" s="116"/>
      <c r="D48" s="43" t="s">
        <v>130</v>
      </c>
      <c r="E48" s="49" t="s">
        <v>131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129</v>
      </c>
      <c r="C49" s="116"/>
      <c r="D49" s="43" t="s">
        <v>130</v>
      </c>
      <c r="E49" s="49" t="s">
        <v>38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132</v>
      </c>
      <c r="C50" s="116"/>
      <c r="D50" s="43" t="s">
        <v>45</v>
      </c>
      <c r="E50" s="49" t="s">
        <v>41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133</v>
      </c>
      <c r="C51" s="116"/>
      <c r="D51" s="43" t="s">
        <v>45</v>
      </c>
      <c r="E51" s="49" t="s">
        <v>46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134</v>
      </c>
      <c r="C52" s="137"/>
      <c r="D52" s="43" t="s">
        <v>156</v>
      </c>
      <c r="E52" s="16" t="s">
        <v>46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1272</v>
      </c>
      <c r="C53" s="116"/>
      <c r="D53" s="43" t="s">
        <v>158</v>
      </c>
      <c r="E53" s="49" t="s">
        <v>460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1448</v>
      </c>
      <c r="C54" s="139"/>
      <c r="D54" s="140" t="s">
        <v>156</v>
      </c>
      <c r="E54" s="141" t="s">
        <v>199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44</v>
      </c>
      <c r="C55" s="126"/>
      <c r="D55" s="43" t="s">
        <v>556</v>
      </c>
      <c r="E55" s="10" t="s">
        <v>1201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111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145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545</v>
      </c>
      <c r="C59" s="116"/>
      <c r="D59" s="117" t="s">
        <v>147</v>
      </c>
      <c r="E59" s="119" t="s">
        <v>115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148</v>
      </c>
      <c r="C60" s="116"/>
      <c r="D60" s="117" t="s">
        <v>149</v>
      </c>
      <c r="E60" s="119" t="s">
        <v>554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111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1410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546</v>
      </c>
      <c r="C64" s="126"/>
      <c r="D64" s="17" t="s">
        <v>547</v>
      </c>
      <c r="E64" s="10" t="s">
        <v>115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548</v>
      </c>
      <c r="C65" s="126"/>
      <c r="D65" s="17" t="s">
        <v>549</v>
      </c>
      <c r="E65" s="119" t="s">
        <v>1202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1449</v>
      </c>
      <c r="C66" s="126"/>
      <c r="D66" s="4" t="s">
        <v>556</v>
      </c>
      <c r="E66" s="10" t="s">
        <v>52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155</v>
      </c>
      <c r="C67" s="126"/>
      <c r="D67" s="43" t="s">
        <v>158</v>
      </c>
      <c r="E67" s="10" t="s">
        <v>1201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1450</v>
      </c>
      <c r="C68" s="126"/>
      <c r="D68" s="17" t="s">
        <v>158</v>
      </c>
      <c r="E68" s="119" t="s">
        <v>202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551</v>
      </c>
      <c r="C69" s="54"/>
      <c r="D69" s="17" t="s">
        <v>156</v>
      </c>
      <c r="E69" s="119" t="s">
        <v>46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161</v>
      </c>
      <c r="C70" s="126"/>
      <c r="D70" s="4" t="s">
        <v>139</v>
      </c>
      <c r="E70" s="10" t="s">
        <v>1411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1280</v>
      </c>
      <c r="C71" s="117"/>
      <c r="D71" s="17" t="s">
        <v>139</v>
      </c>
      <c r="E71" s="119" t="s">
        <v>68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165</v>
      </c>
      <c r="C72" s="116"/>
      <c r="D72" s="43" t="s">
        <v>186</v>
      </c>
      <c r="E72" s="49" t="s">
        <v>302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1361</v>
      </c>
      <c r="C73" s="126"/>
      <c r="D73" s="17" t="s">
        <v>139</v>
      </c>
      <c r="E73" s="49" t="s">
        <v>73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81</v>
      </c>
      <c r="C74" s="126"/>
      <c r="D74" s="17" t="s">
        <v>67</v>
      </c>
      <c r="E74" s="49" t="s">
        <v>108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66</v>
      </c>
      <c r="C75" s="54"/>
      <c r="D75" s="17" t="s">
        <v>67</v>
      </c>
      <c r="E75" s="49" t="s">
        <v>108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111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1412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170</v>
      </c>
      <c r="C79" s="116"/>
      <c r="D79" s="43" t="s">
        <v>171</v>
      </c>
      <c r="E79" s="49" t="s">
        <v>115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552</v>
      </c>
      <c r="D80" s="46" t="s">
        <v>553</v>
      </c>
      <c r="E80" s="119" t="s">
        <v>1202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1362</v>
      </c>
      <c r="D81" s="46" t="s">
        <v>1363</v>
      </c>
      <c r="E81" s="119" t="s">
        <v>1202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1451</v>
      </c>
      <c r="C82" s="116"/>
      <c r="D82" s="43" t="s">
        <v>556</v>
      </c>
      <c r="E82" s="119" t="s">
        <v>1201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183</v>
      </c>
      <c r="C83" s="116"/>
      <c r="D83" s="43" t="s">
        <v>186</v>
      </c>
      <c r="E83" s="49" t="s">
        <v>73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85</v>
      </c>
      <c r="C84" s="116"/>
      <c r="D84" s="43" t="s">
        <v>1269</v>
      </c>
      <c r="E84" s="49" t="s">
        <v>102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92</v>
      </c>
      <c r="C85" s="116"/>
      <c r="D85" s="43" t="s">
        <v>1377</v>
      </c>
      <c r="E85" s="49" t="s">
        <v>108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111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1413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1414</v>
      </c>
      <c r="C89" s="116"/>
      <c r="D89" s="43" t="s">
        <v>1380</v>
      </c>
      <c r="E89" s="49" t="s">
        <v>35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192</v>
      </c>
      <c r="C90" s="116"/>
      <c r="D90" s="43" t="s">
        <v>130</v>
      </c>
      <c r="E90" s="49" t="s">
        <v>131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190</v>
      </c>
      <c r="C91" s="116"/>
      <c r="D91" s="43" t="s">
        <v>130</v>
      </c>
      <c r="E91" s="49" t="s">
        <v>131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1452</v>
      </c>
      <c r="C92" s="116"/>
      <c r="D92" s="43" t="s">
        <v>45</v>
      </c>
      <c r="E92" s="49" t="s">
        <v>46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152</v>
      </c>
      <c r="C93" s="54"/>
      <c r="D93" s="43" t="s">
        <v>156</v>
      </c>
      <c r="E93" s="49" t="s">
        <v>178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195</v>
      </c>
      <c r="C94" s="126"/>
      <c r="D94" s="43" t="s">
        <v>45</v>
      </c>
      <c r="E94" s="49" t="s">
        <v>46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1453</v>
      </c>
      <c r="C95" s="116"/>
      <c r="D95" s="117" t="s">
        <v>156</v>
      </c>
      <c r="E95" s="119" t="s">
        <v>199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994" t="s">
        <v>1454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196</v>
      </c>
      <c r="C96" s="117"/>
      <c r="D96" s="43" t="s">
        <v>556</v>
      </c>
      <c r="E96" s="119" t="s">
        <v>1201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197</v>
      </c>
      <c r="C97" s="116"/>
      <c r="D97" s="117" t="s">
        <v>158</v>
      </c>
      <c r="E97" s="119" t="s">
        <v>202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198</v>
      </c>
      <c r="C98" s="116"/>
      <c r="D98" s="117" t="s">
        <v>158</v>
      </c>
      <c r="E98" s="119" t="s">
        <v>202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111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1416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536</v>
      </c>
      <c r="C102" s="116"/>
      <c r="D102" s="49" t="s">
        <v>537</v>
      </c>
      <c r="E102" s="119" t="s">
        <v>35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36</v>
      </c>
      <c r="C103" s="126"/>
      <c r="D103" s="4" t="s">
        <v>214</v>
      </c>
      <c r="E103" s="10" t="s">
        <v>46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1381</v>
      </c>
      <c r="C104" s="126"/>
      <c r="D104" s="4" t="s">
        <v>1382</v>
      </c>
      <c r="E104" s="119" t="s">
        <v>202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219</v>
      </c>
      <c r="C105" s="116"/>
      <c r="D105" s="43" t="s">
        <v>1417</v>
      </c>
      <c r="E105" s="119" t="s">
        <v>1418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111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1419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224</v>
      </c>
      <c r="C109" s="116"/>
      <c r="D109" s="117" t="s">
        <v>225</v>
      </c>
      <c r="E109" s="119" t="s">
        <v>115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226</v>
      </c>
      <c r="C110" s="164"/>
      <c r="D110" s="43" t="s">
        <v>227</v>
      </c>
      <c r="E110" s="49" t="s">
        <v>131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228</v>
      </c>
      <c r="C111" s="116"/>
      <c r="D111" s="43" t="s">
        <v>442</v>
      </c>
      <c r="E111" s="49" t="s">
        <v>52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231</v>
      </c>
      <c r="C112" s="126"/>
      <c r="D112" s="43" t="s">
        <v>442</v>
      </c>
      <c r="E112" s="10" t="s">
        <v>460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232</v>
      </c>
      <c r="C113" s="116"/>
      <c r="D113" s="46" t="s">
        <v>233</v>
      </c>
      <c r="E113" s="119" t="s">
        <v>208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235</v>
      </c>
      <c r="C114" s="126"/>
      <c r="D114" s="46" t="s">
        <v>233</v>
      </c>
      <c r="E114" s="49" t="s">
        <v>102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236</v>
      </c>
      <c r="C115" s="116"/>
      <c r="D115" s="46" t="s">
        <v>233</v>
      </c>
      <c r="E115" s="119" t="s">
        <v>108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1455</v>
      </c>
      <c r="C116" s="116"/>
      <c r="D116" s="46" t="s">
        <v>233</v>
      </c>
      <c r="E116" s="119" t="s">
        <v>108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111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1420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253</v>
      </c>
      <c r="C120" s="117"/>
      <c r="D120" s="117" t="s">
        <v>254</v>
      </c>
      <c r="E120" s="119" t="s">
        <v>115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1384</v>
      </c>
      <c r="C121" s="117"/>
      <c r="D121" s="117" t="s">
        <v>1385</v>
      </c>
      <c r="E121" s="119" t="s">
        <v>154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255</v>
      </c>
      <c r="C122" s="117"/>
      <c r="D122" s="117" t="s">
        <v>258</v>
      </c>
      <c r="E122" s="119" t="s">
        <v>131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257</v>
      </c>
      <c r="C123" s="48"/>
      <c r="D123" s="117" t="s">
        <v>258</v>
      </c>
      <c r="E123" s="119" t="s">
        <v>131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560</v>
      </c>
      <c r="D124" s="117" t="s">
        <v>258</v>
      </c>
      <c r="E124" s="119" t="s">
        <v>49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259</v>
      </c>
      <c r="C125" s="166"/>
      <c r="D125" s="117" t="s">
        <v>1387</v>
      </c>
      <c r="E125" s="119" t="s">
        <v>460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261</v>
      </c>
      <c r="C126" s="117"/>
      <c r="D126" s="117" t="s">
        <v>495</v>
      </c>
      <c r="E126" s="119" t="s">
        <v>1201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262</v>
      </c>
      <c r="C127" s="117"/>
      <c r="D127" s="117" t="s">
        <v>1218</v>
      </c>
      <c r="E127" s="119" t="s">
        <v>1201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1386</v>
      </c>
      <c r="C128" s="116"/>
      <c r="D128" s="117" t="s">
        <v>1387</v>
      </c>
      <c r="E128" s="119" t="s">
        <v>58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111</v>
      </c>
      <c r="C129" s="129"/>
      <c r="D129" s="162" t="s">
        <v>1366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1421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1422</v>
      </c>
      <c r="C132" s="117"/>
      <c r="D132" s="117" t="s">
        <v>1423</v>
      </c>
      <c r="E132" s="119" t="s">
        <v>115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561</v>
      </c>
      <c r="C133" s="117"/>
      <c r="D133" s="117" t="s">
        <v>562</v>
      </c>
      <c r="E133" s="119" t="s">
        <v>115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563</v>
      </c>
      <c r="C134" s="166"/>
      <c r="D134" s="117" t="s">
        <v>564</v>
      </c>
      <c r="E134" s="119" t="s">
        <v>154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276</v>
      </c>
      <c r="C135" s="137"/>
      <c r="D135" s="4" t="s">
        <v>1424</v>
      </c>
      <c r="E135" s="16" t="s">
        <v>131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1425</v>
      </c>
      <c r="C136" s="137"/>
      <c r="D136" s="4" t="s">
        <v>1426</v>
      </c>
      <c r="E136" s="16" t="s">
        <v>131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278</v>
      </c>
      <c r="C137" s="117"/>
      <c r="D137" s="117" t="s">
        <v>565</v>
      </c>
      <c r="E137" s="119" t="s">
        <v>46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280</v>
      </c>
      <c r="C138" s="117"/>
      <c r="D138" s="43" t="s">
        <v>566</v>
      </c>
      <c r="E138" s="119" t="s">
        <v>46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282</v>
      </c>
      <c r="C139" s="117"/>
      <c r="D139" s="43" t="s">
        <v>566</v>
      </c>
      <c r="E139" s="119" t="s">
        <v>46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213</v>
      </c>
      <c r="C140" s="117"/>
      <c r="D140" s="43" t="s">
        <v>568</v>
      </c>
      <c r="E140" s="119" t="s">
        <v>1201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215</v>
      </c>
      <c r="C141" s="116"/>
      <c r="D141" s="117" t="s">
        <v>567</v>
      </c>
      <c r="E141" s="119" t="s">
        <v>68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283</v>
      </c>
      <c r="C142" s="117"/>
      <c r="D142" s="117" t="s">
        <v>567</v>
      </c>
      <c r="E142" s="119" t="s">
        <v>68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284</v>
      </c>
      <c r="C143" s="116"/>
      <c r="D143" s="43" t="s">
        <v>568</v>
      </c>
      <c r="E143" s="119" t="s">
        <v>68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286</v>
      </c>
      <c r="C144" s="116"/>
      <c r="D144" s="43" t="s">
        <v>570</v>
      </c>
      <c r="E144" s="119" t="s">
        <v>302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288</v>
      </c>
      <c r="C145" s="116"/>
      <c r="D145" s="117" t="s">
        <v>1220</v>
      </c>
      <c r="E145" s="119" t="s">
        <v>119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60</v>
      </c>
      <c r="C146" s="116"/>
      <c r="D146" s="117" t="s">
        <v>315</v>
      </c>
      <c r="E146" s="119" t="s">
        <v>302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1427</v>
      </c>
      <c r="C147" s="116"/>
      <c r="D147" s="43" t="s">
        <v>570</v>
      </c>
      <c r="E147" s="119" t="s">
        <v>76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627</v>
      </c>
      <c r="C148" s="116"/>
      <c r="D148" s="43" t="s">
        <v>570</v>
      </c>
      <c r="E148" s="119" t="s">
        <v>76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295</v>
      </c>
      <c r="C149" s="116"/>
      <c r="D149" s="43" t="s">
        <v>570</v>
      </c>
      <c r="E149" s="119" t="s">
        <v>76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300</v>
      </c>
      <c r="C150" s="116"/>
      <c r="D150" s="117" t="s">
        <v>315</v>
      </c>
      <c r="E150" s="119" t="s">
        <v>208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303</v>
      </c>
      <c r="C151" s="116"/>
      <c r="D151" s="117" t="s">
        <v>1428</v>
      </c>
      <c r="E151" s="119" t="s">
        <v>208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305</v>
      </c>
      <c r="C152" s="116"/>
      <c r="D152" s="117" t="s">
        <v>315</v>
      </c>
      <c r="E152" s="119" t="s">
        <v>208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307</v>
      </c>
      <c r="C153" s="116"/>
      <c r="D153" s="117" t="s">
        <v>308</v>
      </c>
      <c r="E153" s="119" t="s">
        <v>208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309</v>
      </c>
      <c r="C154" s="116"/>
      <c r="D154" s="117" t="s">
        <v>317</v>
      </c>
      <c r="E154" s="119" t="s">
        <v>1408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1388</v>
      </c>
      <c r="C155" s="116"/>
      <c r="D155" s="117" t="s">
        <v>315</v>
      </c>
      <c r="E155" s="119" t="s">
        <v>108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206</v>
      </c>
      <c r="C156" s="116"/>
      <c r="D156" s="117" t="s">
        <v>317</v>
      </c>
      <c r="E156" s="119" t="s">
        <v>108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314</v>
      </c>
      <c r="C157" s="116"/>
      <c r="D157" s="117" t="s">
        <v>315</v>
      </c>
      <c r="E157" s="119" t="s">
        <v>108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331</v>
      </c>
      <c r="C158" s="117"/>
      <c r="D158" s="117" t="s">
        <v>332</v>
      </c>
      <c r="E158" s="119" t="s">
        <v>347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334</v>
      </c>
      <c r="C159" s="117"/>
      <c r="D159" s="117" t="s">
        <v>332</v>
      </c>
      <c r="E159" s="119" t="s">
        <v>347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335</v>
      </c>
      <c r="C160" s="117"/>
      <c r="D160" s="117" t="s">
        <v>332</v>
      </c>
      <c r="E160" s="119" t="s">
        <v>347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925</v>
      </c>
      <c r="C161" s="117"/>
      <c r="D161" s="117" t="s">
        <v>332</v>
      </c>
      <c r="E161" s="119" t="s">
        <v>347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923</v>
      </c>
      <c r="C162" s="117"/>
      <c r="D162" s="117" t="s">
        <v>332</v>
      </c>
      <c r="E162" s="119" t="s">
        <v>347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336</v>
      </c>
      <c r="C163" s="117"/>
      <c r="D163" s="117" t="s">
        <v>332</v>
      </c>
      <c r="E163" s="119" t="s">
        <v>347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337</v>
      </c>
      <c r="C164" s="117"/>
      <c r="D164" s="117" t="s">
        <v>332</v>
      </c>
      <c r="E164" s="119" t="s">
        <v>347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338</v>
      </c>
      <c r="C165" s="117"/>
      <c r="D165" s="117" t="s">
        <v>352</v>
      </c>
      <c r="E165" s="119" t="s">
        <v>1429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340</v>
      </c>
      <c r="C166" s="117"/>
      <c r="D166" s="117" t="s">
        <v>352</v>
      </c>
      <c r="E166" s="119" t="s">
        <v>1429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1367</v>
      </c>
      <c r="C167" s="117"/>
      <c r="D167" s="117" t="s">
        <v>352</v>
      </c>
      <c r="E167" s="119" t="s">
        <v>1429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341</v>
      </c>
      <c r="C168" s="43"/>
      <c r="D168" s="117" t="s">
        <v>352</v>
      </c>
      <c r="E168" s="119" t="s">
        <v>1429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342</v>
      </c>
      <c r="C169" s="116"/>
      <c r="D169" s="117" t="s">
        <v>352</v>
      </c>
      <c r="E169" s="119" t="s">
        <v>1429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343</v>
      </c>
      <c r="C170" s="43"/>
      <c r="D170" s="117" t="s">
        <v>352</v>
      </c>
      <c r="E170" s="119" t="s">
        <v>1429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344</v>
      </c>
      <c r="C171" s="43"/>
      <c r="D171" s="117" t="s">
        <v>352</v>
      </c>
      <c r="E171" s="119" t="s">
        <v>1429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345</v>
      </c>
      <c r="C172" s="116"/>
      <c r="D172" s="117" t="s">
        <v>352</v>
      </c>
      <c r="E172" s="119" t="s">
        <v>1204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348</v>
      </c>
      <c r="C173" s="116"/>
      <c r="D173" s="117" t="s">
        <v>352</v>
      </c>
      <c r="E173" s="119" t="s">
        <v>1204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349</v>
      </c>
      <c r="C174" s="43"/>
      <c r="D174" s="117" t="s">
        <v>352</v>
      </c>
      <c r="E174" s="119" t="s">
        <v>356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351</v>
      </c>
      <c r="C175" s="116"/>
      <c r="D175" s="117" t="s">
        <v>352</v>
      </c>
      <c r="E175" s="119" t="s">
        <v>378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354</v>
      </c>
      <c r="C176" s="116"/>
      <c r="D176" s="117" t="s">
        <v>355</v>
      </c>
      <c r="E176" s="119" t="s">
        <v>1430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357</v>
      </c>
      <c r="C177" s="116"/>
      <c r="D177" s="117" t="s">
        <v>355</v>
      </c>
      <c r="E177" s="119" t="s">
        <v>1430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358</v>
      </c>
      <c r="C178" s="116"/>
      <c r="D178" s="117" t="s">
        <v>355</v>
      </c>
      <c r="E178" s="119" t="s">
        <v>1430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359</v>
      </c>
      <c r="C179" s="116"/>
      <c r="D179" s="117" t="s">
        <v>355</v>
      </c>
      <c r="E179" s="119" t="s">
        <v>1430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360</v>
      </c>
      <c r="C180" s="116"/>
      <c r="D180" s="117" t="s">
        <v>355</v>
      </c>
      <c r="E180" s="119" t="s">
        <v>1430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499</v>
      </c>
      <c r="C181" s="168"/>
      <c r="D181" s="117" t="s">
        <v>355</v>
      </c>
      <c r="E181" s="119" t="s">
        <v>571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363</v>
      </c>
      <c r="C182" s="170"/>
      <c r="D182" s="117" t="s">
        <v>355</v>
      </c>
      <c r="E182" s="119" t="s">
        <v>571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364</v>
      </c>
      <c r="C183" s="171"/>
      <c r="D183" s="117" t="s">
        <v>355</v>
      </c>
      <c r="E183" s="119" t="s">
        <v>571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361</v>
      </c>
      <c r="C184" s="171"/>
      <c r="D184" s="117" t="s">
        <v>355</v>
      </c>
      <c r="E184" s="119" t="s">
        <v>368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369</v>
      </c>
      <c r="C185" s="171"/>
      <c r="D185" s="117" t="s">
        <v>355</v>
      </c>
      <c r="E185" s="119" t="s">
        <v>572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362</v>
      </c>
      <c r="C186" s="171"/>
      <c r="D186" s="117" t="s">
        <v>355</v>
      </c>
      <c r="E186" s="119" t="s">
        <v>368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111</v>
      </c>
      <c r="D187" s="172" t="s">
        <v>1368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381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1432</v>
      </c>
      <c r="E190" s="180"/>
      <c r="F190" s="180"/>
      <c r="G190" s="180"/>
      <c r="H190" s="180"/>
      <c r="I190" s="180"/>
      <c r="J190" s="180"/>
      <c r="K190" s="176" t="s">
        <v>1456</v>
      </c>
      <c r="L190" s="176"/>
      <c r="M190" s="176"/>
      <c r="N190" s="176"/>
      <c r="O190" s="176"/>
      <c r="P190" s="176" t="s">
        <v>1457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1458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642</v>
      </c>
      <c r="F4" s="80" t="s">
        <v>1191</v>
      </c>
      <c r="G4" s="80" t="s">
        <v>1192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1263</v>
      </c>
      <c r="C7" s="86" t="s">
        <v>1352</v>
      </c>
      <c r="D7" s="10" t="s">
        <v>154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1353</v>
      </c>
      <c r="C8" s="86" t="s">
        <v>1354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1402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194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210</v>
      </c>
      <c r="C11" s="86" t="s">
        <v>1265</v>
      </c>
      <c r="D11" s="16" t="s">
        <v>194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194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273</v>
      </c>
      <c r="C13" s="86" t="s">
        <v>535</v>
      </c>
      <c r="D13" s="16" t="s">
        <v>194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538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172</v>
      </c>
      <c r="C15" s="83" t="s">
        <v>555</v>
      </c>
      <c r="D15" s="10" t="s">
        <v>1202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1355</v>
      </c>
      <c r="C16" s="86" t="s">
        <v>1356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1266</v>
      </c>
      <c r="C17" s="86" t="s">
        <v>40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1357</v>
      </c>
      <c r="C18" s="86" t="s">
        <v>1358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40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202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634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179</v>
      </c>
      <c r="C22" s="83" t="s">
        <v>559</v>
      </c>
      <c r="D22" s="15" t="s">
        <v>68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64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238</v>
      </c>
      <c r="C24" s="86" t="s">
        <v>239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290</v>
      </c>
      <c r="C25" s="86" t="s">
        <v>1374</v>
      </c>
      <c r="D25" s="15" t="s">
        <v>119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1359</v>
      </c>
      <c r="C26" s="83" t="s">
        <v>101</v>
      </c>
      <c r="D26" s="15" t="s">
        <v>76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77</v>
      </c>
      <c r="C27" s="86" t="s">
        <v>78</v>
      </c>
      <c r="D27" s="10" t="s">
        <v>96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80</v>
      </c>
      <c r="C28" s="83" t="s">
        <v>78</v>
      </c>
      <c r="D28" s="15" t="s">
        <v>96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1267</v>
      </c>
      <c r="C29" s="83" t="s">
        <v>1268</v>
      </c>
      <c r="D29" s="15" t="s">
        <v>96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1215</v>
      </c>
      <c r="D30" s="15" t="s">
        <v>1408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221</v>
      </c>
      <c r="C31" s="87" t="s">
        <v>1376</v>
      </c>
      <c r="D31" s="15" t="s">
        <v>102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1269</v>
      </c>
      <c r="D32" s="10" t="s">
        <v>102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89</v>
      </c>
      <c r="C33" s="87" t="s">
        <v>90</v>
      </c>
      <c r="D33" s="15" t="s">
        <v>96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1459</v>
      </c>
      <c r="C34" s="87" t="s">
        <v>90</v>
      </c>
      <c r="D34" s="15" t="s">
        <v>108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92</v>
      </c>
      <c r="C35" s="86" t="s">
        <v>1377</v>
      </c>
      <c r="D35" s="10" t="s">
        <v>108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1193</v>
      </c>
      <c r="C36" s="83" t="s">
        <v>101</v>
      </c>
      <c r="D36" s="15" t="s">
        <v>108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1360</v>
      </c>
      <c r="C37" s="83" t="s">
        <v>101</v>
      </c>
      <c r="D37" s="15" t="s">
        <v>108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111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112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113</v>
      </c>
      <c r="C41" s="86" t="s">
        <v>114</v>
      </c>
      <c r="D41" s="10" t="s">
        <v>212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116</v>
      </c>
      <c r="C42" s="86" t="s">
        <v>802</v>
      </c>
      <c r="D42" s="10" t="s">
        <v>108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541</v>
      </c>
      <c r="C46" s="86" t="s">
        <v>542</v>
      </c>
      <c r="D46" s="10" t="s">
        <v>115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543</v>
      </c>
      <c r="C47" s="86" t="s">
        <v>43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156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1272</v>
      </c>
      <c r="C53" s="86" t="s">
        <v>156</v>
      </c>
      <c r="D53" s="10" t="s">
        <v>199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556</v>
      </c>
      <c r="D54" s="10" t="s">
        <v>1201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544</v>
      </c>
      <c r="C56" s="86" t="s">
        <v>139</v>
      </c>
      <c r="D56" s="10" t="s">
        <v>96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111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545</v>
      </c>
      <c r="C61" s="83" t="s">
        <v>147</v>
      </c>
      <c r="D61" s="15" t="s">
        <v>115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111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546</v>
      </c>
      <c r="C65" s="87" t="s">
        <v>547</v>
      </c>
      <c r="D65" s="10" t="s">
        <v>115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548</v>
      </c>
      <c r="C66" s="87" t="s">
        <v>549</v>
      </c>
      <c r="D66" s="15" t="s">
        <v>1202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155</v>
      </c>
      <c r="C67" s="86" t="s">
        <v>158</v>
      </c>
      <c r="D67" s="10" t="s">
        <v>1201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550</v>
      </c>
      <c r="C68" s="87" t="s">
        <v>158</v>
      </c>
      <c r="D68" s="15" t="s">
        <v>202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551</v>
      </c>
      <c r="C69" s="87" t="s">
        <v>156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161</v>
      </c>
      <c r="C70" s="86" t="s">
        <v>139</v>
      </c>
      <c r="D70" s="10" t="s">
        <v>1411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1280</v>
      </c>
      <c r="C71" s="87" t="s">
        <v>70</v>
      </c>
      <c r="D71" s="15" t="s">
        <v>68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163</v>
      </c>
      <c r="C72" s="87" t="s">
        <v>70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164</v>
      </c>
      <c r="C73" s="87" t="s">
        <v>70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165</v>
      </c>
      <c r="C74" s="86" t="s">
        <v>166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1361</v>
      </c>
      <c r="C75" s="87" t="s">
        <v>139</v>
      </c>
      <c r="D75" s="10" t="s">
        <v>73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67</v>
      </c>
      <c r="D76" s="10" t="s">
        <v>96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66</v>
      </c>
      <c r="C77" s="87" t="s">
        <v>67</v>
      </c>
      <c r="D77" s="10" t="s">
        <v>108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111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169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170</v>
      </c>
      <c r="C81" s="86" t="s">
        <v>171</v>
      </c>
      <c r="D81" s="10" t="s">
        <v>115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552</v>
      </c>
      <c r="C82" s="86" t="s">
        <v>553</v>
      </c>
      <c r="D82" s="15" t="s">
        <v>1202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1362</v>
      </c>
      <c r="C83" s="86" t="s">
        <v>1363</v>
      </c>
      <c r="D83" s="15" t="s">
        <v>1202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176</v>
      </c>
      <c r="C84" s="86" t="s">
        <v>1216</v>
      </c>
      <c r="D84" s="15" t="s">
        <v>1201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183</v>
      </c>
      <c r="C85" s="86" t="s">
        <v>186</v>
      </c>
      <c r="D85" s="10" t="s">
        <v>73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111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189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1414</v>
      </c>
      <c r="C89" s="86" t="s">
        <v>1380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192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190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156</v>
      </c>
      <c r="D92" s="10" t="s">
        <v>178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195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196</v>
      </c>
      <c r="C94" s="86" t="s">
        <v>556</v>
      </c>
      <c r="D94" s="15" t="s">
        <v>1201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197</v>
      </c>
      <c r="C95" s="83" t="s">
        <v>158</v>
      </c>
      <c r="D95" s="15" t="s">
        <v>202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198</v>
      </c>
      <c r="C96" s="83" t="s">
        <v>158</v>
      </c>
      <c r="D96" s="15" t="s">
        <v>202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200</v>
      </c>
      <c r="C97" s="87" t="s">
        <v>70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204</v>
      </c>
      <c r="C98" s="86" t="s">
        <v>205</v>
      </c>
      <c r="D98" s="10" t="s">
        <v>73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206</v>
      </c>
      <c r="C99" s="87" t="s">
        <v>207</v>
      </c>
      <c r="D99" s="15" t="s">
        <v>108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111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1460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536</v>
      </c>
      <c r="C103" s="95" t="s">
        <v>537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214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1381</v>
      </c>
      <c r="C105" s="86" t="s">
        <v>1382</v>
      </c>
      <c r="D105" s="15" t="s">
        <v>202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219</v>
      </c>
      <c r="C106" s="86" t="s">
        <v>220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111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223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224</v>
      </c>
      <c r="C110" s="83" t="s">
        <v>225</v>
      </c>
      <c r="D110" s="15" t="s">
        <v>115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226</v>
      </c>
      <c r="C111" s="86" t="s">
        <v>227</v>
      </c>
      <c r="D111" s="16" t="s">
        <v>194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228</v>
      </c>
      <c r="C112" s="86" t="s">
        <v>442</v>
      </c>
      <c r="D112" s="10" t="s">
        <v>52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231</v>
      </c>
      <c r="C113" s="86" t="s">
        <v>442</v>
      </c>
      <c r="D113" s="10" t="s">
        <v>460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232</v>
      </c>
      <c r="C114" s="86" t="s">
        <v>233</v>
      </c>
      <c r="D114" s="15" t="s">
        <v>208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235</v>
      </c>
      <c r="C115" s="86" t="s">
        <v>233</v>
      </c>
      <c r="D115" s="10" t="s">
        <v>102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236</v>
      </c>
      <c r="C116" s="86" t="s">
        <v>233</v>
      </c>
      <c r="D116" s="15" t="s">
        <v>108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111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252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253</v>
      </c>
      <c r="C120" s="83" t="s">
        <v>254</v>
      </c>
      <c r="D120" s="15" t="s">
        <v>115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1384</v>
      </c>
      <c r="C121" s="83" t="s">
        <v>1385</v>
      </c>
      <c r="D121" s="15" t="s">
        <v>154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255</v>
      </c>
      <c r="C122" s="83" t="s">
        <v>258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257</v>
      </c>
      <c r="C123" s="83" t="s">
        <v>258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560</v>
      </c>
      <c r="C124" s="83" t="s">
        <v>258</v>
      </c>
      <c r="D124" s="15" t="s">
        <v>49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259</v>
      </c>
      <c r="C125" s="83" t="s">
        <v>260</v>
      </c>
      <c r="D125" s="15" t="s">
        <v>199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261</v>
      </c>
      <c r="C126" s="83" t="s">
        <v>495</v>
      </c>
      <c r="D126" s="15" t="s">
        <v>1201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262</v>
      </c>
      <c r="C127" s="83" t="s">
        <v>1218</v>
      </c>
      <c r="D127" s="15" t="s">
        <v>1201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1386</v>
      </c>
      <c r="C128" s="83" t="s">
        <v>1387</v>
      </c>
      <c r="D128" s="15" t="s">
        <v>58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265</v>
      </c>
      <c r="C129" s="83" t="s">
        <v>266</v>
      </c>
      <c r="D129" s="10" t="s">
        <v>96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267</v>
      </c>
      <c r="C130" s="83" t="s">
        <v>268</v>
      </c>
      <c r="D130" s="15" t="s">
        <v>108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111</v>
      </c>
      <c r="C131" s="99" t="s">
        <v>271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561</v>
      </c>
      <c r="C134" s="83" t="s">
        <v>1461</v>
      </c>
      <c r="D134" s="15" t="s">
        <v>115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563</v>
      </c>
      <c r="C135" s="83" t="s">
        <v>564</v>
      </c>
      <c r="D135" s="15" t="s">
        <v>154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276</v>
      </c>
      <c r="C136" s="86" t="s">
        <v>277</v>
      </c>
      <c r="D136" s="16" t="s">
        <v>194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278</v>
      </c>
      <c r="C137" s="83" t="s">
        <v>565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280</v>
      </c>
      <c r="C138" s="86" t="s">
        <v>566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213</v>
      </c>
      <c r="C139" s="86" t="s">
        <v>568</v>
      </c>
      <c r="D139" s="15" t="s">
        <v>1201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215</v>
      </c>
      <c r="C140" s="83" t="s">
        <v>567</v>
      </c>
      <c r="D140" s="15" t="s">
        <v>68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283</v>
      </c>
      <c r="C141" s="83" t="s">
        <v>567</v>
      </c>
      <c r="D141" s="15" t="s">
        <v>68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284</v>
      </c>
      <c r="C142" s="86" t="s">
        <v>568</v>
      </c>
      <c r="D142" s="15" t="s">
        <v>68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286</v>
      </c>
      <c r="C143" s="83" t="s">
        <v>569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288</v>
      </c>
      <c r="C144" s="83" t="s">
        <v>1220</v>
      </c>
      <c r="D144" s="15" t="s">
        <v>119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569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292</v>
      </c>
      <c r="C146" s="86" t="s">
        <v>570</v>
      </c>
      <c r="D146" s="15" t="s">
        <v>76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293</v>
      </c>
      <c r="C147" s="86" t="s">
        <v>570</v>
      </c>
      <c r="D147" s="15" t="s">
        <v>76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295</v>
      </c>
      <c r="C148" s="86" t="s">
        <v>570</v>
      </c>
      <c r="D148" s="15" t="s">
        <v>76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296</v>
      </c>
      <c r="C149" s="83" t="s">
        <v>297</v>
      </c>
      <c r="D149" s="15" t="s">
        <v>73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1203</v>
      </c>
      <c r="C150" s="83" t="s">
        <v>299</v>
      </c>
      <c r="D150" s="10" t="s">
        <v>96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300</v>
      </c>
      <c r="C151" s="83" t="s">
        <v>301</v>
      </c>
      <c r="D151" s="15" t="s">
        <v>73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303</v>
      </c>
      <c r="C152" s="83" t="s">
        <v>304</v>
      </c>
      <c r="D152" s="15" t="s">
        <v>96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305</v>
      </c>
      <c r="C153" s="83" t="s">
        <v>306</v>
      </c>
      <c r="D153" s="15" t="s">
        <v>73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307</v>
      </c>
      <c r="C154" s="83" t="s">
        <v>308</v>
      </c>
      <c r="D154" s="15" t="s">
        <v>96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309</v>
      </c>
      <c r="C155" s="83" t="s">
        <v>317</v>
      </c>
      <c r="D155" s="15" t="s">
        <v>1408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1388</v>
      </c>
      <c r="C156" s="83" t="s">
        <v>315</v>
      </c>
      <c r="D156" s="15" t="s">
        <v>108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314</v>
      </c>
      <c r="C157" s="83" t="s">
        <v>315</v>
      </c>
      <c r="D157" s="15" t="s">
        <v>108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316</v>
      </c>
      <c r="C158" s="83" t="s">
        <v>317</v>
      </c>
      <c r="D158" s="15" t="s">
        <v>108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318</v>
      </c>
      <c r="C159" s="83" t="s">
        <v>319</v>
      </c>
      <c r="D159" s="15" t="s">
        <v>108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320</v>
      </c>
      <c r="C160" s="83" t="s">
        <v>321</v>
      </c>
      <c r="D160" s="15" t="s">
        <v>108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331</v>
      </c>
      <c r="C161" s="83" t="s">
        <v>332</v>
      </c>
      <c r="D161" s="15" t="s">
        <v>347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334</v>
      </c>
      <c r="C162" s="83" t="s">
        <v>332</v>
      </c>
      <c r="D162" s="15" t="s">
        <v>347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335</v>
      </c>
      <c r="C163" s="83" t="s">
        <v>332</v>
      </c>
      <c r="D163" s="15" t="s">
        <v>347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925</v>
      </c>
      <c r="C164" s="83" t="s">
        <v>332</v>
      </c>
      <c r="D164" s="15" t="s">
        <v>347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923</v>
      </c>
      <c r="C165" s="83" t="s">
        <v>332</v>
      </c>
      <c r="D165" s="15" t="s">
        <v>347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336</v>
      </c>
      <c r="C166" s="83" t="s">
        <v>332</v>
      </c>
      <c r="D166" s="15" t="s">
        <v>347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337</v>
      </c>
      <c r="C167" s="83" t="s">
        <v>332</v>
      </c>
      <c r="D167" s="15" t="s">
        <v>347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338</v>
      </c>
      <c r="C168" s="83" t="s">
        <v>332</v>
      </c>
      <c r="D168" s="15" t="s">
        <v>353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340</v>
      </c>
      <c r="C169" s="83" t="s">
        <v>332</v>
      </c>
      <c r="D169" s="15" t="s">
        <v>353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1367</v>
      </c>
      <c r="C170" s="83" t="s">
        <v>332</v>
      </c>
      <c r="D170" s="15" t="s">
        <v>353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341</v>
      </c>
      <c r="C171" s="83" t="s">
        <v>332</v>
      </c>
      <c r="D171" s="15" t="s">
        <v>353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342</v>
      </c>
      <c r="C172" s="83" t="s">
        <v>332</v>
      </c>
      <c r="D172" s="15" t="s">
        <v>353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343</v>
      </c>
      <c r="C173" s="83" t="s">
        <v>332</v>
      </c>
      <c r="D173" s="15" t="s">
        <v>353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344</v>
      </c>
      <c r="C174" s="83" t="s">
        <v>332</v>
      </c>
      <c r="D174" s="15" t="s">
        <v>353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345</v>
      </c>
      <c r="C175" s="83" t="s">
        <v>352</v>
      </c>
      <c r="D175" s="15" t="s">
        <v>1204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348</v>
      </c>
      <c r="C176" s="83" t="s">
        <v>352</v>
      </c>
      <c r="D176" s="15" t="s">
        <v>1204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349</v>
      </c>
      <c r="C177" s="83" t="s">
        <v>352</v>
      </c>
      <c r="D177" s="15" t="s">
        <v>356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351</v>
      </c>
      <c r="C178" s="83" t="s">
        <v>352</v>
      </c>
      <c r="D178" s="15" t="s">
        <v>378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354</v>
      </c>
      <c r="C179" s="83" t="s">
        <v>355</v>
      </c>
      <c r="D179" s="15" t="s">
        <v>1430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357</v>
      </c>
      <c r="C180" s="83" t="s">
        <v>355</v>
      </c>
      <c r="D180" s="15" t="s">
        <v>1430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358</v>
      </c>
      <c r="C181" s="83" t="s">
        <v>355</v>
      </c>
      <c r="D181" s="15" t="s">
        <v>1430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359</v>
      </c>
      <c r="C182" s="83" t="s">
        <v>355</v>
      </c>
      <c r="D182" s="15" t="s">
        <v>1430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360</v>
      </c>
      <c r="C183" s="83" t="s">
        <v>355</v>
      </c>
      <c r="D183" s="15" t="s">
        <v>1430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361</v>
      </c>
      <c r="C184" s="83" t="s">
        <v>355</v>
      </c>
      <c r="D184" s="15" t="s">
        <v>368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362</v>
      </c>
      <c r="C185" s="83" t="s">
        <v>355</v>
      </c>
      <c r="D185" s="15" t="s">
        <v>368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499</v>
      </c>
      <c r="C186" s="83" t="s">
        <v>352</v>
      </c>
      <c r="D186" s="15" t="s">
        <v>368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363</v>
      </c>
      <c r="C187" s="83" t="s">
        <v>352</v>
      </c>
      <c r="D187" s="15" t="s">
        <v>368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364</v>
      </c>
      <c r="C188" s="83" t="s">
        <v>355</v>
      </c>
      <c r="D188" s="15" t="s">
        <v>571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369</v>
      </c>
      <c r="C189" s="83" t="s">
        <v>355</v>
      </c>
      <c r="D189" s="15" t="s">
        <v>572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111</v>
      </c>
      <c r="C190" s="100" t="s">
        <v>1462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381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1458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642</v>
      </c>
      <c r="F4" s="80" t="s">
        <v>1191</v>
      </c>
      <c r="G4" s="80" t="s">
        <v>1192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1263</v>
      </c>
      <c r="C7" s="86" t="s">
        <v>1352</v>
      </c>
      <c r="D7" s="10" t="s">
        <v>154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1353</v>
      </c>
      <c r="C8" s="86" t="s">
        <v>1354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1402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194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210</v>
      </c>
      <c r="C11" s="86" t="s">
        <v>1265</v>
      </c>
      <c r="D11" s="16" t="s">
        <v>194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194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273</v>
      </c>
      <c r="C13" s="86" t="s">
        <v>535</v>
      </c>
      <c r="D13" s="16" t="s">
        <v>194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538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172</v>
      </c>
      <c r="C15" s="83" t="s">
        <v>555</v>
      </c>
      <c r="D15" s="10" t="s">
        <v>1202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1355</v>
      </c>
      <c r="C16" s="86" t="s">
        <v>1356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1266</v>
      </c>
      <c r="C17" s="86" t="s">
        <v>40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1357</v>
      </c>
      <c r="C18" s="86" t="s">
        <v>1358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40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202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634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179</v>
      </c>
      <c r="C22" s="83" t="s">
        <v>559</v>
      </c>
      <c r="D22" s="15" t="s">
        <v>68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64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238</v>
      </c>
      <c r="C24" s="86" t="s">
        <v>239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290</v>
      </c>
      <c r="C25" s="86" t="s">
        <v>1374</v>
      </c>
      <c r="D25" s="15" t="s">
        <v>119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1359</v>
      </c>
      <c r="C26" s="83" t="s">
        <v>101</v>
      </c>
      <c r="D26" s="15" t="s">
        <v>76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77</v>
      </c>
      <c r="C27" s="86" t="s">
        <v>78</v>
      </c>
      <c r="D27" s="10" t="s">
        <v>96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80</v>
      </c>
      <c r="C28" s="83" t="s">
        <v>78</v>
      </c>
      <c r="D28" s="15" t="s">
        <v>96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1267</v>
      </c>
      <c r="C29" s="83" t="s">
        <v>1268</v>
      </c>
      <c r="D29" s="15" t="s">
        <v>96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1215</v>
      </c>
      <c r="D30" s="15" t="s">
        <v>1408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221</v>
      </c>
      <c r="C31" s="87" t="s">
        <v>1376</v>
      </c>
      <c r="D31" s="15" t="s">
        <v>102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1269</v>
      </c>
      <c r="D32" s="10" t="s">
        <v>102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89</v>
      </c>
      <c r="C33" s="87" t="s">
        <v>90</v>
      </c>
      <c r="D33" s="15" t="s">
        <v>96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1459</v>
      </c>
      <c r="C34" s="87" t="s">
        <v>90</v>
      </c>
      <c r="D34" s="15" t="s">
        <v>108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92</v>
      </c>
      <c r="C35" s="86" t="s">
        <v>1377</v>
      </c>
      <c r="D35" s="10" t="s">
        <v>108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1193</v>
      </c>
      <c r="C36" s="83" t="s">
        <v>101</v>
      </c>
      <c r="D36" s="15" t="s">
        <v>108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1360</v>
      </c>
      <c r="C37" s="83" t="s">
        <v>101</v>
      </c>
      <c r="D37" s="15" t="s">
        <v>108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111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112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113</v>
      </c>
      <c r="C41" s="86" t="s">
        <v>114</v>
      </c>
      <c r="D41" s="10" t="s">
        <v>212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116</v>
      </c>
      <c r="C42" s="86" t="s">
        <v>802</v>
      </c>
      <c r="D42" s="10" t="s">
        <v>108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541</v>
      </c>
      <c r="C46" s="86" t="s">
        <v>542</v>
      </c>
      <c r="D46" s="10" t="s">
        <v>115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543</v>
      </c>
      <c r="C47" s="86" t="s">
        <v>43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156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1272</v>
      </c>
      <c r="C53" s="86" t="s">
        <v>156</v>
      </c>
      <c r="D53" s="10" t="s">
        <v>199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556</v>
      </c>
      <c r="D54" s="10" t="s">
        <v>1201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544</v>
      </c>
      <c r="C56" s="86" t="s">
        <v>139</v>
      </c>
      <c r="D56" s="10" t="s">
        <v>96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111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545</v>
      </c>
      <c r="C61" s="83" t="s">
        <v>147</v>
      </c>
      <c r="D61" s="15" t="s">
        <v>115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111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546</v>
      </c>
      <c r="C65" s="87" t="s">
        <v>547</v>
      </c>
      <c r="D65" s="10" t="s">
        <v>115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548</v>
      </c>
      <c r="C66" s="87" t="s">
        <v>549</v>
      </c>
      <c r="D66" s="15" t="s">
        <v>1202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155</v>
      </c>
      <c r="C67" s="86" t="s">
        <v>158</v>
      </c>
      <c r="D67" s="10" t="s">
        <v>1201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550</v>
      </c>
      <c r="C68" s="87" t="s">
        <v>158</v>
      </c>
      <c r="D68" s="15" t="s">
        <v>202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551</v>
      </c>
      <c r="C69" s="87" t="s">
        <v>156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161</v>
      </c>
      <c r="C70" s="86" t="s">
        <v>139</v>
      </c>
      <c r="D70" s="10" t="s">
        <v>1411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1280</v>
      </c>
      <c r="C71" s="87" t="s">
        <v>70</v>
      </c>
      <c r="D71" s="15" t="s">
        <v>68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163</v>
      </c>
      <c r="C72" s="87" t="s">
        <v>70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164</v>
      </c>
      <c r="C73" s="87" t="s">
        <v>70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165</v>
      </c>
      <c r="C74" s="86" t="s">
        <v>166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1361</v>
      </c>
      <c r="C75" s="87" t="s">
        <v>139</v>
      </c>
      <c r="D75" s="10" t="s">
        <v>73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67</v>
      </c>
      <c r="D76" s="10" t="s">
        <v>96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66</v>
      </c>
      <c r="C77" s="87" t="s">
        <v>67</v>
      </c>
      <c r="D77" s="10" t="s">
        <v>108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111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169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170</v>
      </c>
      <c r="C81" s="86" t="s">
        <v>171</v>
      </c>
      <c r="D81" s="10" t="s">
        <v>115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552</v>
      </c>
      <c r="C82" s="86" t="s">
        <v>553</v>
      </c>
      <c r="D82" s="15" t="s">
        <v>1202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1362</v>
      </c>
      <c r="C83" s="86" t="s">
        <v>1363</v>
      </c>
      <c r="D83" s="15" t="s">
        <v>1202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176</v>
      </c>
      <c r="C84" s="86" t="s">
        <v>1216</v>
      </c>
      <c r="D84" s="15" t="s">
        <v>1201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183</v>
      </c>
      <c r="C85" s="86" t="s">
        <v>186</v>
      </c>
      <c r="D85" s="10" t="s">
        <v>73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111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189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1414</v>
      </c>
      <c r="C89" s="86" t="s">
        <v>1380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192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190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156</v>
      </c>
      <c r="D92" s="10" t="s">
        <v>178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195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196</v>
      </c>
      <c r="C94" s="86" t="s">
        <v>556</v>
      </c>
      <c r="D94" s="15" t="s">
        <v>1201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197</v>
      </c>
      <c r="C95" s="83" t="s">
        <v>158</v>
      </c>
      <c r="D95" s="15" t="s">
        <v>202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198</v>
      </c>
      <c r="C96" s="83" t="s">
        <v>158</v>
      </c>
      <c r="D96" s="15" t="s">
        <v>202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200</v>
      </c>
      <c r="C97" s="87" t="s">
        <v>70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204</v>
      </c>
      <c r="C98" s="86" t="s">
        <v>205</v>
      </c>
      <c r="D98" s="10" t="s">
        <v>73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206</v>
      </c>
      <c r="C99" s="87" t="s">
        <v>207</v>
      </c>
      <c r="D99" s="15" t="s">
        <v>108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111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1460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536</v>
      </c>
      <c r="C103" s="95" t="s">
        <v>537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214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1381</v>
      </c>
      <c r="C105" s="86" t="s">
        <v>1382</v>
      </c>
      <c r="D105" s="15" t="s">
        <v>202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219</v>
      </c>
      <c r="C106" s="86" t="s">
        <v>220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111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223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224</v>
      </c>
      <c r="C110" s="83" t="s">
        <v>225</v>
      </c>
      <c r="D110" s="15" t="s">
        <v>115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226</v>
      </c>
      <c r="C111" s="86" t="s">
        <v>227</v>
      </c>
      <c r="D111" s="16" t="s">
        <v>194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228</v>
      </c>
      <c r="C112" s="86" t="s">
        <v>442</v>
      </c>
      <c r="D112" s="10" t="s">
        <v>52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231</v>
      </c>
      <c r="C113" s="86" t="s">
        <v>442</v>
      </c>
      <c r="D113" s="10" t="s">
        <v>460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232</v>
      </c>
      <c r="C114" s="86" t="s">
        <v>233</v>
      </c>
      <c r="D114" s="15" t="s">
        <v>208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235</v>
      </c>
      <c r="C115" s="86" t="s">
        <v>233</v>
      </c>
      <c r="D115" s="10" t="s">
        <v>102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236</v>
      </c>
      <c r="C116" s="86" t="s">
        <v>233</v>
      </c>
      <c r="D116" s="15" t="s">
        <v>108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111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252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253</v>
      </c>
      <c r="C120" s="83" t="s">
        <v>254</v>
      </c>
      <c r="D120" s="15" t="s">
        <v>115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1384</v>
      </c>
      <c r="C121" s="83" t="s">
        <v>1385</v>
      </c>
      <c r="D121" s="15" t="s">
        <v>154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255</v>
      </c>
      <c r="C122" s="83" t="s">
        <v>258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257</v>
      </c>
      <c r="C123" s="83" t="s">
        <v>258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560</v>
      </c>
      <c r="C124" s="83" t="s">
        <v>258</v>
      </c>
      <c r="D124" s="15" t="s">
        <v>49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259</v>
      </c>
      <c r="C125" s="83" t="s">
        <v>260</v>
      </c>
      <c r="D125" s="15" t="s">
        <v>199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261</v>
      </c>
      <c r="C126" s="83" t="s">
        <v>495</v>
      </c>
      <c r="D126" s="15" t="s">
        <v>1201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262</v>
      </c>
      <c r="C127" s="83" t="s">
        <v>1218</v>
      </c>
      <c r="D127" s="15" t="s">
        <v>1201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1386</v>
      </c>
      <c r="C128" s="83" t="s">
        <v>1387</v>
      </c>
      <c r="D128" s="15" t="s">
        <v>58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265</v>
      </c>
      <c r="C129" s="83" t="s">
        <v>266</v>
      </c>
      <c r="D129" s="10" t="s">
        <v>96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267</v>
      </c>
      <c r="C130" s="83" t="s">
        <v>268</v>
      </c>
      <c r="D130" s="15" t="s">
        <v>108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111</v>
      </c>
      <c r="C131" s="99" t="s">
        <v>271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561</v>
      </c>
      <c r="C134" s="83" t="s">
        <v>1461</v>
      </c>
      <c r="D134" s="15" t="s">
        <v>115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563</v>
      </c>
      <c r="C135" s="83" t="s">
        <v>564</v>
      </c>
      <c r="D135" s="15" t="s">
        <v>154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276</v>
      </c>
      <c r="C136" s="86" t="s">
        <v>277</v>
      </c>
      <c r="D136" s="16" t="s">
        <v>194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278</v>
      </c>
      <c r="C137" s="83" t="s">
        <v>565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280</v>
      </c>
      <c r="C138" s="86" t="s">
        <v>566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213</v>
      </c>
      <c r="C139" s="86" t="s">
        <v>568</v>
      </c>
      <c r="D139" s="15" t="s">
        <v>1201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215</v>
      </c>
      <c r="C140" s="83" t="s">
        <v>567</v>
      </c>
      <c r="D140" s="15" t="s">
        <v>68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283</v>
      </c>
      <c r="C141" s="83" t="s">
        <v>567</v>
      </c>
      <c r="D141" s="15" t="s">
        <v>68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284</v>
      </c>
      <c r="C142" s="86" t="s">
        <v>568</v>
      </c>
      <c r="D142" s="15" t="s">
        <v>68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286</v>
      </c>
      <c r="C143" s="83" t="s">
        <v>569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288</v>
      </c>
      <c r="C144" s="83" t="s">
        <v>1220</v>
      </c>
      <c r="D144" s="15" t="s">
        <v>119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569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292</v>
      </c>
      <c r="C146" s="86" t="s">
        <v>570</v>
      </c>
      <c r="D146" s="15" t="s">
        <v>76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293</v>
      </c>
      <c r="C147" s="86" t="s">
        <v>570</v>
      </c>
      <c r="D147" s="15" t="s">
        <v>76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295</v>
      </c>
      <c r="C148" s="86" t="s">
        <v>570</v>
      </c>
      <c r="D148" s="15" t="s">
        <v>76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296</v>
      </c>
      <c r="C149" s="83" t="s">
        <v>297</v>
      </c>
      <c r="D149" s="15" t="s">
        <v>73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1203</v>
      </c>
      <c r="C150" s="83" t="s">
        <v>299</v>
      </c>
      <c r="D150" s="10" t="s">
        <v>96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300</v>
      </c>
      <c r="C151" s="83" t="s">
        <v>301</v>
      </c>
      <c r="D151" s="15" t="s">
        <v>73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303</v>
      </c>
      <c r="C152" s="83" t="s">
        <v>304</v>
      </c>
      <c r="D152" s="15" t="s">
        <v>96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305</v>
      </c>
      <c r="C153" s="83" t="s">
        <v>306</v>
      </c>
      <c r="D153" s="15" t="s">
        <v>73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307</v>
      </c>
      <c r="C154" s="83" t="s">
        <v>308</v>
      </c>
      <c r="D154" s="15" t="s">
        <v>96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309</v>
      </c>
      <c r="C155" s="83" t="s">
        <v>317</v>
      </c>
      <c r="D155" s="15" t="s">
        <v>1408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1388</v>
      </c>
      <c r="C156" s="83" t="s">
        <v>315</v>
      </c>
      <c r="D156" s="15" t="s">
        <v>108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314</v>
      </c>
      <c r="C157" s="83" t="s">
        <v>315</v>
      </c>
      <c r="D157" s="15" t="s">
        <v>108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316</v>
      </c>
      <c r="C158" s="83" t="s">
        <v>317</v>
      </c>
      <c r="D158" s="15" t="s">
        <v>108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318</v>
      </c>
      <c r="C159" s="83" t="s">
        <v>319</v>
      </c>
      <c r="D159" s="15" t="s">
        <v>108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320</v>
      </c>
      <c r="C160" s="83" t="s">
        <v>321</v>
      </c>
      <c r="D160" s="15" t="s">
        <v>108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331</v>
      </c>
      <c r="C161" s="83" t="s">
        <v>332</v>
      </c>
      <c r="D161" s="15" t="s">
        <v>347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334</v>
      </c>
      <c r="C162" s="83" t="s">
        <v>332</v>
      </c>
      <c r="D162" s="15" t="s">
        <v>347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335</v>
      </c>
      <c r="C163" s="83" t="s">
        <v>332</v>
      </c>
      <c r="D163" s="15" t="s">
        <v>347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925</v>
      </c>
      <c r="C164" s="83" t="s">
        <v>332</v>
      </c>
      <c r="D164" s="15" t="s">
        <v>347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923</v>
      </c>
      <c r="C165" s="83" t="s">
        <v>332</v>
      </c>
      <c r="D165" s="15" t="s">
        <v>347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336</v>
      </c>
      <c r="C166" s="83" t="s">
        <v>332</v>
      </c>
      <c r="D166" s="15" t="s">
        <v>347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337</v>
      </c>
      <c r="C167" s="83" t="s">
        <v>332</v>
      </c>
      <c r="D167" s="15" t="s">
        <v>347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338</v>
      </c>
      <c r="C168" s="83" t="s">
        <v>332</v>
      </c>
      <c r="D168" s="15" t="s">
        <v>353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340</v>
      </c>
      <c r="C169" s="83" t="s">
        <v>332</v>
      </c>
      <c r="D169" s="15" t="s">
        <v>353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1367</v>
      </c>
      <c r="C170" s="83" t="s">
        <v>332</v>
      </c>
      <c r="D170" s="15" t="s">
        <v>353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341</v>
      </c>
      <c r="C171" s="83" t="s">
        <v>332</v>
      </c>
      <c r="D171" s="15" t="s">
        <v>353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342</v>
      </c>
      <c r="C172" s="83" t="s">
        <v>332</v>
      </c>
      <c r="D172" s="15" t="s">
        <v>353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343</v>
      </c>
      <c r="C173" s="83" t="s">
        <v>332</v>
      </c>
      <c r="D173" s="15" t="s">
        <v>353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344</v>
      </c>
      <c r="C174" s="83" t="s">
        <v>332</v>
      </c>
      <c r="D174" s="15" t="s">
        <v>353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345</v>
      </c>
      <c r="C175" s="83" t="s">
        <v>352</v>
      </c>
      <c r="D175" s="15" t="s">
        <v>1204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348</v>
      </c>
      <c r="C176" s="83" t="s">
        <v>352</v>
      </c>
      <c r="D176" s="15" t="s">
        <v>1204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349</v>
      </c>
      <c r="C177" s="83" t="s">
        <v>352</v>
      </c>
      <c r="D177" s="15" t="s">
        <v>356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351</v>
      </c>
      <c r="C178" s="83" t="s">
        <v>352</v>
      </c>
      <c r="D178" s="15" t="s">
        <v>378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354</v>
      </c>
      <c r="C179" s="83" t="s">
        <v>355</v>
      </c>
      <c r="D179" s="15" t="s">
        <v>1430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357</v>
      </c>
      <c r="C180" s="83" t="s">
        <v>355</v>
      </c>
      <c r="D180" s="15" t="s">
        <v>1430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358</v>
      </c>
      <c r="C181" s="83" t="s">
        <v>355</v>
      </c>
      <c r="D181" s="15" t="s">
        <v>1430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359</v>
      </c>
      <c r="C182" s="83" t="s">
        <v>355</v>
      </c>
      <c r="D182" s="15" t="s">
        <v>1430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360</v>
      </c>
      <c r="C183" s="83" t="s">
        <v>355</v>
      </c>
      <c r="D183" s="15" t="s">
        <v>1430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361</v>
      </c>
      <c r="C184" s="83" t="s">
        <v>355</v>
      </c>
      <c r="D184" s="15" t="s">
        <v>368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362</v>
      </c>
      <c r="C185" s="83" t="s">
        <v>355</v>
      </c>
      <c r="D185" s="15" t="s">
        <v>368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499</v>
      </c>
      <c r="C186" s="83" t="s">
        <v>352</v>
      </c>
      <c r="D186" s="15" t="s">
        <v>368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363</v>
      </c>
      <c r="C187" s="83" t="s">
        <v>352</v>
      </c>
      <c r="D187" s="15" t="s">
        <v>368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364</v>
      </c>
      <c r="C188" s="83" t="s">
        <v>355</v>
      </c>
      <c r="D188" s="15" t="s">
        <v>571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369</v>
      </c>
      <c r="C189" s="83" t="s">
        <v>355</v>
      </c>
      <c r="D189" s="15" t="s">
        <v>572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111</v>
      </c>
      <c r="C190" s="100" t="s">
        <v>1462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381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1463</v>
      </c>
      <c r="B1" s="74"/>
      <c r="C1" s="74"/>
      <c r="D1" s="74"/>
      <c r="E1" s="74"/>
      <c r="F1" s="74"/>
    </row>
    <row r="2" ht="17.5" spans="1:6">
      <c r="A2" s="41" t="s">
        <v>1464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1468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1469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1470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1471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1472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1473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1474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1475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1476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1477</v>
      </c>
      <c r="B1" s="47"/>
      <c r="C1" s="47"/>
      <c r="D1" s="47"/>
      <c r="E1" s="47"/>
      <c r="F1" s="47"/>
    </row>
    <row r="2" ht="17.5" spans="1:6">
      <c r="A2" s="41" t="s">
        <v>1478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 t="e">
        <f>E4*12</f>
        <v>#REF!</v>
      </c>
      <c r="E4" s="51" t="e">
        <f>'AUGUST 2025'!#REF!</f>
        <v>#REF!</v>
      </c>
      <c r="F4" s="46"/>
    </row>
    <row r="5" ht="18" spans="1:6">
      <c r="A5" s="48" t="s">
        <v>1468</v>
      </c>
      <c r="B5" s="48"/>
      <c r="C5" s="48"/>
      <c r="D5" s="51" t="e">
        <f t="shared" ref="D5:D13" si="0">E5*12</f>
        <v>#REF!</v>
      </c>
      <c r="E5" s="51" t="e">
        <f>'AUGUST 2025'!#REF!</f>
        <v>#REF!</v>
      </c>
      <c r="F5" s="46"/>
    </row>
    <row r="6" ht="18" spans="1:6">
      <c r="A6" s="48" t="s">
        <v>1469</v>
      </c>
      <c r="B6" s="48"/>
      <c r="C6" s="48"/>
      <c r="D6" s="51" t="e">
        <f t="shared" si="0"/>
        <v>#REF!</v>
      </c>
      <c r="E6" s="51" t="e">
        <f>'AUGUST 2025'!#REF!</f>
        <v>#REF!</v>
      </c>
      <c r="F6" s="46"/>
    </row>
    <row r="7" ht="18" spans="1:6">
      <c r="A7" s="48" t="s">
        <v>1470</v>
      </c>
      <c r="B7" s="48"/>
      <c r="C7" s="48"/>
      <c r="D7" s="51" t="e">
        <f t="shared" si="0"/>
        <v>#REF!</v>
      </c>
      <c r="E7" s="51" t="e">
        <f>'AUGUST 2025'!#REF!</f>
        <v>#REF!</v>
      </c>
      <c r="F7" s="46"/>
    </row>
    <row r="8" ht="18" spans="1:6">
      <c r="A8" s="48" t="s">
        <v>1471</v>
      </c>
      <c r="B8" s="48"/>
      <c r="C8" s="48"/>
      <c r="D8" s="51" t="e">
        <f t="shared" si="0"/>
        <v>#REF!</v>
      </c>
      <c r="E8" s="51" t="e">
        <f>'AUGUST 2025'!#REF!</f>
        <v>#REF!</v>
      </c>
      <c r="F8" s="46"/>
    </row>
    <row r="9" ht="18" spans="1:6">
      <c r="A9" s="48" t="s">
        <v>1472</v>
      </c>
      <c r="B9" s="48"/>
      <c r="C9" s="48"/>
      <c r="D9" s="51" t="e">
        <f t="shared" si="0"/>
        <v>#REF!</v>
      </c>
      <c r="E9" s="51" t="e">
        <f>'AUGUST 2025'!#REF!</f>
        <v>#REF!</v>
      </c>
      <c r="F9" s="46"/>
    </row>
    <row r="10" ht="18" spans="1:6">
      <c r="A10" s="48" t="s">
        <v>1474</v>
      </c>
      <c r="B10" s="48"/>
      <c r="C10" s="48"/>
      <c r="D10" s="51" t="e">
        <f t="shared" si="0"/>
        <v>#REF!</v>
      </c>
      <c r="E10" s="51" t="e">
        <f>'AUGUST 2025'!#REF!</f>
        <v>#REF!</v>
      </c>
      <c r="F10" s="46"/>
    </row>
    <row r="11" ht="18" spans="1:6">
      <c r="A11" s="52" t="s">
        <v>1479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1475</v>
      </c>
      <c r="B12" s="48"/>
      <c r="C12" s="48"/>
      <c r="D12" s="51" t="e">
        <f t="shared" si="0"/>
        <v>#REF!</v>
      </c>
      <c r="E12" s="51" t="e">
        <f>'AUGUST 2025'!#REF!</f>
        <v>#REF!</v>
      </c>
      <c r="F12" s="46"/>
    </row>
    <row r="13" ht="18" spans="1:6">
      <c r="A13" s="48" t="s">
        <v>1476</v>
      </c>
      <c r="B13" s="48"/>
      <c r="C13" s="48"/>
      <c r="D13" s="51" t="e">
        <f t="shared" si="0"/>
        <v>#REF!</v>
      </c>
      <c r="E13" s="51" t="e">
        <f>'AUGUST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1480</v>
      </c>
      <c r="B1" s="47"/>
      <c r="C1" s="47"/>
      <c r="D1" s="47"/>
      <c r="E1" s="47"/>
      <c r="F1" s="47"/>
    </row>
    <row r="2" ht="17.5" spans="1:6">
      <c r="A2" s="41" t="s">
        <v>1481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20368312</v>
      </c>
      <c r="E4" s="51">
        <f>'AUGUST 2025'!E114</f>
        <v>1697359.33333333</v>
      </c>
      <c r="F4" s="46"/>
    </row>
    <row r="5" ht="18" spans="1:6">
      <c r="A5" s="48" t="s">
        <v>1468</v>
      </c>
      <c r="B5" s="48"/>
      <c r="C5" s="48"/>
      <c r="D5" s="51" t="e">
        <f t="shared" ref="D5:D14" si="0">E5*12</f>
        <v>#REF!</v>
      </c>
      <c r="E5" s="51" t="e">
        <f>'AUGUST 2025'!#REF!</f>
        <v>#REF!</v>
      </c>
      <c r="F5" s="46"/>
    </row>
    <row r="6" ht="18" spans="1:6">
      <c r="A6" s="48" t="s">
        <v>1469</v>
      </c>
      <c r="B6" s="48"/>
      <c r="C6" s="48"/>
      <c r="D6" s="51" t="e">
        <f t="shared" si="0"/>
        <v>#REF!</v>
      </c>
      <c r="E6" s="51" t="e">
        <f>'AUGUST 2025'!#REF!</f>
        <v>#REF!</v>
      </c>
      <c r="F6" s="46"/>
    </row>
    <row r="7" ht="18" spans="1:6">
      <c r="A7" s="48" t="s">
        <v>1470</v>
      </c>
      <c r="B7" s="48"/>
      <c r="C7" s="48"/>
      <c r="D7" s="51" t="e">
        <f t="shared" si="0"/>
        <v>#REF!</v>
      </c>
      <c r="E7" s="51" t="e">
        <f>'AUGUST 2025'!#REF!</f>
        <v>#REF!</v>
      </c>
      <c r="F7" s="46"/>
    </row>
    <row r="8" ht="18" spans="1:6">
      <c r="A8" s="48" t="s">
        <v>1471</v>
      </c>
      <c r="B8" s="48"/>
      <c r="C8" s="48"/>
      <c r="D8" s="51" t="e">
        <f t="shared" si="0"/>
        <v>#REF!</v>
      </c>
      <c r="E8" s="51" t="e">
        <f>'AUGUST 2025'!#REF!</f>
        <v>#REF!</v>
      </c>
      <c r="F8" s="46"/>
    </row>
    <row r="9" ht="18" spans="1:6">
      <c r="A9" s="48" t="s">
        <v>1472</v>
      </c>
      <c r="B9" s="48"/>
      <c r="C9" s="48"/>
      <c r="D9" s="51" t="e">
        <f t="shared" si="0"/>
        <v>#REF!</v>
      </c>
      <c r="E9" s="51" t="e">
        <f>'AUGUST 2025'!#REF!</f>
        <v>#REF!</v>
      </c>
      <c r="F9" s="46"/>
    </row>
    <row r="10" ht="18" spans="1:6">
      <c r="A10" s="48" t="s">
        <v>1474</v>
      </c>
      <c r="B10" s="48"/>
      <c r="C10" s="48"/>
      <c r="D10" s="51" t="e">
        <f t="shared" si="0"/>
        <v>#REF!</v>
      </c>
      <c r="E10" s="51" t="e">
        <f>'AUGUST 2025'!#REF!</f>
        <v>#REF!</v>
      </c>
      <c r="F10" s="46"/>
    </row>
    <row r="11" ht="18" spans="1:6">
      <c r="A11" s="52" t="s">
        <v>1473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1475</v>
      </c>
      <c r="B12" s="48"/>
      <c r="C12" s="48"/>
      <c r="D12" s="51" t="e">
        <f t="shared" si="0"/>
        <v>#REF!</v>
      </c>
      <c r="E12" s="51" t="e">
        <f>'AUGUST 2025'!#REF!</f>
        <v>#REF!</v>
      </c>
      <c r="F12" s="46"/>
    </row>
    <row r="13" ht="18" spans="1:6">
      <c r="A13" s="48" t="s">
        <v>1476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1482</v>
      </c>
      <c r="B1" s="47"/>
      <c r="C1" s="47"/>
      <c r="D1" s="47"/>
      <c r="E1" s="47"/>
      <c r="F1" s="47"/>
    </row>
    <row r="2" ht="17.5" spans="1:6">
      <c r="A2" s="41" t="s">
        <v>1483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 t="e">
        <f>E4*12</f>
        <v>#REF!</v>
      </c>
      <c r="E4" s="51" t="e">
        <f>'AUGUST 2025'!#REF!</f>
        <v>#REF!</v>
      </c>
      <c r="F4" s="46"/>
    </row>
    <row r="5" ht="18" spans="1:6">
      <c r="A5" s="48" t="s">
        <v>1468</v>
      </c>
      <c r="B5" s="48"/>
      <c r="C5" s="48"/>
      <c r="D5" s="51" t="e">
        <f t="shared" ref="D5:D14" si="0">E5*12</f>
        <v>#REF!</v>
      </c>
      <c r="E5" s="51" t="e">
        <f>'AUGUST 2025'!#REF!</f>
        <v>#REF!</v>
      </c>
      <c r="F5" s="46"/>
    </row>
    <row r="6" ht="18" spans="1:6">
      <c r="A6" s="48" t="s">
        <v>1469</v>
      </c>
      <c r="B6" s="48"/>
      <c r="C6" s="48"/>
      <c r="D6" s="51" t="e">
        <f t="shared" si="0"/>
        <v>#REF!</v>
      </c>
      <c r="E6" s="51" t="e">
        <f>'AUGUST 2025'!#REF!</f>
        <v>#REF!</v>
      </c>
      <c r="F6" s="46"/>
    </row>
    <row r="7" ht="18" spans="1:6">
      <c r="A7" s="48" t="s">
        <v>1470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1471</v>
      </c>
      <c r="B8" s="48"/>
      <c r="C8" s="48"/>
      <c r="D8" s="51" t="e">
        <f t="shared" si="0"/>
        <v>#REF!</v>
      </c>
      <c r="E8" s="51" t="e">
        <f>'AUGUST 2025'!#REF!</f>
        <v>#REF!</v>
      </c>
      <c r="F8" s="46"/>
    </row>
    <row r="9" ht="18" spans="1:6">
      <c r="A9" s="48" t="s">
        <v>1472</v>
      </c>
      <c r="B9" s="48"/>
      <c r="C9" s="48"/>
      <c r="D9" s="51" t="e">
        <f t="shared" si="0"/>
        <v>#REF!</v>
      </c>
      <c r="E9" s="51" t="e">
        <f>'AUGUST 2025'!#REF!</f>
        <v>#REF!</v>
      </c>
      <c r="F9" s="46"/>
    </row>
    <row r="10" ht="18" spans="1:6">
      <c r="A10" s="48" t="s">
        <v>1474</v>
      </c>
      <c r="B10" s="48"/>
      <c r="C10" s="48"/>
      <c r="D10" s="51" t="e">
        <f t="shared" si="0"/>
        <v>#REF!</v>
      </c>
      <c r="E10" s="51" t="e">
        <f>'AUGUST 2025'!#REF!</f>
        <v>#REF!</v>
      </c>
      <c r="F10" s="46"/>
    </row>
    <row r="11" ht="18" spans="1:6">
      <c r="A11" s="52" t="s">
        <v>1473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1475</v>
      </c>
      <c r="B12" s="48"/>
      <c r="C12" s="48"/>
      <c r="D12" s="51" t="e">
        <f t="shared" si="0"/>
        <v>#REF!</v>
      </c>
      <c r="E12" s="51" t="e">
        <f>'AUGUST 2025'!#REF!</f>
        <v>#REF!</v>
      </c>
      <c r="F12" s="46"/>
    </row>
    <row r="13" ht="18" spans="1:6">
      <c r="A13" s="48" t="s">
        <v>1476</v>
      </c>
      <c r="B13" s="48"/>
      <c r="C13" s="48"/>
      <c r="D13" s="51" t="e">
        <f t="shared" si="0"/>
        <v>#REF!</v>
      </c>
      <c r="E13" s="51" t="e">
        <f>'AUGUST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1468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1469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1470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1471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1472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1474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1475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1476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1484</v>
      </c>
      <c r="B1" s="47"/>
      <c r="C1" s="47"/>
      <c r="D1" s="47"/>
      <c r="E1" s="47"/>
      <c r="F1" s="47"/>
    </row>
    <row r="2" ht="17.5" spans="1:6">
      <c r="A2" s="41" t="s">
        <v>1485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1468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1469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1470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1471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1472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1474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1473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1475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1476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1486</v>
      </c>
      <c r="B1" s="47"/>
      <c r="C1" s="47"/>
      <c r="D1" s="47"/>
      <c r="E1" s="47"/>
      <c r="F1" s="47"/>
    </row>
    <row r="2" ht="17.5" spans="1:6">
      <c r="A2" s="41" t="s">
        <v>1487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1468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1469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1470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1471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1472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1474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1488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1475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1476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1489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6886933.00000001</v>
      </c>
      <c r="E4" s="51">
        <f>'AUGUST 2025'!E91</f>
        <v>573911.083333334</v>
      </c>
      <c r="F4" s="46"/>
    </row>
    <row r="5" ht="18" spans="1:6">
      <c r="A5" s="48" t="s">
        <v>1468</v>
      </c>
      <c r="B5" s="48"/>
      <c r="C5" s="48"/>
      <c r="D5" s="51" t="e">
        <f t="shared" ref="D5:D12" si="0">E5*12</f>
        <v>#REF!</v>
      </c>
      <c r="E5" s="51" t="e">
        <f>'AUGUST 2025'!#REF!</f>
        <v>#REF!</v>
      </c>
      <c r="F5" s="46"/>
    </row>
    <row r="6" ht="18" spans="1:6">
      <c r="A6" s="48" t="s">
        <v>1469</v>
      </c>
      <c r="B6" s="48"/>
      <c r="C6" s="48"/>
      <c r="D6" s="51" t="e">
        <f t="shared" si="0"/>
        <v>#REF!</v>
      </c>
      <c r="E6" s="51" t="e">
        <f>'AUGUST 2025'!#REF!</f>
        <v>#REF!</v>
      </c>
      <c r="F6" s="46"/>
    </row>
    <row r="7" ht="18" spans="1:6">
      <c r="A7" s="48" t="s">
        <v>1471</v>
      </c>
      <c r="B7" s="48"/>
      <c r="C7" s="48"/>
      <c r="D7" s="51" t="e">
        <f t="shared" si="0"/>
        <v>#REF!</v>
      </c>
      <c r="E7" s="51" t="e">
        <f>'AUGUST 2025'!#REF!</f>
        <v>#REF!</v>
      </c>
      <c r="F7" s="46"/>
    </row>
    <row r="8" ht="18" spans="1:6">
      <c r="A8" s="48" t="s">
        <v>1472</v>
      </c>
      <c r="B8" s="48"/>
      <c r="C8" s="48"/>
      <c r="D8" s="51" t="e">
        <f t="shared" si="0"/>
        <v>#REF!</v>
      </c>
      <c r="E8" s="51" t="e">
        <f>'AUGUST 2025'!#REF!</f>
        <v>#REF!</v>
      </c>
      <c r="F8" s="46"/>
    </row>
    <row r="9" ht="18" spans="1:6">
      <c r="A9" s="48" t="s">
        <v>1474</v>
      </c>
      <c r="B9" s="48"/>
      <c r="C9" s="48"/>
      <c r="D9" s="51" t="e">
        <f t="shared" si="0"/>
        <v>#REF!</v>
      </c>
      <c r="E9" s="51" t="e">
        <f>'AUGUST 2025'!#REF!</f>
        <v>#REF!</v>
      </c>
      <c r="F9" s="46"/>
    </row>
    <row r="10" ht="18" spans="1:6">
      <c r="A10" s="48" t="s">
        <v>1475</v>
      </c>
      <c r="B10" s="48"/>
      <c r="C10" s="48"/>
      <c r="D10" s="51" t="e">
        <f t="shared" si="0"/>
        <v>#REF!</v>
      </c>
      <c r="E10" s="51" t="e">
        <f>'AUGUST 2025'!#REF!</f>
        <v>#REF!</v>
      </c>
      <c r="F10" s="46"/>
    </row>
    <row r="11" ht="18" spans="1:6">
      <c r="A11" s="48" t="s">
        <v>1476</v>
      </c>
      <c r="B11" s="48"/>
      <c r="C11" s="48"/>
      <c r="D11" s="51" t="e">
        <f t="shared" si="0"/>
        <v>#REF!</v>
      </c>
      <c r="E11" s="51" t="e">
        <f>'AUGUST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1434</v>
      </c>
      <c r="G1" s="57" t="s">
        <v>1490</v>
      </c>
      <c r="H1" s="57"/>
      <c r="I1" s="57"/>
      <c r="J1" s="57"/>
      <c r="K1" s="57"/>
      <c r="L1" s="57"/>
      <c r="M1" s="57" t="s">
        <v>1491</v>
      </c>
      <c r="N1" s="57" t="s">
        <v>1435</v>
      </c>
      <c r="O1" s="57" t="s">
        <v>1436</v>
      </c>
      <c r="P1" s="57" t="s">
        <v>1438</v>
      </c>
      <c r="Q1" s="57" t="s">
        <v>1439</v>
      </c>
      <c r="R1" s="57" t="s">
        <v>1440</v>
      </c>
      <c r="S1" s="57" t="s">
        <v>1492</v>
      </c>
      <c r="T1" s="68"/>
      <c r="U1" s="69" t="s">
        <v>1493</v>
      </c>
      <c r="V1" s="70" t="s">
        <v>1494</v>
      </c>
    </row>
    <row r="2" ht="17.5" spans="6:22">
      <c r="F2" s="57" t="s">
        <v>751</v>
      </c>
      <c r="G2" s="57" t="s">
        <v>1495</v>
      </c>
      <c r="H2" s="57" t="s">
        <v>828</v>
      </c>
      <c r="I2" s="57" t="s">
        <v>829</v>
      </c>
      <c r="J2" s="57" t="s">
        <v>830</v>
      </c>
      <c r="K2" s="57" t="s">
        <v>831</v>
      </c>
      <c r="L2" s="57" t="s">
        <v>832</v>
      </c>
      <c r="M2" s="57" t="s">
        <v>1496</v>
      </c>
      <c r="N2" s="57" t="s">
        <v>833</v>
      </c>
      <c r="O2" s="57" t="s">
        <v>7</v>
      </c>
      <c r="P2" s="57" t="s">
        <v>834</v>
      </c>
      <c r="Q2" s="57" t="s">
        <v>834</v>
      </c>
      <c r="R2" s="57" t="s">
        <v>8</v>
      </c>
      <c r="S2" s="57" t="s">
        <v>751</v>
      </c>
      <c r="T2" s="57" t="s">
        <v>15</v>
      </c>
      <c r="U2" s="69"/>
      <c r="V2" s="70"/>
    </row>
    <row r="3" ht="18" spans="1:21">
      <c r="A3" s="58" t="s">
        <v>1497</v>
      </c>
      <c r="B3" s="59"/>
      <c r="C3" s="60"/>
      <c r="D3" s="61"/>
      <c r="E3" s="61" t="s">
        <v>1498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1499</v>
      </c>
      <c r="B4" s="59"/>
      <c r="C4" s="60"/>
      <c r="D4" s="61"/>
      <c r="E4" s="61" t="s">
        <v>1500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45</v>
      </c>
      <c r="B5" s="64"/>
      <c r="C5" s="65"/>
      <c r="D5" s="66"/>
      <c r="E5" s="67" t="s">
        <v>230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556</v>
      </c>
      <c r="B6" s="59"/>
      <c r="C6" s="60"/>
      <c r="D6" s="61"/>
      <c r="E6" s="61" t="s">
        <v>691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1501</v>
      </c>
      <c r="B7" s="59"/>
      <c r="C7" s="60"/>
      <c r="D7" s="61"/>
      <c r="E7" s="61" t="s">
        <v>688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139</v>
      </c>
      <c r="B8" s="59"/>
      <c r="C8" s="60"/>
      <c r="D8" s="61"/>
      <c r="E8" s="61" t="s">
        <v>1502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1503</v>
      </c>
      <c r="B9" s="59"/>
      <c r="C9" s="60"/>
      <c r="D9" s="61"/>
      <c r="E9" s="61" t="s">
        <v>1504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1505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1506</v>
      </c>
      <c r="B1" s="47"/>
      <c r="C1" s="47"/>
      <c r="D1" s="47"/>
      <c r="E1" s="47"/>
      <c r="F1" s="47"/>
    </row>
    <row r="2" ht="17.5" spans="1:6">
      <c r="A2" s="41" t="s">
        <v>1507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1465</v>
      </c>
      <c r="E3" s="49" t="s">
        <v>1466</v>
      </c>
      <c r="F3" s="50"/>
    </row>
    <row r="4" ht="18" spans="1:6">
      <c r="A4" s="48" t="s">
        <v>1467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1468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1469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1470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1471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1472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1474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1473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1475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1476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1508</v>
      </c>
      <c r="B1" s="41"/>
      <c r="C1" s="41"/>
    </row>
    <row r="2" ht="17.5" spans="1:3">
      <c r="A2" s="41" t="s">
        <v>1481</v>
      </c>
      <c r="B2" s="41"/>
      <c r="C2" s="41"/>
    </row>
    <row r="3" ht="17.5" spans="1:3">
      <c r="A3" s="42"/>
      <c r="B3" s="42" t="s">
        <v>1465</v>
      </c>
      <c r="C3" s="42" t="s">
        <v>1466</v>
      </c>
    </row>
    <row r="4" ht="18" spans="1:3">
      <c r="A4" s="43" t="s">
        <v>1467</v>
      </c>
      <c r="B4" s="44">
        <f>C4*12</f>
        <v>475947</v>
      </c>
      <c r="C4" s="44">
        <v>39662.25</v>
      </c>
    </row>
    <row r="5" ht="18" spans="1:3">
      <c r="A5" s="43" t="s">
        <v>1468</v>
      </c>
      <c r="B5" s="44">
        <f t="shared" ref="B5:B13" si="0">C5*12</f>
        <v>1427841</v>
      </c>
      <c r="C5" s="44">
        <v>118986.75</v>
      </c>
    </row>
    <row r="6" ht="18" spans="1:3">
      <c r="A6" s="43" t="s">
        <v>1469</v>
      </c>
      <c r="B6" s="44">
        <f t="shared" si="0"/>
        <v>35696.04</v>
      </c>
      <c r="C6" s="44">
        <v>2974.67</v>
      </c>
    </row>
    <row r="7" ht="18" spans="1:3">
      <c r="A7" s="43" t="s">
        <v>1470</v>
      </c>
      <c r="B7" s="44" t="e">
        <f t="shared" si="0"/>
        <v>#REF!</v>
      </c>
      <c r="C7" s="44" t="e">
        <f>'AUGUST 2025'!#REF!</f>
        <v>#REF!</v>
      </c>
    </row>
    <row r="8" ht="18" spans="1:3">
      <c r="A8" s="43" t="s">
        <v>1471</v>
      </c>
      <c r="B8" s="44">
        <f t="shared" si="0"/>
        <v>237973.56</v>
      </c>
      <c r="C8" s="44">
        <v>19831.13</v>
      </c>
    </row>
    <row r="9" ht="18" spans="1:3">
      <c r="A9" s="43" t="s">
        <v>1472</v>
      </c>
      <c r="B9" s="44">
        <f t="shared" si="0"/>
        <v>1665814.56</v>
      </c>
      <c r="C9" s="44">
        <v>138817.88</v>
      </c>
    </row>
    <row r="10" ht="18" spans="1:3">
      <c r="A10" s="43" t="s">
        <v>1474</v>
      </c>
      <c r="B10" s="44">
        <f t="shared" si="0"/>
        <v>475947</v>
      </c>
      <c r="C10" s="44">
        <v>39662.25</v>
      </c>
    </row>
    <row r="11" ht="18" spans="1:3">
      <c r="A11" s="43" t="s">
        <v>1473</v>
      </c>
      <c r="B11" s="44">
        <f t="shared" si="0"/>
        <v>0</v>
      </c>
      <c r="C11" s="44">
        <v>0</v>
      </c>
    </row>
    <row r="12" ht="18" spans="1:3">
      <c r="A12" s="43" t="s">
        <v>1475</v>
      </c>
      <c r="B12" s="44">
        <f t="shared" si="0"/>
        <v>47594.76</v>
      </c>
      <c r="C12" s="44">
        <v>3966.23</v>
      </c>
    </row>
    <row r="13" ht="18" spans="1:3">
      <c r="A13" s="43" t="s">
        <v>1476</v>
      </c>
      <c r="B13" s="44" t="e">
        <f t="shared" si="0"/>
        <v>#REF!</v>
      </c>
      <c r="C13" s="44" t="e">
        <f>'AUGUST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21</v>
      </c>
      <c r="B3" s="36" t="s">
        <v>4</v>
      </c>
      <c r="C3" s="36" t="s">
        <v>1509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1510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21</v>
      </c>
      <c r="B6" s="8" t="s">
        <v>22</v>
      </c>
      <c r="C6" s="8"/>
      <c r="D6" s="8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13"/>
    </row>
    <row r="8" customHeight="1" spans="1:5">
      <c r="A8" s="10">
        <v>2</v>
      </c>
      <c r="B8" s="11" t="s">
        <v>1263</v>
      </c>
      <c r="C8" s="4" t="s">
        <v>1264</v>
      </c>
      <c r="D8" s="10" t="s">
        <v>154</v>
      </c>
      <c r="E8" s="13"/>
    </row>
    <row r="9" customHeight="1" spans="1:5">
      <c r="A9" s="10">
        <v>3</v>
      </c>
      <c r="B9" s="11" t="s">
        <v>26</v>
      </c>
      <c r="C9" s="12" t="s">
        <v>27</v>
      </c>
      <c r="D9" s="10" t="s">
        <v>28</v>
      </c>
      <c r="E9" s="13"/>
    </row>
    <row r="10" customHeight="1" spans="1:5">
      <c r="A10" s="10">
        <v>4</v>
      </c>
      <c r="B10" s="14" t="s">
        <v>29</v>
      </c>
      <c r="C10" s="4" t="s">
        <v>30</v>
      </c>
      <c r="D10" s="15" t="s">
        <v>35</v>
      </c>
      <c r="E10" s="13"/>
    </row>
    <row r="11" customHeight="1" spans="1:5">
      <c r="A11" s="10">
        <v>5</v>
      </c>
      <c r="B11" s="14" t="s">
        <v>210</v>
      </c>
      <c r="C11" s="4" t="s">
        <v>1265</v>
      </c>
      <c r="D11" s="16" t="s">
        <v>35</v>
      </c>
      <c r="E11" s="13"/>
    </row>
    <row r="12" customHeight="1" spans="1:5">
      <c r="A12" s="10">
        <v>6</v>
      </c>
      <c r="B12" s="11" t="s">
        <v>31</v>
      </c>
      <c r="C12" s="17" t="s">
        <v>32</v>
      </c>
      <c r="D12" s="16" t="s">
        <v>35</v>
      </c>
      <c r="E12" s="13"/>
    </row>
    <row r="13" customHeight="1" spans="1:5">
      <c r="A13" s="10">
        <v>7</v>
      </c>
      <c r="B13" s="14" t="s">
        <v>273</v>
      </c>
      <c r="C13" s="4" t="s">
        <v>535</v>
      </c>
      <c r="D13" s="16" t="s">
        <v>35</v>
      </c>
      <c r="E13" s="13"/>
    </row>
    <row r="14" customHeight="1" spans="1:5">
      <c r="A14" s="10">
        <v>8</v>
      </c>
      <c r="B14" s="11" t="s">
        <v>33</v>
      </c>
      <c r="C14" s="12" t="s">
        <v>538</v>
      </c>
      <c r="D14" s="15" t="s">
        <v>131</v>
      </c>
      <c r="E14" s="13"/>
    </row>
    <row r="15" customHeight="1" spans="1:5">
      <c r="A15" s="10">
        <v>9</v>
      </c>
      <c r="B15" s="18" t="s">
        <v>172</v>
      </c>
      <c r="C15" s="12" t="s">
        <v>555</v>
      </c>
      <c r="D15" s="10" t="s">
        <v>554</v>
      </c>
      <c r="E15" s="13"/>
    </row>
    <row r="16" customHeight="1" spans="1:5">
      <c r="A16" s="10">
        <v>10</v>
      </c>
      <c r="B16" s="19" t="s">
        <v>1355</v>
      </c>
      <c r="C16" s="4" t="s">
        <v>1356</v>
      </c>
      <c r="D16" s="16" t="s">
        <v>178</v>
      </c>
      <c r="E16" s="13"/>
    </row>
    <row r="17" ht="19.5" customHeight="1" spans="1:5">
      <c r="A17" s="10">
        <v>11</v>
      </c>
      <c r="B17" s="14" t="s">
        <v>1266</v>
      </c>
      <c r="C17" s="4" t="s">
        <v>40</v>
      </c>
      <c r="D17" s="10" t="s">
        <v>178</v>
      </c>
      <c r="E17" s="13"/>
    </row>
    <row r="18" ht="19.5" customHeight="1" spans="1:5">
      <c r="A18" s="10">
        <v>12</v>
      </c>
      <c r="B18" s="14" t="s">
        <v>1357</v>
      </c>
      <c r="C18" s="4" t="s">
        <v>1358</v>
      </c>
      <c r="D18" s="10" t="s">
        <v>178</v>
      </c>
      <c r="E18" s="13"/>
    </row>
    <row r="19" customHeight="1" spans="1:5">
      <c r="A19" s="10">
        <v>13</v>
      </c>
      <c r="B19" s="11" t="s">
        <v>39</v>
      </c>
      <c r="C19" s="4" t="s">
        <v>40</v>
      </c>
      <c r="D19" s="15" t="s">
        <v>178</v>
      </c>
      <c r="E19" s="13"/>
    </row>
    <row r="20" customHeight="1" spans="1:5">
      <c r="A20" s="10">
        <v>14</v>
      </c>
      <c r="B20" s="11" t="s">
        <v>50</v>
      </c>
      <c r="C20" s="12" t="s">
        <v>51</v>
      </c>
      <c r="D20" s="15" t="s">
        <v>1201</v>
      </c>
      <c r="E20" s="13"/>
    </row>
    <row r="21" customHeight="1" spans="1:5">
      <c r="A21" s="10">
        <v>15</v>
      </c>
      <c r="B21" s="18" t="s">
        <v>53</v>
      </c>
      <c r="C21" s="4" t="s">
        <v>54</v>
      </c>
      <c r="D21" s="15" t="s">
        <v>58</v>
      </c>
      <c r="E21" s="13"/>
    </row>
    <row r="22" customHeight="1" spans="1:5">
      <c r="A22" s="10">
        <v>16</v>
      </c>
      <c r="B22" s="11" t="s">
        <v>179</v>
      </c>
      <c r="C22" s="12" t="s">
        <v>559</v>
      </c>
      <c r="D22" s="15" t="s">
        <v>162</v>
      </c>
      <c r="E22" s="13"/>
    </row>
    <row r="23" ht="18.75" customHeight="1" spans="1:5">
      <c r="A23" s="10">
        <v>17</v>
      </c>
      <c r="B23" s="11" t="s">
        <v>63</v>
      </c>
      <c r="C23" s="12" t="s">
        <v>64</v>
      </c>
      <c r="D23" s="15" t="s">
        <v>68</v>
      </c>
      <c r="E23" s="13"/>
    </row>
    <row r="24" ht="18.75" customHeight="1" spans="1:5">
      <c r="A24" s="10">
        <v>18</v>
      </c>
      <c r="B24" s="18" t="s">
        <v>1359</v>
      </c>
      <c r="C24" s="12" t="s">
        <v>101</v>
      </c>
      <c r="D24" s="15" t="s">
        <v>119</v>
      </c>
      <c r="E24" s="13"/>
    </row>
    <row r="25" ht="18.75" customHeight="1" spans="1:5">
      <c r="A25" s="10">
        <v>19</v>
      </c>
      <c r="B25" s="4" t="s">
        <v>77</v>
      </c>
      <c r="C25" s="4" t="s">
        <v>78</v>
      </c>
      <c r="D25" s="10" t="s">
        <v>87</v>
      </c>
      <c r="E25" s="13"/>
    </row>
    <row r="26" ht="18.75" customHeight="1" spans="1:5">
      <c r="A26" s="10">
        <v>20</v>
      </c>
      <c r="B26" s="18" t="s">
        <v>80</v>
      </c>
      <c r="C26" s="12" t="s">
        <v>78</v>
      </c>
      <c r="D26" s="15" t="s">
        <v>87</v>
      </c>
      <c r="E26" s="13"/>
    </row>
    <row r="27" ht="18.75" customHeight="1" spans="1:5">
      <c r="A27" s="10">
        <v>21</v>
      </c>
      <c r="B27" s="11" t="s">
        <v>1267</v>
      </c>
      <c r="C27" s="12" t="s">
        <v>1268</v>
      </c>
      <c r="D27" s="15" t="s">
        <v>87</v>
      </c>
      <c r="E27" s="13"/>
    </row>
    <row r="28" ht="18.75" customHeight="1" spans="1:5">
      <c r="A28" s="10">
        <v>22</v>
      </c>
      <c r="B28" s="18" t="s">
        <v>82</v>
      </c>
      <c r="C28" s="12" t="s">
        <v>1215</v>
      </c>
      <c r="D28" s="15" t="s">
        <v>208</v>
      </c>
      <c r="E28" s="13"/>
    </row>
    <row r="29" ht="18.75" customHeight="1" spans="1:5">
      <c r="A29" s="10">
        <v>23</v>
      </c>
      <c r="B29" s="18" t="s">
        <v>85</v>
      </c>
      <c r="C29" s="4" t="s">
        <v>1269</v>
      </c>
      <c r="D29" s="10" t="s">
        <v>208</v>
      </c>
      <c r="E29" s="13"/>
    </row>
    <row r="30" ht="18.75" customHeight="1" spans="1:5">
      <c r="A30" s="10">
        <v>24</v>
      </c>
      <c r="B30" s="18" t="s">
        <v>89</v>
      </c>
      <c r="C30" s="17" t="s">
        <v>90</v>
      </c>
      <c r="D30" s="15" t="s">
        <v>87</v>
      </c>
      <c r="E30" s="13"/>
    </row>
    <row r="31" ht="18.75" customHeight="1" spans="1:5">
      <c r="A31" s="10">
        <v>25</v>
      </c>
      <c r="B31" s="18" t="s">
        <v>92</v>
      </c>
      <c r="C31" s="4" t="s">
        <v>93</v>
      </c>
      <c r="D31" s="10" t="s">
        <v>105</v>
      </c>
      <c r="E31" s="13"/>
    </row>
    <row r="32" ht="18.75" customHeight="1" spans="1:5">
      <c r="A32" s="10">
        <v>26</v>
      </c>
      <c r="B32" s="18" t="s">
        <v>1193</v>
      </c>
      <c r="C32" s="12" t="s">
        <v>101</v>
      </c>
      <c r="D32" s="15" t="s">
        <v>105</v>
      </c>
      <c r="E32" s="13"/>
    </row>
    <row r="33" ht="18.75" customHeight="1" spans="1:5">
      <c r="A33" s="10">
        <v>27</v>
      </c>
      <c r="B33" s="18" t="s">
        <v>1360</v>
      </c>
      <c r="C33" s="12" t="s">
        <v>101</v>
      </c>
      <c r="D33" s="15" t="s">
        <v>105</v>
      </c>
      <c r="E33" s="13"/>
    </row>
    <row r="34" ht="18.75" customHeight="1" spans="1:5">
      <c r="A34" s="10">
        <v>28</v>
      </c>
      <c r="B34" s="18" t="s">
        <v>269</v>
      </c>
      <c r="C34" s="12" t="s">
        <v>264</v>
      </c>
      <c r="D34" s="15" t="s">
        <v>108</v>
      </c>
      <c r="E34" s="13"/>
    </row>
    <row r="35" ht="20.25" customHeight="1" spans="1:5">
      <c r="A35" s="10"/>
      <c r="B35" s="20" t="s">
        <v>111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112</v>
      </c>
      <c r="C37" s="4"/>
      <c r="D37" s="15"/>
      <c r="E37" s="13"/>
    </row>
    <row r="38" ht="18.75" customHeight="1" spans="1:5">
      <c r="A38" s="10">
        <v>1</v>
      </c>
      <c r="B38" s="18" t="s">
        <v>113</v>
      </c>
      <c r="C38" s="4" t="s">
        <v>114</v>
      </c>
      <c r="D38" s="10" t="s">
        <v>115</v>
      </c>
      <c r="E38" s="13"/>
    </row>
    <row r="39" ht="18.75" customHeight="1" spans="1:5">
      <c r="A39" s="10">
        <v>2</v>
      </c>
      <c r="B39" s="18" t="s">
        <v>116</v>
      </c>
      <c r="C39" s="4" t="s">
        <v>802</v>
      </c>
      <c r="D39" s="10" t="s">
        <v>108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125</v>
      </c>
      <c r="C42" s="5"/>
      <c r="D42" s="24"/>
      <c r="E42" s="13"/>
    </row>
    <row r="43" customHeight="1" spans="1:5">
      <c r="A43" s="10">
        <v>1</v>
      </c>
      <c r="B43" s="11" t="s">
        <v>541</v>
      </c>
      <c r="C43" s="4" t="s">
        <v>542</v>
      </c>
      <c r="D43" s="10" t="s">
        <v>115</v>
      </c>
      <c r="E43" s="13"/>
    </row>
    <row r="44" customHeight="1" spans="1:5">
      <c r="A44" s="10">
        <v>2</v>
      </c>
      <c r="B44" s="11" t="s">
        <v>543</v>
      </c>
      <c r="C44" s="4" t="s">
        <v>43</v>
      </c>
      <c r="D44" s="10" t="s">
        <v>131</v>
      </c>
      <c r="E44" s="13"/>
    </row>
    <row r="45" customHeight="1" spans="1:5">
      <c r="A45" s="10">
        <v>3</v>
      </c>
      <c r="B45" s="11" t="s">
        <v>126</v>
      </c>
      <c r="C45" s="4" t="s">
        <v>130</v>
      </c>
      <c r="D45" s="10" t="s">
        <v>131</v>
      </c>
      <c r="E45" s="13"/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13"/>
    </row>
    <row r="47" customHeight="1" spans="1:5">
      <c r="A47" s="10">
        <v>5</v>
      </c>
      <c r="B47" s="11" t="s">
        <v>132</v>
      </c>
      <c r="C47" s="4" t="s">
        <v>130</v>
      </c>
      <c r="D47" s="10" t="s">
        <v>38</v>
      </c>
      <c r="E47" s="13"/>
    </row>
    <row r="48" customHeight="1" spans="1:5">
      <c r="A48" s="10">
        <v>6</v>
      </c>
      <c r="B48" s="11" t="s">
        <v>133</v>
      </c>
      <c r="C48" s="4" t="s">
        <v>45</v>
      </c>
      <c r="D48" s="10" t="s">
        <v>178</v>
      </c>
      <c r="E48" s="13"/>
    </row>
    <row r="49" customHeight="1" spans="1:5">
      <c r="A49" s="10">
        <v>7</v>
      </c>
      <c r="B49" s="14" t="s">
        <v>134</v>
      </c>
      <c r="C49" s="4" t="s">
        <v>156</v>
      </c>
      <c r="D49" s="16" t="s">
        <v>178</v>
      </c>
      <c r="E49" s="13"/>
    </row>
    <row r="50" customHeight="1" spans="1:5">
      <c r="A50" s="10">
        <v>8</v>
      </c>
      <c r="B50" s="11" t="s">
        <v>1272</v>
      </c>
      <c r="C50" s="4" t="s">
        <v>156</v>
      </c>
      <c r="D50" s="10" t="s">
        <v>46</v>
      </c>
      <c r="E50" s="13"/>
    </row>
    <row r="51" customHeight="1" spans="1:5">
      <c r="A51" s="10">
        <v>9</v>
      </c>
      <c r="B51" s="11" t="s">
        <v>44</v>
      </c>
      <c r="C51" s="4" t="s">
        <v>556</v>
      </c>
      <c r="D51" s="10" t="s">
        <v>460</v>
      </c>
      <c r="E51" s="13"/>
    </row>
    <row r="52" customHeight="1" spans="1:5">
      <c r="A52" s="10">
        <v>10</v>
      </c>
      <c r="B52" s="11" t="s">
        <v>142</v>
      </c>
      <c r="C52" s="4" t="s">
        <v>139</v>
      </c>
      <c r="D52" s="10" t="s">
        <v>96</v>
      </c>
      <c r="E52" s="13"/>
    </row>
    <row r="53" customHeight="1" spans="1:5">
      <c r="A53" s="10">
        <v>11</v>
      </c>
      <c r="B53" s="11" t="s">
        <v>544</v>
      </c>
      <c r="C53" s="4" t="s">
        <v>139</v>
      </c>
      <c r="D53" s="10" t="s">
        <v>96</v>
      </c>
      <c r="E53" s="13"/>
    </row>
    <row r="54" customHeight="1" spans="1:5">
      <c r="A54" s="10">
        <v>12</v>
      </c>
      <c r="B54" s="11" t="s">
        <v>143</v>
      </c>
      <c r="C54" s="4" t="s">
        <v>139</v>
      </c>
      <c r="D54" s="10" t="s">
        <v>96</v>
      </c>
      <c r="E54" s="13"/>
    </row>
    <row r="55" ht="25.5" customHeight="1" spans="1:5">
      <c r="A55" s="10"/>
      <c r="B55" s="20" t="s">
        <v>111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145</v>
      </c>
      <c r="C57" s="21"/>
      <c r="D57" s="21"/>
      <c r="E57" s="13"/>
    </row>
    <row r="58" customHeight="1" spans="1:5">
      <c r="A58" s="10">
        <v>1</v>
      </c>
      <c r="B58" s="11" t="s">
        <v>545</v>
      </c>
      <c r="C58" s="12" t="s">
        <v>147</v>
      </c>
      <c r="D58" s="15" t="s">
        <v>115</v>
      </c>
      <c r="E58" s="13"/>
    </row>
    <row r="59" customHeight="1" spans="1:5">
      <c r="A59" s="10">
        <v>2</v>
      </c>
      <c r="B59" s="11" t="s">
        <v>148</v>
      </c>
      <c r="C59" s="12" t="s">
        <v>149</v>
      </c>
      <c r="D59" s="15" t="s">
        <v>554</v>
      </c>
      <c r="E59" s="13"/>
    </row>
    <row r="60" customHeight="1" spans="1:5">
      <c r="A60" s="10"/>
      <c r="B60" s="20" t="s">
        <v>111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151</v>
      </c>
      <c r="C62" s="21"/>
      <c r="D62" s="21"/>
      <c r="E62" s="13"/>
    </row>
    <row r="63" customHeight="1" spans="1:5">
      <c r="A63" s="10">
        <v>1</v>
      </c>
      <c r="B63" s="11" t="s">
        <v>546</v>
      </c>
      <c r="C63" s="17" t="s">
        <v>547</v>
      </c>
      <c r="D63" s="10" t="s">
        <v>115</v>
      </c>
      <c r="E63" s="13"/>
    </row>
    <row r="64" customHeight="1" spans="1:5">
      <c r="A64" s="10">
        <v>2</v>
      </c>
      <c r="B64" s="18" t="s">
        <v>548</v>
      </c>
      <c r="C64" s="17" t="s">
        <v>549</v>
      </c>
      <c r="D64" s="15" t="s">
        <v>1202</v>
      </c>
      <c r="E64" s="13"/>
    </row>
    <row r="65" customHeight="1" spans="1:5">
      <c r="A65" s="10">
        <v>3</v>
      </c>
      <c r="B65" s="11" t="s">
        <v>155</v>
      </c>
      <c r="C65" s="4" t="s">
        <v>158</v>
      </c>
      <c r="D65" s="10" t="s">
        <v>460</v>
      </c>
      <c r="E65" s="13"/>
    </row>
    <row r="66" customHeight="1" spans="1:5">
      <c r="A66" s="10">
        <v>4</v>
      </c>
      <c r="B66" s="18" t="s">
        <v>550</v>
      </c>
      <c r="C66" s="17" t="s">
        <v>158</v>
      </c>
      <c r="D66" s="15" t="s">
        <v>1201</v>
      </c>
      <c r="E66" s="13"/>
    </row>
    <row r="67" customHeight="1" spans="1:5">
      <c r="A67" s="10">
        <v>5</v>
      </c>
      <c r="B67" s="14" t="s">
        <v>551</v>
      </c>
      <c r="C67" s="17" t="s">
        <v>156</v>
      </c>
      <c r="D67" s="15" t="s">
        <v>178</v>
      </c>
      <c r="E67" s="13"/>
    </row>
    <row r="68" customHeight="1" spans="1:5">
      <c r="A68" s="10">
        <v>6</v>
      </c>
      <c r="B68" s="14" t="s">
        <v>42</v>
      </c>
      <c r="C68" s="17" t="s">
        <v>156</v>
      </c>
      <c r="D68" s="15" t="s">
        <v>46</v>
      </c>
      <c r="E68" s="13"/>
    </row>
    <row r="69" customHeight="1" spans="1:5">
      <c r="A69" s="10">
        <v>7</v>
      </c>
      <c r="B69" s="11" t="s">
        <v>161</v>
      </c>
      <c r="C69" s="4" t="s">
        <v>139</v>
      </c>
      <c r="D69" s="10" t="s">
        <v>137</v>
      </c>
      <c r="E69" s="13"/>
    </row>
    <row r="70" customHeight="1" spans="1:5">
      <c r="A70" s="10">
        <v>8</v>
      </c>
      <c r="B70" s="11" t="s">
        <v>163</v>
      </c>
      <c r="C70" s="17" t="s">
        <v>70</v>
      </c>
      <c r="D70" s="15" t="s">
        <v>137</v>
      </c>
      <c r="E70" s="13"/>
    </row>
    <row r="71" customHeight="1" spans="1:5">
      <c r="A71" s="10">
        <v>9</v>
      </c>
      <c r="B71" s="11" t="s">
        <v>164</v>
      </c>
      <c r="C71" s="17" t="s">
        <v>70</v>
      </c>
      <c r="D71" s="15" t="s">
        <v>137</v>
      </c>
      <c r="E71" s="13"/>
    </row>
    <row r="72" customHeight="1" spans="1:5">
      <c r="A72" s="10">
        <v>10</v>
      </c>
      <c r="B72" s="11" t="s">
        <v>165</v>
      </c>
      <c r="C72" s="4" t="s">
        <v>166</v>
      </c>
      <c r="D72" s="10" t="s">
        <v>68</v>
      </c>
      <c r="E72" s="13"/>
    </row>
    <row r="73" customHeight="1" spans="1:5">
      <c r="A73" s="10">
        <v>11</v>
      </c>
      <c r="B73" s="11" t="s">
        <v>1361</v>
      </c>
      <c r="C73" s="17" t="s">
        <v>139</v>
      </c>
      <c r="D73" s="10" t="s">
        <v>76</v>
      </c>
      <c r="E73" s="13"/>
    </row>
    <row r="74" customHeight="1" spans="1:5">
      <c r="A74" s="10">
        <v>12</v>
      </c>
      <c r="B74" s="11" t="s">
        <v>81</v>
      </c>
      <c r="C74" s="17" t="s">
        <v>67</v>
      </c>
      <c r="D74" s="10" t="s">
        <v>87</v>
      </c>
      <c r="E74" s="13"/>
    </row>
    <row r="75" customHeight="1" spans="1:5">
      <c r="A75" s="10">
        <v>13</v>
      </c>
      <c r="B75" s="14" t="s">
        <v>66</v>
      </c>
      <c r="C75" s="17" t="s">
        <v>67</v>
      </c>
      <c r="D75" s="10" t="s">
        <v>105</v>
      </c>
      <c r="E75" s="13"/>
    </row>
    <row r="76" customHeight="1" spans="1:5">
      <c r="A76" s="10"/>
      <c r="B76" s="20" t="s">
        <v>111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169</v>
      </c>
      <c r="C78" s="21"/>
      <c r="D78" s="21"/>
      <c r="E78" s="13"/>
    </row>
    <row r="79" customHeight="1" spans="1:5">
      <c r="A79" s="10">
        <v>1</v>
      </c>
      <c r="B79" s="11" t="s">
        <v>170</v>
      </c>
      <c r="C79" s="4" t="s">
        <v>171</v>
      </c>
      <c r="D79" s="10" t="s">
        <v>115</v>
      </c>
      <c r="E79" s="13"/>
    </row>
    <row r="80" customHeight="1" spans="1:5">
      <c r="A80" s="10">
        <v>2</v>
      </c>
      <c r="B80" s="14" t="s">
        <v>552</v>
      </c>
      <c r="C80" s="4" t="s">
        <v>553</v>
      </c>
      <c r="D80" s="15" t="s">
        <v>1202</v>
      </c>
      <c r="E80" s="13"/>
    </row>
    <row r="81" customHeight="1" spans="1:5">
      <c r="A81" s="10">
        <v>3</v>
      </c>
      <c r="B81" s="14" t="s">
        <v>1362</v>
      </c>
      <c r="C81" s="4" t="s">
        <v>1363</v>
      </c>
      <c r="D81" s="15" t="s">
        <v>1202</v>
      </c>
      <c r="E81" s="13"/>
    </row>
    <row r="82" customHeight="1" spans="1:5">
      <c r="A82" s="10">
        <v>4</v>
      </c>
      <c r="B82" s="11" t="s">
        <v>176</v>
      </c>
      <c r="C82" s="4" t="s">
        <v>1216</v>
      </c>
      <c r="D82" s="15" t="s">
        <v>460</v>
      </c>
      <c r="E82" s="13"/>
    </row>
    <row r="83" customHeight="1" spans="1:5">
      <c r="A83" s="10">
        <v>5</v>
      </c>
      <c r="B83" s="11" t="s">
        <v>183</v>
      </c>
      <c r="C83" s="4" t="s">
        <v>186</v>
      </c>
      <c r="D83" s="10" t="s">
        <v>76</v>
      </c>
      <c r="E83" s="13"/>
    </row>
    <row r="84" customHeight="1" spans="1:5">
      <c r="A84" s="10"/>
      <c r="B84" s="20" t="s">
        <v>111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189</v>
      </c>
      <c r="C86" s="25"/>
      <c r="D86" s="21"/>
      <c r="E86" s="13"/>
    </row>
    <row r="87" customHeight="1" spans="1:5">
      <c r="A87" s="10">
        <v>1</v>
      </c>
      <c r="B87" s="11" t="s">
        <v>192</v>
      </c>
      <c r="C87" s="4" t="s">
        <v>130</v>
      </c>
      <c r="D87" s="10" t="s">
        <v>131</v>
      </c>
      <c r="E87" s="13"/>
    </row>
    <row r="88" customHeight="1" spans="1:5">
      <c r="A88" s="10">
        <v>2</v>
      </c>
      <c r="B88" s="11" t="s">
        <v>190</v>
      </c>
      <c r="C88" s="4" t="s">
        <v>130</v>
      </c>
      <c r="D88" s="10" t="s">
        <v>131</v>
      </c>
      <c r="E88" s="13"/>
    </row>
    <row r="89" customHeight="1" spans="1:5">
      <c r="A89" s="10">
        <v>3</v>
      </c>
      <c r="B89" s="14" t="s">
        <v>152</v>
      </c>
      <c r="C89" s="4" t="s">
        <v>156</v>
      </c>
      <c r="D89" s="10" t="s">
        <v>41</v>
      </c>
      <c r="E89" s="13"/>
    </row>
    <row r="90" customHeight="1" spans="1:5">
      <c r="A90" s="10">
        <v>4</v>
      </c>
      <c r="B90" s="11" t="s">
        <v>195</v>
      </c>
      <c r="C90" s="4" t="s">
        <v>45</v>
      </c>
      <c r="D90" s="10" t="s">
        <v>178</v>
      </c>
      <c r="E90" s="13"/>
    </row>
    <row r="91" ht="21.6" customHeight="1" spans="1:5">
      <c r="A91" s="10">
        <v>5</v>
      </c>
      <c r="B91" s="11" t="s">
        <v>196</v>
      </c>
      <c r="C91" s="4" t="s">
        <v>556</v>
      </c>
      <c r="D91" s="15" t="s">
        <v>460</v>
      </c>
      <c r="E91" s="13"/>
    </row>
    <row r="92" ht="21.6" customHeight="1" spans="1:5">
      <c r="A92" s="10">
        <v>6</v>
      </c>
      <c r="B92" s="11" t="s">
        <v>197</v>
      </c>
      <c r="C92" s="12" t="s">
        <v>158</v>
      </c>
      <c r="D92" s="15" t="s">
        <v>1201</v>
      </c>
      <c r="E92" s="13"/>
    </row>
    <row r="93" ht="21.6" customHeight="1" spans="1:5">
      <c r="A93" s="10">
        <v>7</v>
      </c>
      <c r="B93" s="11" t="s">
        <v>198</v>
      </c>
      <c r="C93" s="12" t="s">
        <v>158</v>
      </c>
      <c r="D93" s="15" t="s">
        <v>1201</v>
      </c>
      <c r="E93" s="13"/>
    </row>
    <row r="94" ht="21.6" customHeight="1" spans="1:5">
      <c r="A94" s="10">
        <v>8</v>
      </c>
      <c r="B94" s="11" t="s">
        <v>200</v>
      </c>
      <c r="C94" s="17" t="s">
        <v>70</v>
      </c>
      <c r="D94" s="15" t="s">
        <v>137</v>
      </c>
      <c r="E94" s="13"/>
    </row>
    <row r="95" ht="21.6" customHeight="1" spans="1:5">
      <c r="A95" s="10">
        <v>9</v>
      </c>
      <c r="B95" s="11" t="s">
        <v>204</v>
      </c>
      <c r="C95" s="4" t="s">
        <v>205</v>
      </c>
      <c r="D95" s="10" t="s">
        <v>73</v>
      </c>
      <c r="E95" s="13"/>
    </row>
    <row r="96" ht="21.6" customHeight="1" spans="1:5">
      <c r="A96" s="10">
        <v>10</v>
      </c>
      <c r="B96" s="11" t="s">
        <v>206</v>
      </c>
      <c r="C96" s="17" t="s">
        <v>207</v>
      </c>
      <c r="D96" s="15" t="s">
        <v>105</v>
      </c>
      <c r="E96" s="13"/>
    </row>
    <row r="97" customHeight="1" spans="1:5">
      <c r="A97" s="10"/>
      <c r="B97" s="20" t="s">
        <v>111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209</v>
      </c>
      <c r="C99" s="21"/>
      <c r="D99" s="21"/>
      <c r="E99" s="13"/>
    </row>
    <row r="100" customHeight="1" spans="1:5">
      <c r="A100" s="10">
        <v>1</v>
      </c>
      <c r="B100" s="18" t="s">
        <v>536</v>
      </c>
      <c r="C100" s="10" t="s">
        <v>537</v>
      </c>
      <c r="D100" s="15" t="s">
        <v>35</v>
      </c>
      <c r="E100" s="13"/>
    </row>
    <row r="101" customHeight="1" spans="1:5">
      <c r="A101" s="10">
        <v>2</v>
      </c>
      <c r="B101" s="11" t="s">
        <v>36</v>
      </c>
      <c r="C101" s="4" t="s">
        <v>214</v>
      </c>
      <c r="D101" s="10" t="s">
        <v>178</v>
      </c>
      <c r="E101" s="13"/>
    </row>
    <row r="102" customHeight="1" spans="1:5">
      <c r="A102" s="10">
        <v>3</v>
      </c>
      <c r="B102" s="11" t="s">
        <v>219</v>
      </c>
      <c r="C102" s="4" t="s">
        <v>220</v>
      </c>
      <c r="D102" s="15" t="s">
        <v>68</v>
      </c>
      <c r="E102" s="13"/>
    </row>
    <row r="103" customHeight="1" spans="1:5">
      <c r="A103" s="10">
        <v>4</v>
      </c>
      <c r="B103" s="11" t="s">
        <v>221</v>
      </c>
      <c r="C103" s="4" t="s">
        <v>1217</v>
      </c>
      <c r="D103" s="15" t="s">
        <v>208</v>
      </c>
      <c r="E103" s="13"/>
    </row>
    <row r="104" customHeight="1" spans="1:5">
      <c r="A104" s="4"/>
      <c r="B104" s="20" t="s">
        <v>111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223</v>
      </c>
      <c r="C106" s="4"/>
      <c r="D106" s="4"/>
      <c r="E106" s="13"/>
    </row>
    <row r="107" customHeight="1" spans="1:5">
      <c r="A107" s="4">
        <v>1</v>
      </c>
      <c r="B107" s="11" t="s">
        <v>224</v>
      </c>
      <c r="C107" s="12" t="s">
        <v>225</v>
      </c>
      <c r="D107" s="15" t="s">
        <v>115</v>
      </c>
      <c r="E107" s="13"/>
    </row>
    <row r="108" customHeight="1" spans="1:5">
      <c r="A108" s="4">
        <v>2</v>
      </c>
      <c r="B108" s="11" t="s">
        <v>226</v>
      </c>
      <c r="C108" s="4" t="s">
        <v>227</v>
      </c>
      <c r="D108" s="16" t="s">
        <v>35</v>
      </c>
      <c r="E108" s="13"/>
    </row>
    <row r="109" customHeight="1" spans="1:5">
      <c r="A109" s="4">
        <v>3</v>
      </c>
      <c r="B109" s="11" t="s">
        <v>228</v>
      </c>
      <c r="C109" s="4" t="s">
        <v>442</v>
      </c>
      <c r="D109" s="10" t="s">
        <v>52</v>
      </c>
      <c r="E109" s="13"/>
    </row>
    <row r="110" customHeight="1" spans="1:5">
      <c r="A110" s="4">
        <v>4</v>
      </c>
      <c r="B110" s="11" t="s">
        <v>231</v>
      </c>
      <c r="C110" s="4" t="s">
        <v>442</v>
      </c>
      <c r="D110" s="10" t="s">
        <v>52</v>
      </c>
      <c r="E110" s="13"/>
    </row>
    <row r="111" customHeight="1" spans="1:5">
      <c r="A111" s="4">
        <v>5</v>
      </c>
      <c r="B111" s="11" t="s">
        <v>232</v>
      </c>
      <c r="C111" s="4" t="s">
        <v>233</v>
      </c>
      <c r="D111" s="15" t="s">
        <v>558</v>
      </c>
      <c r="E111" s="13"/>
    </row>
    <row r="112" customHeight="1" spans="1:5">
      <c r="A112" s="4">
        <v>6</v>
      </c>
      <c r="B112" s="18" t="s">
        <v>235</v>
      </c>
      <c r="C112" s="4" t="s">
        <v>233</v>
      </c>
      <c r="D112" s="10" t="s">
        <v>208</v>
      </c>
      <c r="E112" s="13"/>
    </row>
    <row r="113" customHeight="1" spans="1:5">
      <c r="A113" s="4">
        <v>7</v>
      </c>
      <c r="B113" s="18" t="s">
        <v>236</v>
      </c>
      <c r="C113" s="4" t="s">
        <v>233</v>
      </c>
      <c r="D113" s="15" t="s">
        <v>105</v>
      </c>
      <c r="E113" s="13"/>
    </row>
    <row r="114" ht="25.5" customHeight="1" spans="1:5">
      <c r="A114" s="4"/>
      <c r="B114" s="20" t="s">
        <v>111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237</v>
      </c>
      <c r="C116" s="21"/>
      <c r="D116" s="21"/>
      <c r="E116" s="13"/>
    </row>
    <row r="117" customHeight="1" spans="1:5">
      <c r="A117" s="10">
        <v>1</v>
      </c>
      <c r="B117" s="11" t="s">
        <v>1280</v>
      </c>
      <c r="C117" s="17" t="s">
        <v>70</v>
      </c>
      <c r="D117" s="15" t="s">
        <v>162</v>
      </c>
      <c r="E117" s="13"/>
    </row>
    <row r="118" ht="18.75" customHeight="1" spans="1:5">
      <c r="A118" s="10">
        <v>2</v>
      </c>
      <c r="B118" s="11" t="s">
        <v>238</v>
      </c>
      <c r="C118" s="4" t="s">
        <v>239</v>
      </c>
      <c r="D118" s="15" t="s">
        <v>68</v>
      </c>
      <c r="E118" s="13"/>
    </row>
    <row r="119" ht="24.75" customHeight="1" spans="1:5">
      <c r="A119" s="4"/>
      <c r="B119" s="20" t="s">
        <v>111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252</v>
      </c>
      <c r="C121" s="21"/>
      <c r="D121" s="21"/>
      <c r="E121" s="13"/>
    </row>
    <row r="122" customHeight="1" spans="1:5">
      <c r="A122" s="4">
        <v>1</v>
      </c>
      <c r="B122" s="11" t="s">
        <v>253</v>
      </c>
      <c r="C122" s="12" t="s">
        <v>254</v>
      </c>
      <c r="D122" s="15" t="s">
        <v>115</v>
      </c>
      <c r="E122" s="13"/>
    </row>
    <row r="123" customHeight="1" spans="1:5">
      <c r="A123" s="4">
        <v>2</v>
      </c>
      <c r="B123" s="11" t="s">
        <v>1384</v>
      </c>
      <c r="C123" s="12" t="s">
        <v>1385</v>
      </c>
      <c r="D123" s="15" t="s">
        <v>154</v>
      </c>
      <c r="E123" s="13"/>
    </row>
    <row r="124" customHeight="1" spans="1:5">
      <c r="A124" s="4">
        <v>3</v>
      </c>
      <c r="B124" s="11" t="s">
        <v>255</v>
      </c>
      <c r="C124" s="12" t="s">
        <v>258</v>
      </c>
      <c r="D124" s="15" t="s">
        <v>131</v>
      </c>
      <c r="E124" s="13"/>
    </row>
    <row r="125" customHeight="1" spans="1:5">
      <c r="A125" s="4">
        <v>4</v>
      </c>
      <c r="B125" s="14" t="s">
        <v>257</v>
      </c>
      <c r="C125" s="12" t="s">
        <v>258</v>
      </c>
      <c r="D125" s="15" t="s">
        <v>131</v>
      </c>
      <c r="E125" s="13"/>
    </row>
    <row r="126" customHeight="1" spans="1:5">
      <c r="A126" s="4">
        <v>5</v>
      </c>
      <c r="B126" s="14" t="s">
        <v>560</v>
      </c>
      <c r="C126" s="12" t="s">
        <v>258</v>
      </c>
      <c r="D126" s="15" t="s">
        <v>49</v>
      </c>
      <c r="E126" s="13"/>
    </row>
    <row r="127" customHeight="1" spans="1:5">
      <c r="A127" s="4">
        <v>6</v>
      </c>
      <c r="B127" s="11" t="s">
        <v>259</v>
      </c>
      <c r="C127" s="12" t="s">
        <v>260</v>
      </c>
      <c r="D127" s="15" t="s">
        <v>46</v>
      </c>
      <c r="E127" s="13"/>
    </row>
    <row r="128" customHeight="1" spans="1:5">
      <c r="A128" s="4">
        <v>7</v>
      </c>
      <c r="B128" s="11" t="s">
        <v>261</v>
      </c>
      <c r="C128" s="12" t="s">
        <v>495</v>
      </c>
      <c r="D128" s="15" t="s">
        <v>460</v>
      </c>
      <c r="E128" s="13"/>
    </row>
    <row r="129" customHeight="1" spans="1:5">
      <c r="A129" s="4">
        <v>8</v>
      </c>
      <c r="B129" s="11" t="s">
        <v>262</v>
      </c>
      <c r="C129" s="12" t="s">
        <v>1218</v>
      </c>
      <c r="D129" s="15" t="s">
        <v>460</v>
      </c>
      <c r="E129" s="13"/>
    </row>
    <row r="130" customHeight="1" spans="1:5">
      <c r="A130" s="4">
        <v>9</v>
      </c>
      <c r="B130" s="11" t="s">
        <v>265</v>
      </c>
      <c r="C130" s="12" t="s">
        <v>266</v>
      </c>
      <c r="D130" s="10" t="s">
        <v>87</v>
      </c>
      <c r="E130" s="13"/>
    </row>
    <row r="131" customHeight="1" spans="1:5">
      <c r="A131" s="4">
        <v>10</v>
      </c>
      <c r="B131" s="18" t="s">
        <v>267</v>
      </c>
      <c r="C131" s="12" t="s">
        <v>268</v>
      </c>
      <c r="D131" s="15" t="s">
        <v>108</v>
      </c>
      <c r="E131" s="13"/>
    </row>
    <row r="132" customHeight="1" spans="1:5">
      <c r="A132" s="4"/>
      <c r="B132" s="20" t="s">
        <v>111</v>
      </c>
      <c r="C132" s="26" t="s">
        <v>496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272</v>
      </c>
      <c r="C134" s="12"/>
      <c r="D134" s="15"/>
      <c r="E134" s="13"/>
    </row>
    <row r="135" customHeight="1" spans="1:5">
      <c r="A135" s="27">
        <v>1</v>
      </c>
      <c r="B135" s="11" t="s">
        <v>561</v>
      </c>
      <c r="C135" s="12" t="s">
        <v>562</v>
      </c>
      <c r="D135" s="15" t="s">
        <v>115</v>
      </c>
      <c r="E135" s="13"/>
    </row>
    <row r="136" customHeight="1" spans="1:5">
      <c r="A136" s="27">
        <v>2</v>
      </c>
      <c r="B136" s="11" t="s">
        <v>563</v>
      </c>
      <c r="C136" s="12" t="s">
        <v>564</v>
      </c>
      <c r="D136" s="15" t="s">
        <v>154</v>
      </c>
      <c r="E136" s="13"/>
    </row>
    <row r="137" customHeight="1" spans="1:5">
      <c r="A137" s="27">
        <v>3</v>
      </c>
      <c r="B137" s="14" t="s">
        <v>276</v>
      </c>
      <c r="C137" s="4" t="s">
        <v>277</v>
      </c>
      <c r="D137" s="16" t="s">
        <v>35</v>
      </c>
      <c r="E137" s="13"/>
    </row>
    <row r="138" customHeight="1" spans="1:5">
      <c r="A138" s="27">
        <v>4</v>
      </c>
      <c r="B138" s="11" t="s">
        <v>278</v>
      </c>
      <c r="C138" s="12" t="s">
        <v>565</v>
      </c>
      <c r="D138" s="15" t="s">
        <v>178</v>
      </c>
      <c r="E138" s="13"/>
    </row>
    <row r="139" customHeight="1" spans="1:5">
      <c r="A139" s="27">
        <v>5</v>
      </c>
      <c r="B139" s="11" t="s">
        <v>280</v>
      </c>
      <c r="C139" s="4" t="s">
        <v>566</v>
      </c>
      <c r="D139" s="15" t="s">
        <v>178</v>
      </c>
      <c r="E139" s="13"/>
    </row>
    <row r="140" customHeight="1" spans="1:5">
      <c r="A140" s="27">
        <v>6</v>
      </c>
      <c r="B140" s="11" t="s">
        <v>213</v>
      </c>
      <c r="C140" s="4" t="s">
        <v>568</v>
      </c>
      <c r="D140" s="15" t="s">
        <v>460</v>
      </c>
      <c r="E140" s="13"/>
    </row>
    <row r="141" customHeight="1" spans="1:5">
      <c r="A141" s="27">
        <v>7</v>
      </c>
      <c r="B141" s="11" t="s">
        <v>215</v>
      </c>
      <c r="C141" s="12" t="s">
        <v>567</v>
      </c>
      <c r="D141" s="15" t="s">
        <v>162</v>
      </c>
      <c r="E141" s="13"/>
    </row>
    <row r="142" customHeight="1" spans="1:5">
      <c r="A142" s="27">
        <v>8</v>
      </c>
      <c r="B142" s="11" t="s">
        <v>283</v>
      </c>
      <c r="C142" s="12" t="s">
        <v>567</v>
      </c>
      <c r="D142" s="15" t="s">
        <v>162</v>
      </c>
      <c r="E142" s="13"/>
    </row>
    <row r="143" customHeight="1" spans="1:5">
      <c r="A143" s="27">
        <v>9</v>
      </c>
      <c r="B143" s="11" t="s">
        <v>284</v>
      </c>
      <c r="C143" s="4" t="s">
        <v>568</v>
      </c>
      <c r="D143" s="15" t="s">
        <v>162</v>
      </c>
      <c r="E143" s="13"/>
    </row>
    <row r="144" customHeight="1" spans="1:5">
      <c r="A144" s="27">
        <v>10</v>
      </c>
      <c r="B144" s="11" t="s">
        <v>286</v>
      </c>
      <c r="C144" s="12" t="s">
        <v>287</v>
      </c>
      <c r="D144" s="15" t="s">
        <v>68</v>
      </c>
      <c r="E144" s="13"/>
    </row>
    <row r="145" customHeight="1" spans="1:5">
      <c r="A145" s="27">
        <v>11</v>
      </c>
      <c r="B145" s="11" t="s">
        <v>288</v>
      </c>
      <c r="C145" s="12" t="s">
        <v>1220</v>
      </c>
      <c r="D145" s="15" t="s">
        <v>302</v>
      </c>
      <c r="E145" s="13"/>
    </row>
    <row r="146" customHeight="1" spans="1:5">
      <c r="A146" s="27">
        <v>12</v>
      </c>
      <c r="B146" s="11" t="s">
        <v>60</v>
      </c>
      <c r="C146" s="12" t="s">
        <v>569</v>
      </c>
      <c r="D146" s="15" t="s">
        <v>162</v>
      </c>
      <c r="E146" s="13"/>
    </row>
    <row r="147" customHeight="1" spans="1:5">
      <c r="A147" s="27">
        <v>13</v>
      </c>
      <c r="B147" s="18" t="s">
        <v>290</v>
      </c>
      <c r="C147" s="4" t="s">
        <v>299</v>
      </c>
      <c r="D147" s="15" t="s">
        <v>302</v>
      </c>
      <c r="E147" s="13"/>
    </row>
    <row r="148" customHeight="1" spans="1:5">
      <c r="A148" s="27">
        <v>14</v>
      </c>
      <c r="B148" s="11" t="s">
        <v>292</v>
      </c>
      <c r="C148" s="4" t="s">
        <v>570</v>
      </c>
      <c r="D148" s="15" t="s">
        <v>76</v>
      </c>
      <c r="E148" s="13"/>
    </row>
    <row r="149" customHeight="1" spans="1:5">
      <c r="A149" s="27">
        <v>15</v>
      </c>
      <c r="B149" s="11" t="s">
        <v>293</v>
      </c>
      <c r="C149" s="4" t="s">
        <v>570</v>
      </c>
      <c r="D149" s="15" t="s">
        <v>119</v>
      </c>
      <c r="E149" s="13"/>
    </row>
    <row r="150" customHeight="1" spans="1:5">
      <c r="A150" s="27">
        <v>16</v>
      </c>
      <c r="B150" s="11" t="s">
        <v>295</v>
      </c>
      <c r="C150" s="4" t="s">
        <v>570</v>
      </c>
      <c r="D150" s="15" t="s">
        <v>119</v>
      </c>
      <c r="E150" s="13"/>
    </row>
    <row r="151" customHeight="1" spans="1:5">
      <c r="A151" s="27">
        <v>17</v>
      </c>
      <c r="B151" s="11" t="s">
        <v>296</v>
      </c>
      <c r="C151" s="12" t="s">
        <v>297</v>
      </c>
      <c r="D151" s="15" t="s">
        <v>73</v>
      </c>
      <c r="E151" s="13"/>
    </row>
    <row r="152" customHeight="1" spans="1:5">
      <c r="A152" s="27">
        <v>18</v>
      </c>
      <c r="B152" s="11" t="s">
        <v>1203</v>
      </c>
      <c r="C152" s="12" t="s">
        <v>299</v>
      </c>
      <c r="D152" s="10" t="s">
        <v>96</v>
      </c>
      <c r="E152" s="13"/>
    </row>
    <row r="153" customHeight="1" spans="1:5">
      <c r="A153" s="27">
        <v>19</v>
      </c>
      <c r="B153" s="11" t="s">
        <v>300</v>
      </c>
      <c r="C153" s="12" t="s">
        <v>301</v>
      </c>
      <c r="D153" s="15" t="s">
        <v>76</v>
      </c>
      <c r="E153" s="13"/>
    </row>
    <row r="154" customHeight="1" spans="1:5">
      <c r="A154" s="27">
        <v>20</v>
      </c>
      <c r="B154" s="11" t="s">
        <v>303</v>
      </c>
      <c r="C154" s="12" t="s">
        <v>304</v>
      </c>
      <c r="D154" s="15" t="s">
        <v>87</v>
      </c>
      <c r="E154" s="13"/>
    </row>
    <row r="155" customHeight="1" spans="1:5">
      <c r="A155" s="27">
        <v>21</v>
      </c>
      <c r="B155" s="11" t="s">
        <v>305</v>
      </c>
      <c r="C155" s="12" t="s">
        <v>306</v>
      </c>
      <c r="D155" s="15" t="s">
        <v>76</v>
      </c>
      <c r="E155" s="13"/>
    </row>
    <row r="156" customHeight="1" spans="1:5">
      <c r="A156" s="27">
        <v>22</v>
      </c>
      <c r="B156" s="11" t="s">
        <v>307</v>
      </c>
      <c r="C156" s="12" t="s">
        <v>308</v>
      </c>
      <c r="D156" s="15" t="s">
        <v>87</v>
      </c>
      <c r="E156" s="13"/>
    </row>
    <row r="157" customHeight="1" spans="1:5">
      <c r="A157" s="27">
        <v>23</v>
      </c>
      <c r="B157" s="18" t="s">
        <v>309</v>
      </c>
      <c r="C157" s="12" t="s">
        <v>317</v>
      </c>
      <c r="D157" s="15" t="s">
        <v>208</v>
      </c>
      <c r="E157" s="13"/>
    </row>
    <row r="158" customHeight="1" spans="1:5">
      <c r="A158" s="27">
        <v>24</v>
      </c>
      <c r="B158" s="18" t="s">
        <v>314</v>
      </c>
      <c r="C158" s="12" t="s">
        <v>315</v>
      </c>
      <c r="D158" s="15" t="s">
        <v>108</v>
      </c>
      <c r="E158" s="13"/>
    </row>
    <row r="159" customHeight="1" spans="1:5">
      <c r="A159" s="27">
        <v>25</v>
      </c>
      <c r="B159" s="18" t="s">
        <v>316</v>
      </c>
      <c r="C159" s="12" t="s">
        <v>317</v>
      </c>
      <c r="D159" s="15" t="s">
        <v>108</v>
      </c>
      <c r="E159" s="13"/>
    </row>
    <row r="160" customHeight="1" spans="1:5">
      <c r="A160" s="27">
        <v>26</v>
      </c>
      <c r="B160" s="18" t="s">
        <v>318</v>
      </c>
      <c r="C160" s="12" t="s">
        <v>319</v>
      </c>
      <c r="D160" s="15" t="s">
        <v>105</v>
      </c>
      <c r="E160" s="13"/>
    </row>
    <row r="161" customHeight="1" spans="1:5">
      <c r="A161" s="27">
        <v>27</v>
      </c>
      <c r="B161" s="18" t="s">
        <v>320</v>
      </c>
      <c r="C161" s="12" t="s">
        <v>321</v>
      </c>
      <c r="D161" s="15" t="s">
        <v>105</v>
      </c>
      <c r="E161" s="13"/>
    </row>
    <row r="162" customHeight="1" spans="1:5">
      <c r="A162" s="27">
        <v>28</v>
      </c>
      <c r="B162" s="11" t="s">
        <v>331</v>
      </c>
      <c r="C162" s="12" t="s">
        <v>332</v>
      </c>
      <c r="D162" s="15" t="s">
        <v>350</v>
      </c>
      <c r="E162" s="13"/>
    </row>
    <row r="163" customHeight="1" spans="1:5">
      <c r="A163" s="27">
        <v>29</v>
      </c>
      <c r="B163" s="11" t="s">
        <v>334</v>
      </c>
      <c r="C163" s="12" t="s">
        <v>332</v>
      </c>
      <c r="D163" s="15" t="s">
        <v>350</v>
      </c>
      <c r="E163" s="13"/>
    </row>
    <row r="164" customHeight="1" spans="1:5">
      <c r="A164" s="27">
        <v>30</v>
      </c>
      <c r="B164" s="11" t="s">
        <v>335</v>
      </c>
      <c r="C164" s="12" t="s">
        <v>332</v>
      </c>
      <c r="D164" s="15" t="s">
        <v>350</v>
      </c>
      <c r="E164" s="13"/>
    </row>
    <row r="165" customHeight="1" spans="1:5">
      <c r="A165" s="27">
        <v>31</v>
      </c>
      <c r="B165" s="11" t="s">
        <v>336</v>
      </c>
      <c r="C165" s="12" t="s">
        <v>332</v>
      </c>
      <c r="D165" s="15" t="s">
        <v>350</v>
      </c>
      <c r="E165" s="13"/>
    </row>
    <row r="166" customHeight="1" spans="1:5">
      <c r="A166" s="27">
        <v>32</v>
      </c>
      <c r="B166" s="11" t="s">
        <v>337</v>
      </c>
      <c r="C166" s="12" t="s">
        <v>332</v>
      </c>
      <c r="D166" s="15" t="s">
        <v>350</v>
      </c>
      <c r="E166" s="13"/>
    </row>
    <row r="167" customHeight="1" spans="1:5">
      <c r="A167" s="27">
        <v>33</v>
      </c>
      <c r="B167" s="11" t="s">
        <v>338</v>
      </c>
      <c r="C167" s="12" t="s">
        <v>332</v>
      </c>
      <c r="D167" s="15" t="s">
        <v>347</v>
      </c>
      <c r="E167" s="13"/>
    </row>
    <row r="168" customHeight="1" spans="1:5">
      <c r="A168" s="27">
        <v>34</v>
      </c>
      <c r="B168" s="11" t="s">
        <v>340</v>
      </c>
      <c r="C168" s="12" t="s">
        <v>332</v>
      </c>
      <c r="D168" s="15" t="s">
        <v>347</v>
      </c>
      <c r="E168" s="13"/>
    </row>
    <row r="169" customHeight="1" spans="1:5">
      <c r="A169" s="27">
        <v>35</v>
      </c>
      <c r="B169" s="11" t="s">
        <v>1367</v>
      </c>
      <c r="C169" s="12" t="s">
        <v>332</v>
      </c>
      <c r="D169" s="15" t="s">
        <v>347</v>
      </c>
      <c r="E169" s="13"/>
    </row>
    <row r="170" customHeight="1" spans="1:5">
      <c r="A170" s="27">
        <v>36</v>
      </c>
      <c r="B170" s="14" t="s">
        <v>341</v>
      </c>
      <c r="C170" s="12" t="s">
        <v>332</v>
      </c>
      <c r="D170" s="15" t="s">
        <v>347</v>
      </c>
      <c r="E170" s="13"/>
    </row>
    <row r="171" customHeight="1" spans="1:5">
      <c r="A171" s="27">
        <v>37</v>
      </c>
      <c r="B171" s="11" t="s">
        <v>342</v>
      </c>
      <c r="C171" s="12" t="s">
        <v>332</v>
      </c>
      <c r="D171" s="15" t="s">
        <v>347</v>
      </c>
      <c r="E171" s="13"/>
    </row>
    <row r="172" customHeight="1" spans="1:5">
      <c r="A172" s="27">
        <v>38</v>
      </c>
      <c r="B172" s="18" t="s">
        <v>343</v>
      </c>
      <c r="C172" s="12" t="s">
        <v>332</v>
      </c>
      <c r="D172" s="15" t="s">
        <v>347</v>
      </c>
      <c r="E172" s="13"/>
    </row>
    <row r="173" customHeight="1" spans="1:5">
      <c r="A173" s="27">
        <v>39</v>
      </c>
      <c r="B173" s="18" t="s">
        <v>344</v>
      </c>
      <c r="C173" s="12" t="s">
        <v>332</v>
      </c>
      <c r="D173" s="15" t="s">
        <v>347</v>
      </c>
      <c r="E173" s="13"/>
    </row>
    <row r="174" customHeight="1" spans="1:5">
      <c r="A174" s="27">
        <v>40</v>
      </c>
      <c r="B174" s="11" t="s">
        <v>345</v>
      </c>
      <c r="C174" s="12" t="s">
        <v>352</v>
      </c>
      <c r="D174" s="15" t="s">
        <v>356</v>
      </c>
      <c r="E174" s="13"/>
    </row>
    <row r="175" customHeight="1" spans="1:5">
      <c r="A175" s="27">
        <v>41</v>
      </c>
      <c r="B175" s="11" t="s">
        <v>348</v>
      </c>
      <c r="C175" s="12" t="s">
        <v>352</v>
      </c>
      <c r="D175" s="15" t="s">
        <v>356</v>
      </c>
      <c r="E175" s="13"/>
    </row>
    <row r="176" customHeight="1" spans="1:5">
      <c r="A176" s="27">
        <v>42</v>
      </c>
      <c r="B176" s="18" t="s">
        <v>349</v>
      </c>
      <c r="C176" s="12" t="s">
        <v>352</v>
      </c>
      <c r="D176" s="15" t="s">
        <v>1199</v>
      </c>
      <c r="E176" s="13"/>
    </row>
    <row r="177" customHeight="1" spans="1:5">
      <c r="A177" s="27">
        <v>43</v>
      </c>
      <c r="B177" s="11" t="s">
        <v>351</v>
      </c>
      <c r="C177" s="12" t="s">
        <v>352</v>
      </c>
      <c r="D177" s="15" t="s">
        <v>1204</v>
      </c>
      <c r="E177" s="13"/>
    </row>
    <row r="178" customHeight="1" spans="1:5">
      <c r="A178" s="27">
        <v>44</v>
      </c>
      <c r="B178" s="11" t="s">
        <v>354</v>
      </c>
      <c r="C178" s="12" t="s">
        <v>355</v>
      </c>
      <c r="D178" s="15" t="s">
        <v>1205</v>
      </c>
      <c r="E178" s="13"/>
    </row>
    <row r="179" customHeight="1" spans="1:5">
      <c r="A179" s="27">
        <v>45</v>
      </c>
      <c r="B179" s="11" t="s">
        <v>357</v>
      </c>
      <c r="C179" s="12" t="s">
        <v>355</v>
      </c>
      <c r="D179" s="15" t="s">
        <v>1205</v>
      </c>
      <c r="E179" s="13"/>
    </row>
    <row r="180" customHeight="1" spans="1:5">
      <c r="A180" s="27">
        <v>46</v>
      </c>
      <c r="B180" s="11" t="s">
        <v>358</v>
      </c>
      <c r="C180" s="12" t="s">
        <v>355</v>
      </c>
      <c r="D180" s="15" t="s">
        <v>1205</v>
      </c>
      <c r="E180" s="13"/>
    </row>
    <row r="181" customHeight="1" spans="1:5">
      <c r="A181" s="27">
        <v>47</v>
      </c>
      <c r="B181" s="11" t="s">
        <v>359</v>
      </c>
      <c r="C181" s="12" t="s">
        <v>355</v>
      </c>
      <c r="D181" s="15" t="s">
        <v>1205</v>
      </c>
      <c r="E181" s="13"/>
    </row>
    <row r="182" customHeight="1" spans="1:5">
      <c r="A182" s="27">
        <v>48</v>
      </c>
      <c r="B182" s="11" t="s">
        <v>360</v>
      </c>
      <c r="C182" s="12" t="s">
        <v>355</v>
      </c>
      <c r="D182" s="15" t="s">
        <v>1205</v>
      </c>
      <c r="E182" s="13"/>
    </row>
    <row r="183" customHeight="1" spans="1:5">
      <c r="A183" s="27">
        <v>49</v>
      </c>
      <c r="B183" s="18" t="s">
        <v>361</v>
      </c>
      <c r="C183" s="12" t="s">
        <v>355</v>
      </c>
      <c r="D183" s="15" t="s">
        <v>1205</v>
      </c>
      <c r="E183" s="13"/>
    </row>
    <row r="184" customHeight="1" spans="1:5">
      <c r="A184" s="27">
        <v>50</v>
      </c>
      <c r="B184" s="18" t="s">
        <v>362</v>
      </c>
      <c r="C184" s="12" t="s">
        <v>355</v>
      </c>
      <c r="D184" s="15" t="s">
        <v>1205</v>
      </c>
      <c r="E184" s="13"/>
    </row>
    <row r="185" customHeight="1" spans="1:5">
      <c r="A185" s="27">
        <v>51</v>
      </c>
      <c r="B185" s="11" t="s">
        <v>499</v>
      </c>
      <c r="C185" s="12" t="s">
        <v>352</v>
      </c>
      <c r="D185" s="15" t="s">
        <v>1205</v>
      </c>
      <c r="E185" s="13"/>
    </row>
    <row r="186" customHeight="1" spans="1:5">
      <c r="A186" s="27">
        <v>52</v>
      </c>
      <c r="B186" s="11" t="s">
        <v>363</v>
      </c>
      <c r="C186" s="12" t="s">
        <v>352</v>
      </c>
      <c r="D186" s="15" t="s">
        <v>1205</v>
      </c>
      <c r="E186" s="13"/>
    </row>
    <row r="187" customHeight="1" spans="1:5">
      <c r="A187" s="27">
        <v>53</v>
      </c>
      <c r="B187" s="18" t="s">
        <v>364</v>
      </c>
      <c r="C187" s="12" t="s">
        <v>355</v>
      </c>
      <c r="D187" s="15" t="s">
        <v>1221</v>
      </c>
      <c r="E187" s="13"/>
    </row>
    <row r="188" customHeight="1" spans="1:5">
      <c r="A188" s="27">
        <v>54</v>
      </c>
      <c r="B188" s="18" t="s">
        <v>369</v>
      </c>
      <c r="C188" s="12" t="s">
        <v>355</v>
      </c>
      <c r="D188" s="15" t="s">
        <v>373</v>
      </c>
      <c r="E188" s="13"/>
    </row>
    <row r="189" customHeight="1" spans="1:5">
      <c r="A189" s="27"/>
      <c r="B189" s="8" t="s">
        <v>111</v>
      </c>
      <c r="C189" s="28" t="s">
        <v>1370</v>
      </c>
      <c r="D189" s="29"/>
      <c r="E189" s="13"/>
    </row>
    <row r="190" ht="32.25" customHeight="1" spans="1:5">
      <c r="A190" s="4"/>
      <c r="B190" s="30" t="s">
        <v>381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105</vt:i4>
      </vt:variant>
    </vt:vector>
  </HeadingPairs>
  <TitlesOfParts>
    <vt:vector size="105" baseType="lpstr">
      <vt:lpstr>AUGUST 2025</vt:lpstr>
      <vt:lpstr>MEMO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2024-11-05T10:10:00Z</cp:lastPrinted>
  <dcterms:modified xsi:type="dcterms:W3CDTF">2025-08-26T08:33:22Z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1033-12.2.0.21931</vt:lpwstr>
  </property>
</Properties>
</file>