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xr:revisionPtr revIDLastSave="0" documentId="13_ncr:1000001_{663CB183-7F6D-244C-9F49-A3DB935AFEDA}" xr6:coauthVersionLast="47" xr6:coauthVersionMax="47" xr10:uidLastSave="{00000000-0000-0000-0000-000000000000}"/>
  <bookViews>
    <workbookView xWindow="0" yWindow="0" windowWidth="19200" windowHeight="6800" tabRatio="597" activeTab="1" xr2:uid="{00000000-000D-0000-FFFF-FFFF00000000}"/>
  </bookViews>
  <sheets>
    <sheet name="JULY 2025" sheetId="1" r:id="rId1"/>
    <sheet name="MEMO" sheetId="68" r:id="rId2"/>
    <sheet name="Shift duty" sheetId="214" r:id="rId3"/>
    <sheet name="Changes in July" sheetId="215" r:id="rId4"/>
    <sheet name="Basic &amp; Pensions" sheetId="207" r:id="rId5"/>
    <sheet name="Changes in PAYE" sheetId="209" r:id="rId6"/>
    <sheet name="New NHF Enrolment" sheetId="211" r:id="rId7"/>
    <sheet name="PAYE of NHF Enrol" sheetId="212" r:id="rId8"/>
    <sheet name="Arrears Jan-May" sheetId="213" r:id="rId9"/>
    <sheet name="Sheet12" sheetId="210" r:id="rId10"/>
    <sheet name="Wage Award" sheetId="206" r:id="rId11"/>
    <sheet name="N0 on GL" sheetId="203" r:id="rId12"/>
    <sheet name="Total" sheetId="205" r:id="rId13"/>
    <sheet name="2025 GL STEPS" sheetId="195" r:id="rId14"/>
    <sheet name="Welfare June 25" sheetId="200" r:id="rId15"/>
    <sheet name="Sum of Welfare (2)" sheetId="201" r:id="rId16"/>
    <sheet name="Sheet11" sheetId="199" r:id="rId17"/>
    <sheet name="PAYE" sheetId="196" r:id="rId18"/>
    <sheet name="MAY New PAYE  (3)" sheetId="198" r:id="rId19"/>
    <sheet name="Sheet7" sheetId="194" r:id="rId20"/>
    <sheet name="Changes" sheetId="192" r:id="rId21"/>
    <sheet name="2024 Promotion Arrears" sheetId="176" r:id="rId22"/>
    <sheet name="APRIL New PAYE  (2)" sheetId="193" r:id="rId23"/>
    <sheet name="Sheet6" sheetId="191" r:id="rId24"/>
    <sheet name=" PAYE regul" sheetId="182" r:id="rId25"/>
    <sheet name="Promotion in Sept" sheetId="172" r:id="rId26"/>
    <sheet name="Tax on Arrears" sheetId="183" r:id="rId27"/>
    <sheet name="Stoppage of Salary" sheetId="184" r:id="rId28"/>
    <sheet name="New PAYE" sheetId="180" r:id="rId29"/>
    <sheet name="New Pensions Promotion" sheetId="181" r:id="rId30"/>
    <sheet name="Conversion in Nov" sheetId="179" r:id="rId31"/>
    <sheet name="Christmas Welfare 2024" sheetId="186" r:id="rId32"/>
    <sheet name="Sum of Welfare" sheetId="185" r:id="rId33"/>
    <sheet name="Staff Bonus" sheetId="188" r:id="rId34"/>
    <sheet name="Sum of Bonus" sheetId="187" r:id="rId35"/>
    <sheet name="Bonus PAYE" sheetId="190" r:id="rId36"/>
    <sheet name="Sheet5" sheetId="189" r:id="rId37"/>
    <sheet name="New Enrolmt" sheetId="170" r:id="rId38"/>
    <sheet name="1ST 28 DAYS" sheetId="163" r:id="rId39"/>
    <sheet name="Conversion in Sept" sheetId="174" r:id="rId40"/>
    <sheet name="Conversion &amp; Enrol Effect" sheetId="164" r:id="rId41"/>
    <sheet name="Converted Staff PAYE" sheetId="169" r:id="rId42"/>
    <sheet name="Movt to Contract" sheetId="167" r:id="rId43"/>
    <sheet name="Sheet10" sheetId="168" r:id="rId44"/>
    <sheet name="Sheet8" sheetId="166" r:id="rId45"/>
    <sheet name="Welfare June" sheetId="161" r:id="rId46"/>
    <sheet name="Welfare Summary" sheetId="162" r:id="rId47"/>
    <sheet name="Arrears of Res. Allow" sheetId="159" r:id="rId48"/>
    <sheet name="Additional Leg Duty Allowance" sheetId="153" r:id="rId49"/>
    <sheet name="March New PAYE " sheetId="154" r:id="rId50"/>
    <sheet name="Upgrade in March" sheetId="155" r:id="rId51"/>
    <sheet name="New NHF Deduction" sheetId="156" r:id="rId52"/>
    <sheet name="Regularisation" sheetId="152" r:id="rId53"/>
    <sheet name="Sallah Welfare, April 2024" sheetId="158" r:id="rId54"/>
    <sheet name="Sheet4" sheetId="157" r:id="rId55"/>
    <sheet name="January Arrears" sheetId="149" r:id="rId56"/>
    <sheet name="Tax Reg Sch. " sheetId="146" r:id="rId57"/>
    <sheet name=" Excess Ded Paid" sheetId="142" r:id="rId58"/>
    <sheet name="Changes in Gross &amp; PAYE " sheetId="143" r:id="rId59"/>
    <sheet name="May New PAYE " sheetId="147" r:id="rId60"/>
    <sheet name="Employee Pensions" sheetId="144" r:id="rId61"/>
    <sheet name="Upgrade in Feb." sheetId="150" r:id="rId62"/>
    <sheet name="Coop. Ded for Feb." sheetId="151" r:id="rId63"/>
    <sheet name="ENHANCED WELFARE 2024" sheetId="140" r:id="rId64"/>
    <sheet name="PROMOTIONS " sheetId="131" r:id="rId65"/>
    <sheet name="CHRISTMAS WELFARE" sheetId="135" r:id="rId66"/>
    <sheet name="CHRISTMAS WELFARE 1" sheetId="134" r:id="rId67"/>
    <sheet name="HALF 2023 (2)" sheetId="137" r:id="rId68"/>
    <sheet name="Sheet3" sheetId="136" r:id="rId69"/>
    <sheet name="NEW ENROLMENT IN NOVEMBER (2)" sheetId="132" r:id="rId70"/>
    <sheet name="Regularisation IN NOVEMBER (3)" sheetId="133" r:id="rId71"/>
    <sheet name="Sheet2" sheetId="130" r:id="rId72"/>
    <sheet name="PROMOTIONS" sheetId="129" r:id="rId73"/>
    <sheet name="SALARY STRUCTURE" sheetId="128" r:id="rId74"/>
    <sheet name="Wage Grant" sheetId="124" r:id="rId75"/>
    <sheet name="Wage Grant (2)" sheetId="126" r:id="rId76"/>
    <sheet name="1st 28 days in Nov" sheetId="123" r:id="rId77"/>
    <sheet name="Sallah Welfare April 2023" sheetId="119" r:id="rId78"/>
    <sheet name="Sallah Welfare June 2023" sheetId="120" r:id="rId79"/>
    <sheet name="Sallah Welfare June 2023 Latest" sheetId="121" r:id="rId80"/>
    <sheet name="Sheet1" sheetId="117" r:id="rId81"/>
    <sheet name="January 2023 PAYE" sheetId="115" r:id="rId82"/>
    <sheet name="January 2023 NHF)" sheetId="116" r:id="rId83"/>
    <sheet name="PAYE Computation" sheetId="114" r:id="rId84"/>
    <sheet name="Tax adj August, 2022" sheetId="87" r:id="rId85"/>
    <sheet name="Annual Increement" sheetId="78" r:id="rId86"/>
    <sheet name="Enhanced Welfare 2023 (2)" sheetId="110" r:id="rId87"/>
    <sheet name="Enhanced Welfare 2023 (3)" sheetId="113" r:id="rId88"/>
    <sheet name="17.9" sheetId="4" r:id="rId89"/>
    <sheet name="16.7" sheetId="5" r:id="rId90"/>
    <sheet name="15.7.1" sheetId="6" r:id="rId91"/>
    <sheet name="13.7" sheetId="7" r:id="rId92"/>
    <sheet name="12.7" sheetId="8" r:id="rId93"/>
    <sheet name="10.7" sheetId="9" r:id="rId94"/>
    <sheet name="9.7" sheetId="10" r:id="rId95"/>
    <sheet name="8.7" sheetId="11" r:id="rId96"/>
    <sheet name="SUMMARY" sheetId="12" r:id="rId97"/>
    <sheet name="14.7" sheetId="13" r:id="rId98"/>
    <sheet name="15.7" sheetId="23" r:id="rId99"/>
    <sheet name="Basic Salary" sheetId="61" r:id="rId100"/>
    <sheet name="JUNE 2023 (2)" sheetId="122" r:id="rId101"/>
    <sheet name="Sheet9" sheetId="197" r:id="rId102"/>
  </sheets>
  <externalReferences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</externalReferences>
  <definedNames>
    <definedName name="_xlnm.Print_Area" localSheetId="48">'Additional Leg Duty Allowance'!$A$1:$U$19</definedName>
    <definedName name="_xlnm.Print_Area" localSheetId="85">'Annual Increement'!$A$1:$AB$191</definedName>
    <definedName name="_xlnm.Print_Area" localSheetId="65">'CHRISTMAS WELFARE'!$A$1:$E$196</definedName>
    <definedName name="_xlnm.Print_Area" localSheetId="31">'Christmas Welfare 2024'!$A$1:$E$207</definedName>
    <definedName name="_xlnm.Print_Area" localSheetId="86">'Enhanced Welfare 2023 (2)'!$A$1:$G$193</definedName>
    <definedName name="_xlnm.Print_Area" localSheetId="87">'Enhanced Welfare 2023 (3)'!$A$1:$G$193</definedName>
    <definedName name="_xlnm.Print_Area" localSheetId="63">'ENHANCED WELFARE 2024'!$A$1:$G$196</definedName>
    <definedName name="_xlnm.Print_Area" localSheetId="0">'JULY 2025'!$A$1:$T$227</definedName>
    <definedName name="_xlnm.Print_Area" localSheetId="67">'HALF 2023 (2)'!$A$1:$F$195</definedName>
    <definedName name="_xlnm.Print_Area" localSheetId="82">'January 2023 NHF)'!$A$1:$H$191</definedName>
    <definedName name="_xlnm.Print_Area" localSheetId="81">'January 2023 PAYE'!$A$1:$H$191</definedName>
    <definedName name="_xlnm.Print_Area" localSheetId="100">'JUNE 2023 (2)'!$A$1:$D$190</definedName>
    <definedName name="_xlnm.Print_Area" localSheetId="1">MEMO!$A$1:$H$70</definedName>
    <definedName name="_xlnm.Print_Area" localSheetId="69">'NEW ENROLMENT IN NOVEMBER (2)'!$A$1:$X$14</definedName>
    <definedName name="_xlnm.Print_Area" localSheetId="25">'Promotion in Sept'!$A$1:$V$9</definedName>
    <definedName name="_xlnm.Print_Area" localSheetId="72">PROMOTIONS!$A$1:$AB$47</definedName>
    <definedName name="_xlnm.Print_Area" localSheetId="64">'PROMOTIONS '!$A$1:$AB$27</definedName>
    <definedName name="_xlnm.Print_Area" localSheetId="70">'Regularisation IN NOVEMBER (3)'!$A$1:$X$16</definedName>
    <definedName name="_xlnm.Print_Area" localSheetId="77">'Sallah Welfare April 2023'!$A$1:$E$190</definedName>
    <definedName name="_xlnm.Print_Area" localSheetId="78">'Sallah Welfare June 2023'!$A$1:$E$192</definedName>
    <definedName name="_xlnm.Print_Area" localSheetId="79">'Sallah Welfare June 2023 Latest'!$A$1:$E$189</definedName>
    <definedName name="_xlnm.Print_Area" localSheetId="53">'Sallah Welfare, April 2024'!$A$1:$E$194</definedName>
    <definedName name="_xlnm.Print_Area" localSheetId="33">'Staff Bonus'!$A$1:$F$207</definedName>
    <definedName name="_xlnm.Print_Area" localSheetId="84">'Tax adj August, 2022'!$A$1:$G$202</definedName>
    <definedName name="_xlnm.Print_Area" localSheetId="50">'Upgrade in March'!$A$1:$S$11</definedName>
    <definedName name="_xlnm.Print_Area" localSheetId="74">'Wage Grant'!$A$1:$I$192</definedName>
    <definedName name="_xlnm.Print_Area" localSheetId="75">'Wage Grant (2)'!$A$1:$H$62</definedName>
    <definedName name="_xlnm.Print_Area" localSheetId="45">'Welfare June'!$A$1:$E$194</definedName>
    <definedName name="_xlnm.Print_Area" localSheetId="13">'2025 GL STEPS'!$A$1:$I$201</definedName>
    <definedName name="_xlnm.Print_Area" localSheetId="14">'Welfare June 25'!$A$1:$E$199</definedName>
    <definedName name="_xlnm.Print_Area" localSheetId="4">'Basic &amp; Pensions'!$A$1:$Q$202</definedName>
    <definedName name="_xlnm.Print_Area" localSheetId="6">'New NHF Enrolment'!$A$1:$J$202</definedName>
    <definedName name="_xlnm.Print_Area" localSheetId="8">'Arrears Jan-May'!$A$1:$Q$202</definedName>
    <definedName name="_xlnm.Print_Titles" localSheetId="48">'Additional Leg Duty Allowance'!$4:$5</definedName>
    <definedName name="_xlnm.Print_Titles" localSheetId="65">'CHRISTMAS WELFARE'!$4:$5</definedName>
    <definedName name="_xlnm.Print_Titles" localSheetId="31">'Christmas Welfare 2024'!$4:$5</definedName>
    <definedName name="_xlnm.Print_Titles" localSheetId="86">'Enhanced Welfare 2023 (2)'!$4:$5</definedName>
    <definedName name="_xlnm.Print_Titles" localSheetId="87">'Enhanced Welfare 2023 (3)'!$4:$5</definedName>
    <definedName name="_xlnm.Print_Titles" localSheetId="63">'ENHANCED WELFARE 2024'!$4:$5</definedName>
    <definedName name="_xlnm.Print_Titles" localSheetId="0">'JULY 2025'!$4:$5</definedName>
    <definedName name="_xlnm.Print_Titles" localSheetId="67">'HALF 2023 (2)'!$4:$5</definedName>
    <definedName name="_xlnm.Print_Titles" localSheetId="82">'January 2023 NHF)'!$4:$5</definedName>
    <definedName name="_xlnm.Print_Titles" localSheetId="81">'January 2023 PAYE'!$4:$5</definedName>
    <definedName name="_xlnm.Print_Titles" localSheetId="100">'JUNE 2023 (2)'!$4:$5</definedName>
    <definedName name="_xlnm.Print_Titles" localSheetId="69">'NEW ENROLMENT IN NOVEMBER (2)'!$4:$5</definedName>
    <definedName name="_xlnm.Print_Titles" localSheetId="25">'Promotion in Sept'!$4:$5</definedName>
    <definedName name="_xlnm.Print_Titles" localSheetId="72">PROMOTIONS!$4:$5</definedName>
    <definedName name="_xlnm.Print_Titles" localSheetId="64">'PROMOTIONS '!$4:$5</definedName>
    <definedName name="_xlnm.Print_Titles" localSheetId="70">'Regularisation IN NOVEMBER (3)'!$4:$5</definedName>
    <definedName name="_xlnm.Print_Titles" localSheetId="77">'Sallah Welfare April 2023'!$4:$5</definedName>
    <definedName name="_xlnm.Print_Titles" localSheetId="78">'Sallah Welfare June 2023'!$4:$5</definedName>
    <definedName name="_xlnm.Print_Titles" localSheetId="79">'Sallah Welfare June 2023 Latest'!$4:$5</definedName>
    <definedName name="_xlnm.Print_Titles" localSheetId="53">'Sallah Welfare, April 2024'!$4:$5</definedName>
    <definedName name="_xlnm.Print_Titles" localSheetId="33">'Staff Bonus'!$4:$5</definedName>
    <definedName name="_xlnm.Print_Titles" localSheetId="50">'Upgrade in March'!$4:$5</definedName>
    <definedName name="_xlnm.Print_Titles" localSheetId="74">'Wage Grant'!$5:$5</definedName>
    <definedName name="_xlnm.Print_Titles" localSheetId="75">'Wage Grant (2)'!$5:$5</definedName>
    <definedName name="_xlnm.Print_Titles" localSheetId="45">'Welfare June'!$4:$5</definedName>
    <definedName name="_xlnm.Print_Titles" localSheetId="13">'2025 GL STEPS'!$4:$5</definedName>
    <definedName name="_xlnm.Print_Titles" localSheetId="14">'Welfare June 25'!$4:$5</definedName>
    <definedName name="_xlnm.Print_Titles" localSheetId="4">'Basic &amp; Pensions'!$4:$5</definedName>
    <definedName name="_xlnm.Print_Titles" localSheetId="6">'New NHF Enrolment'!$4:$5</definedName>
    <definedName name="_xlnm.Print_Titles" localSheetId="8">'Arrears Jan-May'!$4:$5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0" i="164"/>
  <c r="M10" i="164"/>
  <c r="L10" i="164"/>
  <c r="K10" i="164"/>
  <c r="J10" i="164"/>
  <c r="I10" i="164"/>
  <c r="H10" i="164"/>
  <c r="G10" i="164"/>
  <c r="F10" i="164"/>
  <c r="E10" i="164"/>
  <c r="N9" i="164"/>
  <c r="M9" i="164"/>
  <c r="H9" i="164"/>
  <c r="N8" i="164"/>
  <c r="M8" i="164"/>
  <c r="L8" i="164"/>
  <c r="H8" i="164"/>
  <c r="E8" i="164"/>
  <c r="N7" i="164"/>
  <c r="M7" i="164"/>
  <c r="L7" i="164"/>
  <c r="H7" i="164"/>
  <c r="E7" i="164"/>
  <c r="N6" i="164"/>
  <c r="M6" i="164"/>
  <c r="L6" i="164"/>
  <c r="H6" i="164"/>
  <c r="E6" i="164"/>
  <c r="N5" i="164"/>
  <c r="M5" i="164"/>
  <c r="H5" i="164"/>
  <c r="E5" i="164"/>
  <c r="N9" i="174"/>
  <c r="M9" i="174"/>
  <c r="L9" i="174"/>
  <c r="K9" i="174"/>
  <c r="J9" i="174"/>
  <c r="I9" i="174"/>
  <c r="H9" i="174"/>
  <c r="G9" i="174"/>
  <c r="F9" i="174"/>
  <c r="E9" i="174"/>
  <c r="N8" i="174"/>
  <c r="M8" i="174"/>
  <c r="H8" i="174"/>
  <c r="N7" i="174"/>
  <c r="M7" i="174"/>
  <c r="L7" i="174"/>
  <c r="H7" i="174"/>
  <c r="E7" i="174"/>
  <c r="N6" i="174"/>
  <c r="M6" i="174"/>
  <c r="L6" i="174"/>
  <c r="H6" i="174"/>
  <c r="E6" i="174"/>
  <c r="N5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V194" i="190"/>
  <c r="G194" i="190"/>
  <c r="F194" i="190"/>
  <c r="Z193" i="190"/>
  <c r="X193" i="190"/>
  <c r="V193" i="190"/>
  <c r="G193" i="190"/>
  <c r="F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AB117" i="190"/>
  <c r="Z117" i="190"/>
  <c r="X117" i="190"/>
  <c r="V117" i="190"/>
  <c r="U117" i="190"/>
  <c r="T117" i="190"/>
  <c r="S117" i="190"/>
  <c r="R117" i="190"/>
  <c r="Q117" i="190"/>
  <c r="P117" i="190"/>
  <c r="O117" i="190"/>
  <c r="N117" i="190"/>
  <c r="M117" i="190"/>
  <c r="L117" i="190"/>
  <c r="I117" i="190"/>
  <c r="F117" i="190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AB115" i="190"/>
  <c r="Z115" i="190"/>
  <c r="X115" i="190"/>
  <c r="V115" i="190"/>
  <c r="U115" i="190"/>
  <c r="T115" i="190"/>
  <c r="S115" i="190"/>
  <c r="R115" i="190"/>
  <c r="Q115" i="190"/>
  <c r="P115" i="190"/>
  <c r="O115" i="190"/>
  <c r="N115" i="190"/>
  <c r="M115" i="190"/>
  <c r="L115" i="190"/>
  <c r="I115" i="190"/>
  <c r="F115" i="190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AB107" i="190"/>
  <c r="Z107" i="190"/>
  <c r="X107" i="190"/>
  <c r="V107" i="190"/>
  <c r="U107" i="190"/>
  <c r="T107" i="190"/>
  <c r="S107" i="190"/>
  <c r="R107" i="190"/>
  <c r="Q107" i="190"/>
  <c r="P107" i="190"/>
  <c r="O107" i="190"/>
  <c r="N107" i="190"/>
  <c r="M107" i="190"/>
  <c r="L107" i="190"/>
  <c r="I107" i="190"/>
  <c r="F107" i="190"/>
  <c r="E107" i="190"/>
  <c r="AB106" i="190"/>
  <c r="Z106" i="190"/>
  <c r="X106" i="190"/>
  <c r="V106" i="190"/>
  <c r="U106" i="190"/>
  <c r="T106" i="190"/>
  <c r="S106" i="190"/>
  <c r="R106" i="190"/>
  <c r="Q106" i="190"/>
  <c r="P106" i="190"/>
  <c r="O106" i="190"/>
  <c r="N106" i="190"/>
  <c r="M106" i="190"/>
  <c r="L106" i="190"/>
  <c r="I106" i="190"/>
  <c r="F106" i="190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AB98" i="190"/>
  <c r="Z98" i="190"/>
  <c r="X98" i="190"/>
  <c r="V98" i="190"/>
  <c r="U98" i="190"/>
  <c r="T98" i="190"/>
  <c r="S98" i="190"/>
  <c r="R98" i="190"/>
  <c r="Q98" i="190"/>
  <c r="P98" i="190"/>
  <c r="O98" i="190"/>
  <c r="N98" i="190"/>
  <c r="M98" i="190"/>
  <c r="L98" i="190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AB92" i="190"/>
  <c r="Z92" i="190"/>
  <c r="X92" i="190"/>
  <c r="V92" i="190"/>
  <c r="U92" i="190"/>
  <c r="T92" i="190"/>
  <c r="S92" i="190"/>
  <c r="R92" i="190"/>
  <c r="Q92" i="190"/>
  <c r="P92" i="190"/>
  <c r="O92" i="190"/>
  <c r="N92" i="190"/>
  <c r="M92" i="190"/>
  <c r="L92" i="190"/>
  <c r="I92" i="190"/>
  <c r="F92" i="190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AB86" i="190"/>
  <c r="Z86" i="190"/>
  <c r="X86" i="190"/>
  <c r="V86" i="190"/>
  <c r="U86" i="190"/>
  <c r="T86" i="190"/>
  <c r="S86" i="190"/>
  <c r="R86" i="190"/>
  <c r="Q86" i="190"/>
  <c r="P86" i="190"/>
  <c r="O86" i="190"/>
  <c r="N86" i="190"/>
  <c r="M86" i="190"/>
  <c r="L86" i="190"/>
  <c r="I86" i="190"/>
  <c r="F86" i="190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AB78" i="190"/>
  <c r="Z78" i="190"/>
  <c r="X78" i="190"/>
  <c r="V78" i="190"/>
  <c r="U78" i="190"/>
  <c r="T78" i="190"/>
  <c r="S78" i="190"/>
  <c r="R78" i="190"/>
  <c r="Q78" i="190"/>
  <c r="P78" i="190"/>
  <c r="O78" i="190"/>
  <c r="N78" i="190"/>
  <c r="M78" i="190"/>
  <c r="L78" i="190"/>
  <c r="I78" i="190"/>
  <c r="F78" i="190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AB49" i="190"/>
  <c r="Z49" i="190"/>
  <c r="X49" i="190"/>
  <c r="V49" i="190"/>
  <c r="U49" i="190"/>
  <c r="T49" i="190"/>
  <c r="S49" i="190"/>
  <c r="R49" i="190"/>
  <c r="Q49" i="190"/>
  <c r="P49" i="190"/>
  <c r="O49" i="190"/>
  <c r="N49" i="190"/>
  <c r="M49" i="190"/>
  <c r="L49" i="190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AB13" i="190"/>
  <c r="Z13" i="190"/>
  <c r="X13" i="190"/>
  <c r="V13" i="190"/>
  <c r="T13" i="190"/>
  <c r="S13" i="190"/>
  <c r="R13" i="190"/>
  <c r="Q13" i="190"/>
  <c r="P13" i="190"/>
  <c r="O13" i="190"/>
  <c r="N13" i="190"/>
  <c r="M13" i="190"/>
  <c r="L13" i="190"/>
  <c r="I13" i="190"/>
  <c r="F13" i="190"/>
  <c r="E13" i="190"/>
  <c r="AB12" i="190"/>
  <c r="Z12" i="190"/>
  <c r="X12" i="190"/>
  <c r="V12" i="190"/>
  <c r="U12" i="190"/>
  <c r="T12" i="190"/>
  <c r="S12" i="190"/>
  <c r="R12" i="190"/>
  <c r="Q12" i="190"/>
  <c r="P12" i="190"/>
  <c r="O12" i="190"/>
  <c r="N12" i="190"/>
  <c r="M12" i="190"/>
  <c r="L12" i="190"/>
  <c r="I12" i="190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AB10" i="190"/>
  <c r="Z10" i="190"/>
  <c r="X10" i="190"/>
  <c r="V10" i="190"/>
  <c r="U10" i="190"/>
  <c r="T10" i="190"/>
  <c r="S10" i="190"/>
  <c r="R10" i="190"/>
  <c r="Q10" i="190"/>
  <c r="P10" i="190"/>
  <c r="O10" i="190"/>
  <c r="N10" i="190"/>
  <c r="M10" i="190"/>
  <c r="L10" i="190"/>
  <c r="I10" i="190"/>
  <c r="F10" i="190"/>
  <c r="E10" i="190"/>
  <c r="AB9" i="190"/>
  <c r="Z9" i="190"/>
  <c r="X9" i="190"/>
  <c r="V9" i="190"/>
  <c r="U9" i="190"/>
  <c r="T9" i="190"/>
  <c r="S9" i="190"/>
  <c r="R9" i="190"/>
  <c r="Q9" i="190"/>
  <c r="P9" i="190"/>
  <c r="O9" i="190"/>
  <c r="N9" i="190"/>
  <c r="M9" i="190"/>
  <c r="L9" i="190"/>
  <c r="I9" i="190"/>
  <c r="F9" i="190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G10" i="182"/>
  <c r="F10" i="182"/>
  <c r="AB9" i="182"/>
  <c r="G9" i="182"/>
  <c r="F9" i="182"/>
  <c r="C9" i="182"/>
  <c r="AB8" i="182"/>
  <c r="Z8" i="182"/>
  <c r="X8" i="182"/>
  <c r="V8" i="182"/>
  <c r="T8" i="182"/>
  <c r="S8" i="182"/>
  <c r="R8" i="182"/>
  <c r="Q8" i="182"/>
  <c r="P8" i="182"/>
  <c r="O8" i="182"/>
  <c r="N8" i="182"/>
  <c r="M8" i="182"/>
  <c r="L8" i="182"/>
  <c r="I8" i="182"/>
  <c r="E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E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F5" i="182"/>
  <c r="E5" i="182"/>
  <c r="V189" i="193"/>
  <c r="G189" i="193"/>
  <c r="F189" i="193"/>
  <c r="Z188" i="193"/>
  <c r="X188" i="193"/>
  <c r="V188" i="193"/>
  <c r="G188" i="193"/>
  <c r="F188" i="193"/>
  <c r="C188" i="193"/>
  <c r="AB187" i="193"/>
  <c r="Z187" i="193"/>
  <c r="X187" i="193"/>
  <c r="V187" i="193"/>
  <c r="T187" i="193"/>
  <c r="S187" i="193"/>
  <c r="R187" i="193"/>
  <c r="Q187" i="193"/>
  <c r="P187" i="193"/>
  <c r="O187" i="193"/>
  <c r="N187" i="193"/>
  <c r="M187" i="193"/>
  <c r="L187" i="193"/>
  <c r="I187" i="193"/>
  <c r="G187" i="193"/>
  <c r="E187" i="193"/>
  <c r="AB186" i="193"/>
  <c r="Z186" i="193"/>
  <c r="X186" i="193"/>
  <c r="V186" i="193"/>
  <c r="T186" i="193"/>
  <c r="S186" i="193"/>
  <c r="R186" i="193"/>
  <c r="Q186" i="193"/>
  <c r="P186" i="193"/>
  <c r="O186" i="193"/>
  <c r="N186" i="193"/>
  <c r="M186" i="193"/>
  <c r="L186" i="193"/>
  <c r="I186" i="193"/>
  <c r="G186" i="193"/>
  <c r="E186" i="193"/>
  <c r="AB185" i="193"/>
  <c r="Z185" i="193"/>
  <c r="X185" i="193"/>
  <c r="V185" i="193"/>
  <c r="T185" i="193"/>
  <c r="S185" i="193"/>
  <c r="R185" i="193"/>
  <c r="Q185" i="193"/>
  <c r="P185" i="193"/>
  <c r="O185" i="193"/>
  <c r="N185" i="193"/>
  <c r="M185" i="193"/>
  <c r="L185" i="193"/>
  <c r="I185" i="193"/>
  <c r="G185" i="193"/>
  <c r="E185" i="193"/>
  <c r="AB184" i="193"/>
  <c r="Z184" i="193"/>
  <c r="X184" i="193"/>
  <c r="V184" i="193"/>
  <c r="T184" i="193"/>
  <c r="S184" i="193"/>
  <c r="R184" i="193"/>
  <c r="Q184" i="193"/>
  <c r="P184" i="193"/>
  <c r="O184" i="193"/>
  <c r="N184" i="193"/>
  <c r="M184" i="193"/>
  <c r="L184" i="193"/>
  <c r="I184" i="193"/>
  <c r="G184" i="193"/>
  <c r="E184" i="193"/>
  <c r="AB183" i="193"/>
  <c r="Z183" i="193"/>
  <c r="X183" i="193"/>
  <c r="V183" i="193"/>
  <c r="T183" i="193"/>
  <c r="S183" i="193"/>
  <c r="R183" i="193"/>
  <c r="Q183" i="193"/>
  <c r="P183" i="193"/>
  <c r="O183" i="193"/>
  <c r="N183" i="193"/>
  <c r="M183" i="193"/>
  <c r="L183" i="193"/>
  <c r="I183" i="193"/>
  <c r="G183" i="193"/>
  <c r="E183" i="193"/>
  <c r="AB182" i="193"/>
  <c r="Z182" i="193"/>
  <c r="X182" i="193"/>
  <c r="V182" i="193"/>
  <c r="T182" i="193"/>
  <c r="S182" i="193"/>
  <c r="R182" i="193"/>
  <c r="Q182" i="193"/>
  <c r="P182" i="193"/>
  <c r="O182" i="193"/>
  <c r="N182" i="193"/>
  <c r="M182" i="193"/>
  <c r="L182" i="193"/>
  <c r="I182" i="193"/>
  <c r="E182" i="193"/>
  <c r="AB181" i="193"/>
  <c r="Z181" i="193"/>
  <c r="X181" i="193"/>
  <c r="V181" i="193"/>
  <c r="T181" i="193"/>
  <c r="S181" i="193"/>
  <c r="R181" i="193"/>
  <c r="Q181" i="193"/>
  <c r="P181" i="193"/>
  <c r="O181" i="193"/>
  <c r="N181" i="193"/>
  <c r="M181" i="193"/>
  <c r="L181" i="193"/>
  <c r="I181" i="193"/>
  <c r="E181" i="193"/>
  <c r="AB180" i="193"/>
  <c r="Z180" i="193"/>
  <c r="X180" i="193"/>
  <c r="V180" i="193"/>
  <c r="T180" i="193"/>
  <c r="S180" i="193"/>
  <c r="R180" i="193"/>
  <c r="Q180" i="193"/>
  <c r="P180" i="193"/>
  <c r="O180" i="193"/>
  <c r="N180" i="193"/>
  <c r="M180" i="193"/>
  <c r="L180" i="193"/>
  <c r="I180" i="193"/>
  <c r="E180" i="193"/>
  <c r="AB179" i="193"/>
  <c r="Z179" i="193"/>
  <c r="X179" i="193"/>
  <c r="V179" i="193"/>
  <c r="T179" i="193"/>
  <c r="S179" i="193"/>
  <c r="R179" i="193"/>
  <c r="Q179" i="193"/>
  <c r="P179" i="193"/>
  <c r="O179" i="193"/>
  <c r="N179" i="193"/>
  <c r="M179" i="193"/>
  <c r="L179" i="193"/>
  <c r="I179" i="193"/>
  <c r="E179" i="193"/>
  <c r="AB178" i="193"/>
  <c r="Z178" i="193"/>
  <c r="X178" i="193"/>
  <c r="V178" i="193"/>
  <c r="T178" i="193"/>
  <c r="S178" i="193"/>
  <c r="R178" i="193"/>
  <c r="Q178" i="193"/>
  <c r="P178" i="193"/>
  <c r="O178" i="193"/>
  <c r="N178" i="193"/>
  <c r="M178" i="193"/>
  <c r="L178" i="193"/>
  <c r="I178" i="193"/>
  <c r="E178" i="193"/>
  <c r="AB177" i="193"/>
  <c r="Z177" i="193"/>
  <c r="X177" i="193"/>
  <c r="V177" i="193"/>
  <c r="T177" i="193"/>
  <c r="S177" i="193"/>
  <c r="R177" i="193"/>
  <c r="Q177" i="193"/>
  <c r="P177" i="193"/>
  <c r="O177" i="193"/>
  <c r="N177" i="193"/>
  <c r="M177" i="193"/>
  <c r="L177" i="193"/>
  <c r="I177" i="193"/>
  <c r="E177" i="193"/>
  <c r="AB176" i="193"/>
  <c r="Z176" i="193"/>
  <c r="X176" i="193"/>
  <c r="V176" i="193"/>
  <c r="T176" i="193"/>
  <c r="S176" i="193"/>
  <c r="R176" i="193"/>
  <c r="Q176" i="193"/>
  <c r="P176" i="193"/>
  <c r="O176" i="193"/>
  <c r="N176" i="193"/>
  <c r="M176" i="193"/>
  <c r="L176" i="193"/>
  <c r="I176" i="193"/>
  <c r="E176" i="193"/>
  <c r="AB175" i="193"/>
  <c r="Z175" i="193"/>
  <c r="X175" i="193"/>
  <c r="V175" i="193"/>
  <c r="T175" i="193"/>
  <c r="S175" i="193"/>
  <c r="R175" i="193"/>
  <c r="Q175" i="193"/>
  <c r="P175" i="193"/>
  <c r="O175" i="193"/>
  <c r="N175" i="193"/>
  <c r="M175" i="193"/>
  <c r="L175" i="193"/>
  <c r="I175" i="193"/>
  <c r="E175" i="193"/>
  <c r="AB174" i="193"/>
  <c r="Z174" i="193"/>
  <c r="X174" i="193"/>
  <c r="V174" i="193"/>
  <c r="T174" i="193"/>
  <c r="S174" i="193"/>
  <c r="R174" i="193"/>
  <c r="Q174" i="193"/>
  <c r="P174" i="193"/>
  <c r="O174" i="193"/>
  <c r="N174" i="193"/>
  <c r="M174" i="193"/>
  <c r="L174" i="193"/>
  <c r="I174" i="193"/>
  <c r="E174" i="193"/>
  <c r="AB173" i="193"/>
  <c r="Z173" i="193"/>
  <c r="X173" i="193"/>
  <c r="V173" i="193"/>
  <c r="T173" i="193"/>
  <c r="S173" i="193"/>
  <c r="R173" i="193"/>
  <c r="Q173" i="193"/>
  <c r="P173" i="193"/>
  <c r="O173" i="193"/>
  <c r="N173" i="193"/>
  <c r="M173" i="193"/>
  <c r="L173" i="193"/>
  <c r="I173" i="193"/>
  <c r="E173" i="193"/>
  <c r="AB172" i="193"/>
  <c r="Z172" i="193"/>
  <c r="X172" i="193"/>
  <c r="V172" i="193"/>
  <c r="T172" i="193"/>
  <c r="S172" i="193"/>
  <c r="R172" i="193"/>
  <c r="Q172" i="193"/>
  <c r="P172" i="193"/>
  <c r="O172" i="193"/>
  <c r="N172" i="193"/>
  <c r="M172" i="193"/>
  <c r="L172" i="193"/>
  <c r="I172" i="193"/>
  <c r="E172" i="193"/>
  <c r="AB171" i="193"/>
  <c r="Z171" i="193"/>
  <c r="X171" i="193"/>
  <c r="V171" i="193"/>
  <c r="T171" i="193"/>
  <c r="S171" i="193"/>
  <c r="R171" i="193"/>
  <c r="Q171" i="193"/>
  <c r="P171" i="193"/>
  <c r="O171" i="193"/>
  <c r="N171" i="193"/>
  <c r="M171" i="193"/>
  <c r="L171" i="193"/>
  <c r="I171" i="193"/>
  <c r="E171" i="193"/>
  <c r="AB170" i="193"/>
  <c r="Z170" i="193"/>
  <c r="X170" i="193"/>
  <c r="V170" i="193"/>
  <c r="T170" i="193"/>
  <c r="S170" i="193"/>
  <c r="R170" i="193"/>
  <c r="Q170" i="193"/>
  <c r="P170" i="193"/>
  <c r="O170" i="193"/>
  <c r="N170" i="193"/>
  <c r="M170" i="193"/>
  <c r="L170" i="193"/>
  <c r="I170" i="193"/>
  <c r="E170" i="193"/>
  <c r="AB169" i="193"/>
  <c r="Z169" i="193"/>
  <c r="X169" i="193"/>
  <c r="V169" i="193"/>
  <c r="T169" i="193"/>
  <c r="S169" i="193"/>
  <c r="R169" i="193"/>
  <c r="Q169" i="193"/>
  <c r="P169" i="193"/>
  <c r="O169" i="193"/>
  <c r="N169" i="193"/>
  <c r="M169" i="193"/>
  <c r="L169" i="193"/>
  <c r="I169" i="193"/>
  <c r="E169" i="193"/>
  <c r="AB168" i="193"/>
  <c r="Z168" i="193"/>
  <c r="X168" i="193"/>
  <c r="V168" i="193"/>
  <c r="T168" i="193"/>
  <c r="S168" i="193"/>
  <c r="R168" i="193"/>
  <c r="Q168" i="193"/>
  <c r="P168" i="193"/>
  <c r="O168" i="193"/>
  <c r="N168" i="193"/>
  <c r="M168" i="193"/>
  <c r="L168" i="193"/>
  <c r="I168" i="193"/>
  <c r="E168" i="193"/>
  <c r="AB167" i="193"/>
  <c r="Z167" i="193"/>
  <c r="X167" i="193"/>
  <c r="V167" i="193"/>
  <c r="T167" i="193"/>
  <c r="S167" i="193"/>
  <c r="R167" i="193"/>
  <c r="Q167" i="193"/>
  <c r="P167" i="193"/>
  <c r="O167" i="193"/>
  <c r="N167" i="193"/>
  <c r="M167" i="193"/>
  <c r="L167" i="193"/>
  <c r="I167" i="193"/>
  <c r="E167" i="193"/>
  <c r="AB166" i="193"/>
  <c r="Z166" i="193"/>
  <c r="X166" i="193"/>
  <c r="V166" i="193"/>
  <c r="T166" i="193"/>
  <c r="S166" i="193"/>
  <c r="R166" i="193"/>
  <c r="Q166" i="193"/>
  <c r="P166" i="193"/>
  <c r="O166" i="193"/>
  <c r="N166" i="193"/>
  <c r="M166" i="193"/>
  <c r="L166" i="193"/>
  <c r="I166" i="193"/>
  <c r="E166" i="193"/>
  <c r="AB165" i="193"/>
  <c r="Z165" i="193"/>
  <c r="X165" i="193"/>
  <c r="V165" i="193"/>
  <c r="T165" i="193"/>
  <c r="S165" i="193"/>
  <c r="R165" i="193"/>
  <c r="Q165" i="193"/>
  <c r="P165" i="193"/>
  <c r="O165" i="193"/>
  <c r="N165" i="193"/>
  <c r="M165" i="193"/>
  <c r="L165" i="193"/>
  <c r="I165" i="193"/>
  <c r="E165" i="193"/>
  <c r="AB164" i="193"/>
  <c r="Z164" i="193"/>
  <c r="X164" i="193"/>
  <c r="V164" i="193"/>
  <c r="T164" i="193"/>
  <c r="S164" i="193"/>
  <c r="R164" i="193"/>
  <c r="Q164" i="193"/>
  <c r="P164" i="193"/>
  <c r="O164" i="193"/>
  <c r="N164" i="193"/>
  <c r="M164" i="193"/>
  <c r="L164" i="193"/>
  <c r="I164" i="193"/>
  <c r="E164" i="193"/>
  <c r="AB163" i="193"/>
  <c r="Z163" i="193"/>
  <c r="X163" i="193"/>
  <c r="V163" i="193"/>
  <c r="T163" i="193"/>
  <c r="S163" i="193"/>
  <c r="R163" i="193"/>
  <c r="Q163" i="193"/>
  <c r="P163" i="193"/>
  <c r="O163" i="193"/>
  <c r="N163" i="193"/>
  <c r="M163" i="193"/>
  <c r="L163" i="193"/>
  <c r="I163" i="193"/>
  <c r="E163" i="193"/>
  <c r="AB162" i="193"/>
  <c r="Z162" i="193"/>
  <c r="X162" i="193"/>
  <c r="V162" i="193"/>
  <c r="T162" i="193"/>
  <c r="S162" i="193"/>
  <c r="R162" i="193"/>
  <c r="Q162" i="193"/>
  <c r="P162" i="193"/>
  <c r="O162" i="193"/>
  <c r="N162" i="193"/>
  <c r="M162" i="193"/>
  <c r="L162" i="193"/>
  <c r="I162" i="193"/>
  <c r="E162" i="193"/>
  <c r="AB161" i="193"/>
  <c r="Z161" i="193"/>
  <c r="X161" i="193"/>
  <c r="V161" i="193"/>
  <c r="T161" i="193"/>
  <c r="S161" i="193"/>
  <c r="R161" i="193"/>
  <c r="Q161" i="193"/>
  <c r="P161" i="193"/>
  <c r="O161" i="193"/>
  <c r="N161" i="193"/>
  <c r="M161" i="193"/>
  <c r="L161" i="193"/>
  <c r="I161" i="193"/>
  <c r="E161" i="193"/>
  <c r="AB160" i="193"/>
  <c r="Z160" i="193"/>
  <c r="X160" i="193"/>
  <c r="V160" i="193"/>
  <c r="T160" i="193"/>
  <c r="S160" i="193"/>
  <c r="R160" i="193"/>
  <c r="Q160" i="193"/>
  <c r="P160" i="193"/>
  <c r="O160" i="193"/>
  <c r="N160" i="193"/>
  <c r="M160" i="193"/>
  <c r="L160" i="193"/>
  <c r="I160" i="193"/>
  <c r="F160" i="193"/>
  <c r="E160" i="193"/>
  <c r="AB159" i="193"/>
  <c r="Z159" i="193"/>
  <c r="X159" i="193"/>
  <c r="V159" i="193"/>
  <c r="T159" i="193"/>
  <c r="S159" i="193"/>
  <c r="R159" i="193"/>
  <c r="Q159" i="193"/>
  <c r="P159" i="193"/>
  <c r="O159" i="193"/>
  <c r="N159" i="193"/>
  <c r="M159" i="193"/>
  <c r="L159" i="193"/>
  <c r="I159" i="193"/>
  <c r="E159" i="193"/>
  <c r="AB158" i="193"/>
  <c r="Z158" i="193"/>
  <c r="X158" i="193"/>
  <c r="V158" i="193"/>
  <c r="T158" i="193"/>
  <c r="S158" i="193"/>
  <c r="R158" i="193"/>
  <c r="Q158" i="193"/>
  <c r="P158" i="193"/>
  <c r="O158" i="193"/>
  <c r="N158" i="193"/>
  <c r="M158" i="193"/>
  <c r="L158" i="193"/>
  <c r="I158" i="193"/>
  <c r="E158" i="193"/>
  <c r="AB157" i="193"/>
  <c r="Z157" i="193"/>
  <c r="X157" i="193"/>
  <c r="V157" i="193"/>
  <c r="T157" i="193"/>
  <c r="S157" i="193"/>
  <c r="R157" i="193"/>
  <c r="Q157" i="193"/>
  <c r="P157" i="193"/>
  <c r="O157" i="193"/>
  <c r="N157" i="193"/>
  <c r="M157" i="193"/>
  <c r="L157" i="193"/>
  <c r="I157" i="193"/>
  <c r="F157" i="193"/>
  <c r="E157" i="193"/>
  <c r="AB156" i="193"/>
  <c r="Z156" i="193"/>
  <c r="X156" i="193"/>
  <c r="V156" i="193"/>
  <c r="T156" i="193"/>
  <c r="S156" i="193"/>
  <c r="R156" i="193"/>
  <c r="Q156" i="193"/>
  <c r="P156" i="193"/>
  <c r="O156" i="193"/>
  <c r="N156" i="193"/>
  <c r="M156" i="193"/>
  <c r="L156" i="193"/>
  <c r="I156" i="193"/>
  <c r="E156" i="193"/>
  <c r="AB155" i="193"/>
  <c r="Z155" i="193"/>
  <c r="X155" i="193"/>
  <c r="V155" i="193"/>
  <c r="T155" i="193"/>
  <c r="S155" i="193"/>
  <c r="R155" i="193"/>
  <c r="Q155" i="193"/>
  <c r="P155" i="193"/>
  <c r="O155" i="193"/>
  <c r="N155" i="193"/>
  <c r="M155" i="193"/>
  <c r="L155" i="193"/>
  <c r="I155" i="193"/>
  <c r="E155" i="193"/>
  <c r="AB154" i="193"/>
  <c r="Z154" i="193"/>
  <c r="X154" i="193"/>
  <c r="V154" i="193"/>
  <c r="T154" i="193"/>
  <c r="S154" i="193"/>
  <c r="R154" i="193"/>
  <c r="Q154" i="193"/>
  <c r="P154" i="193"/>
  <c r="O154" i="193"/>
  <c r="N154" i="193"/>
  <c r="M154" i="193"/>
  <c r="L154" i="193"/>
  <c r="I154" i="193"/>
  <c r="E154" i="193"/>
  <c r="AB153" i="193"/>
  <c r="Z153" i="193"/>
  <c r="X153" i="193"/>
  <c r="V153" i="193"/>
  <c r="T153" i="193"/>
  <c r="S153" i="193"/>
  <c r="R153" i="193"/>
  <c r="Q153" i="193"/>
  <c r="P153" i="193"/>
  <c r="O153" i="193"/>
  <c r="N153" i="193"/>
  <c r="M153" i="193"/>
  <c r="L153" i="193"/>
  <c r="I153" i="193"/>
  <c r="E153" i="193"/>
  <c r="AB152" i="193"/>
  <c r="Z152" i="193"/>
  <c r="X152" i="193"/>
  <c r="V152" i="193"/>
  <c r="T152" i="193"/>
  <c r="S152" i="193"/>
  <c r="R152" i="193"/>
  <c r="Q152" i="193"/>
  <c r="P152" i="193"/>
  <c r="O152" i="193"/>
  <c r="N152" i="193"/>
  <c r="M152" i="193"/>
  <c r="L152" i="193"/>
  <c r="I152" i="193"/>
  <c r="E152" i="193"/>
  <c r="AB151" i="193"/>
  <c r="Z151" i="193"/>
  <c r="X151" i="193"/>
  <c r="V151" i="193"/>
  <c r="T151" i="193"/>
  <c r="S151" i="193"/>
  <c r="R151" i="193"/>
  <c r="Q151" i="193"/>
  <c r="P151" i="193"/>
  <c r="O151" i="193"/>
  <c r="N151" i="193"/>
  <c r="M151" i="193"/>
  <c r="L151" i="193"/>
  <c r="I151" i="193"/>
  <c r="E151" i="193"/>
  <c r="AB150" i="193"/>
  <c r="Z150" i="193"/>
  <c r="X150" i="193"/>
  <c r="V150" i="193"/>
  <c r="T150" i="193"/>
  <c r="S150" i="193"/>
  <c r="R150" i="193"/>
  <c r="Q150" i="193"/>
  <c r="P150" i="193"/>
  <c r="O150" i="193"/>
  <c r="N150" i="193"/>
  <c r="M150" i="193"/>
  <c r="L150" i="193"/>
  <c r="I150" i="193"/>
  <c r="E150" i="193"/>
  <c r="AB149" i="193"/>
  <c r="Z149" i="193"/>
  <c r="X149" i="193"/>
  <c r="V149" i="193"/>
  <c r="T149" i="193"/>
  <c r="S149" i="193"/>
  <c r="R149" i="193"/>
  <c r="Q149" i="193"/>
  <c r="P149" i="193"/>
  <c r="O149" i="193"/>
  <c r="N149" i="193"/>
  <c r="M149" i="193"/>
  <c r="L149" i="193"/>
  <c r="I149" i="193"/>
  <c r="F149" i="193"/>
  <c r="E149" i="193"/>
  <c r="AB148" i="193"/>
  <c r="Z148" i="193"/>
  <c r="X148" i="193"/>
  <c r="V148" i="193"/>
  <c r="T148" i="193"/>
  <c r="S148" i="193"/>
  <c r="R148" i="193"/>
  <c r="Q148" i="193"/>
  <c r="P148" i="193"/>
  <c r="O148" i="193"/>
  <c r="N148" i="193"/>
  <c r="M148" i="193"/>
  <c r="L148" i="193"/>
  <c r="I148" i="193"/>
  <c r="E148" i="193"/>
  <c r="AB147" i="193"/>
  <c r="Z147" i="193"/>
  <c r="X147" i="193"/>
  <c r="V147" i="193"/>
  <c r="T147" i="193"/>
  <c r="S147" i="193"/>
  <c r="R147" i="193"/>
  <c r="Q147" i="193"/>
  <c r="P147" i="193"/>
  <c r="O147" i="193"/>
  <c r="N147" i="193"/>
  <c r="M147" i="193"/>
  <c r="L147" i="193"/>
  <c r="I147" i="193"/>
  <c r="E147" i="193"/>
  <c r="AB146" i="193"/>
  <c r="Z146" i="193"/>
  <c r="X146" i="193"/>
  <c r="V146" i="193"/>
  <c r="T146" i="193"/>
  <c r="S146" i="193"/>
  <c r="R146" i="193"/>
  <c r="Q146" i="193"/>
  <c r="P146" i="193"/>
  <c r="O146" i="193"/>
  <c r="N146" i="193"/>
  <c r="M146" i="193"/>
  <c r="L146" i="193"/>
  <c r="I146" i="193"/>
  <c r="E146" i="193"/>
  <c r="AB145" i="193"/>
  <c r="Z145" i="193"/>
  <c r="X145" i="193"/>
  <c r="V145" i="193"/>
  <c r="T145" i="193"/>
  <c r="S145" i="193"/>
  <c r="R145" i="193"/>
  <c r="Q145" i="193"/>
  <c r="P145" i="193"/>
  <c r="O145" i="193"/>
  <c r="N145" i="193"/>
  <c r="M145" i="193"/>
  <c r="L145" i="193"/>
  <c r="I145" i="193"/>
  <c r="E145" i="193"/>
  <c r="AB144" i="193"/>
  <c r="Z144" i="193"/>
  <c r="X144" i="193"/>
  <c r="V144" i="193"/>
  <c r="T144" i="193"/>
  <c r="S144" i="193"/>
  <c r="R144" i="193"/>
  <c r="Q144" i="193"/>
  <c r="P144" i="193"/>
  <c r="O144" i="193"/>
  <c r="N144" i="193"/>
  <c r="M144" i="193"/>
  <c r="L144" i="193"/>
  <c r="I144" i="193"/>
  <c r="E144" i="193"/>
  <c r="AB143" i="193"/>
  <c r="Z143" i="193"/>
  <c r="X143" i="193"/>
  <c r="V143" i="193"/>
  <c r="T143" i="193"/>
  <c r="S143" i="193"/>
  <c r="R143" i="193"/>
  <c r="Q143" i="193"/>
  <c r="P143" i="193"/>
  <c r="O143" i="193"/>
  <c r="N143" i="193"/>
  <c r="M143" i="193"/>
  <c r="L143" i="193"/>
  <c r="I143" i="193"/>
  <c r="F143" i="193"/>
  <c r="E143" i="193"/>
  <c r="AB142" i="193"/>
  <c r="Z142" i="193"/>
  <c r="X142" i="193"/>
  <c r="V142" i="193"/>
  <c r="T142" i="193"/>
  <c r="S142" i="193"/>
  <c r="R142" i="193"/>
  <c r="Q142" i="193"/>
  <c r="P142" i="193"/>
  <c r="O142" i="193"/>
  <c r="N142" i="193"/>
  <c r="M142" i="193"/>
  <c r="L142" i="193"/>
  <c r="I142" i="193"/>
  <c r="E142" i="193"/>
  <c r="AB141" i="193"/>
  <c r="Z141" i="193"/>
  <c r="X141" i="193"/>
  <c r="V141" i="193"/>
  <c r="U141" i="193"/>
  <c r="T141" i="193"/>
  <c r="S141" i="193"/>
  <c r="R141" i="193"/>
  <c r="Q141" i="193"/>
  <c r="P141" i="193"/>
  <c r="O141" i="193"/>
  <c r="N141" i="193"/>
  <c r="M141" i="193"/>
  <c r="L141" i="193"/>
  <c r="I141" i="193"/>
  <c r="E141" i="193"/>
  <c r="AB140" i="193"/>
  <c r="Z140" i="193"/>
  <c r="X140" i="193"/>
  <c r="V140" i="193"/>
  <c r="U140" i="193"/>
  <c r="T140" i="193"/>
  <c r="S140" i="193"/>
  <c r="R140" i="193"/>
  <c r="Q140" i="193"/>
  <c r="P140" i="193"/>
  <c r="O140" i="193"/>
  <c r="N140" i="193"/>
  <c r="M140" i="193"/>
  <c r="L140" i="193"/>
  <c r="I140" i="193"/>
  <c r="F140" i="193"/>
  <c r="E140" i="193"/>
  <c r="AB139" i="193"/>
  <c r="Z139" i="193"/>
  <c r="X139" i="193"/>
  <c r="V139" i="193"/>
  <c r="U139" i="193"/>
  <c r="T139" i="193"/>
  <c r="S139" i="193"/>
  <c r="R139" i="193"/>
  <c r="Q139" i="193"/>
  <c r="P139" i="193"/>
  <c r="O139" i="193"/>
  <c r="N139" i="193"/>
  <c r="M139" i="193"/>
  <c r="L139" i="193"/>
  <c r="I139" i="193"/>
  <c r="F139" i="193"/>
  <c r="E139" i="193"/>
  <c r="AB138" i="193"/>
  <c r="Z138" i="193"/>
  <c r="X138" i="193"/>
  <c r="V138" i="193"/>
  <c r="U138" i="193"/>
  <c r="T138" i="193"/>
  <c r="S138" i="193"/>
  <c r="R138" i="193"/>
  <c r="Q138" i="193"/>
  <c r="P138" i="193"/>
  <c r="O138" i="193"/>
  <c r="N138" i="193"/>
  <c r="M138" i="193"/>
  <c r="L138" i="193"/>
  <c r="I138" i="193"/>
  <c r="E138" i="193"/>
  <c r="AB137" i="193"/>
  <c r="Z137" i="193"/>
  <c r="X137" i="193"/>
  <c r="V137" i="193"/>
  <c r="U137" i="193"/>
  <c r="T137" i="193"/>
  <c r="S137" i="193"/>
  <c r="R137" i="193"/>
  <c r="Q137" i="193"/>
  <c r="P137" i="193"/>
  <c r="O137" i="193"/>
  <c r="N137" i="193"/>
  <c r="M137" i="193"/>
  <c r="L137" i="193"/>
  <c r="I137" i="193"/>
  <c r="E137" i="193"/>
  <c r="AB136" i="193"/>
  <c r="Z136" i="193"/>
  <c r="X136" i="193"/>
  <c r="V136" i="193"/>
  <c r="U136" i="193"/>
  <c r="T136" i="193"/>
  <c r="S136" i="193"/>
  <c r="R136" i="193"/>
  <c r="Q136" i="193"/>
  <c r="P136" i="193"/>
  <c r="O136" i="193"/>
  <c r="N136" i="193"/>
  <c r="M136" i="193"/>
  <c r="L136" i="193"/>
  <c r="I136" i="193"/>
  <c r="E136" i="193"/>
  <c r="AB135" i="193"/>
  <c r="Z135" i="193"/>
  <c r="X135" i="193"/>
  <c r="V135" i="193"/>
  <c r="U135" i="193"/>
  <c r="T135" i="193"/>
  <c r="S135" i="193"/>
  <c r="R135" i="193"/>
  <c r="Q135" i="193"/>
  <c r="P135" i="193"/>
  <c r="O135" i="193"/>
  <c r="N135" i="193"/>
  <c r="M135" i="193"/>
  <c r="L135" i="193"/>
  <c r="I135" i="193"/>
  <c r="F135" i="193"/>
  <c r="E135" i="193"/>
  <c r="AB134" i="193"/>
  <c r="Z134" i="193"/>
  <c r="X134" i="193"/>
  <c r="V134" i="193"/>
  <c r="U134" i="193"/>
  <c r="T134" i="193"/>
  <c r="S134" i="193"/>
  <c r="R134" i="193"/>
  <c r="Q134" i="193"/>
  <c r="P134" i="193"/>
  <c r="O134" i="193"/>
  <c r="N134" i="193"/>
  <c r="M134" i="193"/>
  <c r="L134" i="193"/>
  <c r="I134" i="193"/>
  <c r="F134" i="193"/>
  <c r="E134" i="193"/>
  <c r="AB133" i="193"/>
  <c r="Z133" i="193"/>
  <c r="X133" i="193"/>
  <c r="V133" i="193"/>
  <c r="U133" i="193"/>
  <c r="T133" i="193"/>
  <c r="S133" i="193"/>
  <c r="R133" i="193"/>
  <c r="Q133" i="193"/>
  <c r="P133" i="193"/>
  <c r="O133" i="193"/>
  <c r="N133" i="193"/>
  <c r="M133" i="193"/>
  <c r="L133" i="193"/>
  <c r="I133" i="193"/>
  <c r="F133" i="193"/>
  <c r="E133" i="193"/>
  <c r="AB132" i="193"/>
  <c r="Z132" i="193"/>
  <c r="X132" i="193"/>
  <c r="V132" i="193"/>
  <c r="U132" i="193"/>
  <c r="T132" i="193"/>
  <c r="S132" i="193"/>
  <c r="R132" i="193"/>
  <c r="Q132" i="193"/>
  <c r="P132" i="193"/>
  <c r="O132" i="193"/>
  <c r="N132" i="193"/>
  <c r="M132" i="193"/>
  <c r="L132" i="193"/>
  <c r="I132" i="193"/>
  <c r="F132" i="193"/>
  <c r="E132" i="193"/>
  <c r="AB131" i="193"/>
  <c r="Z131" i="193"/>
  <c r="X131" i="193"/>
  <c r="V131" i="193"/>
  <c r="U131" i="193"/>
  <c r="T131" i="193"/>
  <c r="S131" i="193"/>
  <c r="R131" i="193"/>
  <c r="Q131" i="193"/>
  <c r="P131" i="193"/>
  <c r="O131" i="193"/>
  <c r="N131" i="193"/>
  <c r="M131" i="193"/>
  <c r="L131" i="193"/>
  <c r="I131" i="193"/>
  <c r="F131" i="193"/>
  <c r="E131" i="193"/>
  <c r="AB130" i="193"/>
  <c r="Z130" i="193"/>
  <c r="X130" i="193"/>
  <c r="V130" i="193"/>
  <c r="U130" i="193"/>
  <c r="T130" i="193"/>
  <c r="S130" i="193"/>
  <c r="R130" i="193"/>
  <c r="Q130" i="193"/>
  <c r="P130" i="193"/>
  <c r="O130" i="193"/>
  <c r="N130" i="193"/>
  <c r="M130" i="193"/>
  <c r="L130" i="193"/>
  <c r="I130" i="193"/>
  <c r="E130" i="193"/>
  <c r="AB129" i="193"/>
  <c r="Z129" i="193"/>
  <c r="X129" i="193"/>
  <c r="V129" i="193"/>
  <c r="U129" i="193"/>
  <c r="T129" i="193"/>
  <c r="S129" i="193"/>
  <c r="R129" i="193"/>
  <c r="Q129" i="193"/>
  <c r="P129" i="193"/>
  <c r="O129" i="193"/>
  <c r="N129" i="193"/>
  <c r="M129" i="193"/>
  <c r="L129" i="193"/>
  <c r="I129" i="193"/>
  <c r="E129" i="193"/>
  <c r="AB125" i="193"/>
  <c r="Z125" i="193"/>
  <c r="X125" i="193"/>
  <c r="V125" i="193"/>
  <c r="T125" i="193"/>
  <c r="S125" i="193"/>
  <c r="R125" i="193"/>
  <c r="Q125" i="193"/>
  <c r="P125" i="193"/>
  <c r="O125" i="193"/>
  <c r="N125" i="193"/>
  <c r="M125" i="193"/>
  <c r="L125" i="193"/>
  <c r="I125" i="193"/>
  <c r="E125" i="193"/>
  <c r="AB124" i="193"/>
  <c r="Z124" i="193"/>
  <c r="X124" i="193"/>
  <c r="V124" i="193"/>
  <c r="T124" i="193"/>
  <c r="S124" i="193"/>
  <c r="R124" i="193"/>
  <c r="Q124" i="193"/>
  <c r="P124" i="193"/>
  <c r="O124" i="193"/>
  <c r="N124" i="193"/>
  <c r="M124" i="193"/>
  <c r="L124" i="193"/>
  <c r="I124" i="193"/>
  <c r="E124" i="193"/>
  <c r="AB123" i="193"/>
  <c r="Z123" i="193"/>
  <c r="X123" i="193"/>
  <c r="V123" i="193"/>
  <c r="T123" i="193"/>
  <c r="S123" i="193"/>
  <c r="R123" i="193"/>
  <c r="Q123" i="193"/>
  <c r="P123" i="193"/>
  <c r="O123" i="193"/>
  <c r="N123" i="193"/>
  <c r="M123" i="193"/>
  <c r="L123" i="193"/>
  <c r="I123" i="193"/>
  <c r="E123" i="193"/>
  <c r="AB122" i="193"/>
  <c r="Z122" i="193"/>
  <c r="X122" i="193"/>
  <c r="V122" i="193"/>
  <c r="U122" i="193"/>
  <c r="T122" i="193"/>
  <c r="S122" i="193"/>
  <c r="R122" i="193"/>
  <c r="Q122" i="193"/>
  <c r="P122" i="193"/>
  <c r="O122" i="193"/>
  <c r="N122" i="193"/>
  <c r="M122" i="193"/>
  <c r="L122" i="193"/>
  <c r="I122" i="193"/>
  <c r="F122" i="193"/>
  <c r="E122" i="193"/>
  <c r="AB121" i="193"/>
  <c r="Z121" i="193"/>
  <c r="X121" i="193"/>
  <c r="V121" i="193"/>
  <c r="U121" i="193"/>
  <c r="T121" i="193"/>
  <c r="S121" i="193"/>
  <c r="R121" i="193"/>
  <c r="Q121" i="193"/>
  <c r="P121" i="193"/>
  <c r="O121" i="193"/>
  <c r="N121" i="193"/>
  <c r="M121" i="193"/>
  <c r="L121" i="193"/>
  <c r="I121" i="193"/>
  <c r="F121" i="193"/>
  <c r="E121" i="193"/>
  <c r="AB120" i="193"/>
  <c r="Z120" i="193"/>
  <c r="X120" i="193"/>
  <c r="V120" i="193"/>
  <c r="U120" i="193"/>
  <c r="T120" i="193"/>
  <c r="S120" i="193"/>
  <c r="R120" i="193"/>
  <c r="Q120" i="193"/>
  <c r="P120" i="193"/>
  <c r="O120" i="193"/>
  <c r="N120" i="193"/>
  <c r="M120" i="193"/>
  <c r="L120" i="193"/>
  <c r="I120" i="193"/>
  <c r="E120" i="193"/>
  <c r="AB119" i="193"/>
  <c r="Z119" i="193"/>
  <c r="X119" i="193"/>
  <c r="V119" i="193"/>
  <c r="U119" i="193"/>
  <c r="T119" i="193"/>
  <c r="S119" i="193"/>
  <c r="R119" i="193"/>
  <c r="Q119" i="193"/>
  <c r="P119" i="193"/>
  <c r="O119" i="193"/>
  <c r="N119" i="193"/>
  <c r="M119" i="193"/>
  <c r="L119" i="193"/>
  <c r="I119" i="193"/>
  <c r="E119" i="193"/>
  <c r="AB118" i="193"/>
  <c r="Z118" i="193"/>
  <c r="X118" i="193"/>
  <c r="V118" i="193"/>
  <c r="U118" i="193"/>
  <c r="T118" i="193"/>
  <c r="S118" i="193"/>
  <c r="R118" i="193"/>
  <c r="Q118" i="193"/>
  <c r="P118" i="193"/>
  <c r="O118" i="193"/>
  <c r="N118" i="193"/>
  <c r="M118" i="193"/>
  <c r="L118" i="193"/>
  <c r="I118" i="193"/>
  <c r="F118" i="193"/>
  <c r="E118" i="193"/>
  <c r="AB117" i="193"/>
  <c r="Z117" i="193"/>
  <c r="X117" i="193"/>
  <c r="V117" i="193"/>
  <c r="U117" i="193"/>
  <c r="T117" i="193"/>
  <c r="S117" i="193"/>
  <c r="R117" i="193"/>
  <c r="Q117" i="193"/>
  <c r="P117" i="193"/>
  <c r="O117" i="193"/>
  <c r="N117" i="193"/>
  <c r="M117" i="193"/>
  <c r="L117" i="193"/>
  <c r="I117" i="193"/>
  <c r="F117" i="193"/>
  <c r="E117" i="193"/>
  <c r="AB116" i="193"/>
  <c r="Z116" i="193"/>
  <c r="X116" i="193"/>
  <c r="V116" i="193"/>
  <c r="U116" i="193"/>
  <c r="T116" i="193"/>
  <c r="S116" i="193"/>
  <c r="R116" i="193"/>
  <c r="Q116" i="193"/>
  <c r="P116" i="193"/>
  <c r="O116" i="193"/>
  <c r="N116" i="193"/>
  <c r="M116" i="193"/>
  <c r="L116" i="193"/>
  <c r="I116" i="193"/>
  <c r="F116" i="193"/>
  <c r="E116" i="193"/>
  <c r="AB112" i="193"/>
  <c r="Z112" i="193"/>
  <c r="X112" i="193"/>
  <c r="V112" i="193"/>
  <c r="U112" i="193"/>
  <c r="T112" i="193"/>
  <c r="S112" i="193"/>
  <c r="R112" i="193"/>
  <c r="Q112" i="193"/>
  <c r="P112" i="193"/>
  <c r="O112" i="193"/>
  <c r="N112" i="193"/>
  <c r="M112" i="193"/>
  <c r="L112" i="193"/>
  <c r="I112" i="193"/>
  <c r="F112" i="193"/>
  <c r="E112" i="193"/>
  <c r="AB111" i="193"/>
  <c r="Z111" i="193"/>
  <c r="X111" i="193"/>
  <c r="V111" i="193"/>
  <c r="U111" i="193"/>
  <c r="T111" i="193"/>
  <c r="S111" i="193"/>
  <c r="R111" i="193"/>
  <c r="Q111" i="193"/>
  <c r="P111" i="193"/>
  <c r="O111" i="193"/>
  <c r="N111" i="193"/>
  <c r="M111" i="193"/>
  <c r="L111" i="193"/>
  <c r="I111" i="193"/>
  <c r="E111" i="193"/>
  <c r="AB110" i="193"/>
  <c r="Z110" i="193"/>
  <c r="X110" i="193"/>
  <c r="V110" i="193"/>
  <c r="U110" i="193"/>
  <c r="T110" i="193"/>
  <c r="S110" i="193"/>
  <c r="R110" i="193"/>
  <c r="Q110" i="193"/>
  <c r="P110" i="193"/>
  <c r="O110" i="193"/>
  <c r="N110" i="193"/>
  <c r="M110" i="193"/>
  <c r="L110" i="193"/>
  <c r="I110" i="193"/>
  <c r="F110" i="193"/>
  <c r="E110" i="193"/>
  <c r="AB106" i="193"/>
  <c r="Z106" i="193"/>
  <c r="X106" i="193"/>
  <c r="V106" i="193"/>
  <c r="T106" i="193"/>
  <c r="S106" i="193"/>
  <c r="R106" i="193"/>
  <c r="Q106" i="193"/>
  <c r="P106" i="193"/>
  <c r="O106" i="193"/>
  <c r="N106" i="193"/>
  <c r="M106" i="193"/>
  <c r="L106" i="193"/>
  <c r="I106" i="193"/>
  <c r="E106" i="193"/>
  <c r="AB105" i="193"/>
  <c r="Z105" i="193"/>
  <c r="X105" i="193"/>
  <c r="V105" i="193"/>
  <c r="U105" i="193"/>
  <c r="T105" i="193"/>
  <c r="S105" i="193"/>
  <c r="R105" i="193"/>
  <c r="Q105" i="193"/>
  <c r="P105" i="193"/>
  <c r="O105" i="193"/>
  <c r="N105" i="193"/>
  <c r="M105" i="193"/>
  <c r="L105" i="193"/>
  <c r="I105" i="193"/>
  <c r="E105" i="193"/>
  <c r="AB104" i="193"/>
  <c r="Z104" i="193"/>
  <c r="X104" i="193"/>
  <c r="V104" i="193"/>
  <c r="U104" i="193"/>
  <c r="T104" i="193"/>
  <c r="S104" i="193"/>
  <c r="R104" i="193"/>
  <c r="Q104" i="193"/>
  <c r="P104" i="193"/>
  <c r="O104" i="193"/>
  <c r="N104" i="193"/>
  <c r="M104" i="193"/>
  <c r="L104" i="193"/>
  <c r="I104" i="193"/>
  <c r="E104" i="193"/>
  <c r="AB103" i="193"/>
  <c r="Z103" i="193"/>
  <c r="X103" i="193"/>
  <c r="V103" i="193"/>
  <c r="U103" i="193"/>
  <c r="T103" i="193"/>
  <c r="S103" i="193"/>
  <c r="R103" i="193"/>
  <c r="Q103" i="193"/>
  <c r="P103" i="193"/>
  <c r="O103" i="193"/>
  <c r="N103" i="193"/>
  <c r="M103" i="193"/>
  <c r="L103" i="193"/>
  <c r="I103" i="193"/>
  <c r="E103" i="193"/>
  <c r="AB102" i="193"/>
  <c r="Z102" i="193"/>
  <c r="X102" i="193"/>
  <c r="V102" i="193"/>
  <c r="U102" i="193"/>
  <c r="T102" i="193"/>
  <c r="S102" i="193"/>
  <c r="R102" i="193"/>
  <c r="Q102" i="193"/>
  <c r="P102" i="193"/>
  <c r="O102" i="193"/>
  <c r="N102" i="193"/>
  <c r="M102" i="193"/>
  <c r="L102" i="193"/>
  <c r="I102" i="193"/>
  <c r="F102" i="193"/>
  <c r="E102" i="193"/>
  <c r="AB101" i="193"/>
  <c r="Z101" i="193"/>
  <c r="X101" i="193"/>
  <c r="V101" i="193"/>
  <c r="U101" i="193"/>
  <c r="T101" i="193"/>
  <c r="S101" i="193"/>
  <c r="R101" i="193"/>
  <c r="Q101" i="193"/>
  <c r="P101" i="193"/>
  <c r="O101" i="193"/>
  <c r="N101" i="193"/>
  <c r="M101" i="193"/>
  <c r="L101" i="193"/>
  <c r="I101" i="193"/>
  <c r="F101" i="193"/>
  <c r="E101" i="193"/>
  <c r="AB100" i="193"/>
  <c r="Z100" i="193"/>
  <c r="X100" i="193"/>
  <c r="V100" i="193"/>
  <c r="U100" i="193"/>
  <c r="T100" i="193"/>
  <c r="S100" i="193"/>
  <c r="R100" i="193"/>
  <c r="Q100" i="193"/>
  <c r="P100" i="193"/>
  <c r="O100" i="193"/>
  <c r="N100" i="193"/>
  <c r="M100" i="193"/>
  <c r="L100" i="193"/>
  <c r="I100" i="193"/>
  <c r="E100" i="193"/>
  <c r="AB96" i="193"/>
  <c r="Z96" i="193"/>
  <c r="X96" i="193"/>
  <c r="V96" i="193"/>
  <c r="T96" i="193"/>
  <c r="S96" i="193"/>
  <c r="R96" i="193"/>
  <c r="Q96" i="193"/>
  <c r="P96" i="193"/>
  <c r="O96" i="193"/>
  <c r="N96" i="193"/>
  <c r="M96" i="193"/>
  <c r="L96" i="193"/>
  <c r="I96" i="193"/>
  <c r="E96" i="193"/>
  <c r="AB95" i="193"/>
  <c r="Z95" i="193"/>
  <c r="X95" i="193"/>
  <c r="V95" i="193"/>
  <c r="U95" i="193"/>
  <c r="T95" i="193"/>
  <c r="S95" i="193"/>
  <c r="R95" i="193"/>
  <c r="Q95" i="193"/>
  <c r="P95" i="193"/>
  <c r="O95" i="193"/>
  <c r="N95" i="193"/>
  <c r="M95" i="193"/>
  <c r="L95" i="193"/>
  <c r="I95" i="193"/>
  <c r="E95" i="193"/>
  <c r="AB94" i="193"/>
  <c r="Z94" i="193"/>
  <c r="X94" i="193"/>
  <c r="V94" i="193"/>
  <c r="U94" i="193"/>
  <c r="T94" i="193"/>
  <c r="S94" i="193"/>
  <c r="R94" i="193"/>
  <c r="Q94" i="193"/>
  <c r="P94" i="193"/>
  <c r="O94" i="193"/>
  <c r="N94" i="193"/>
  <c r="M94" i="193"/>
  <c r="L94" i="193"/>
  <c r="I94" i="193"/>
  <c r="E94" i="193"/>
  <c r="AB93" i="193"/>
  <c r="Z93" i="193"/>
  <c r="X93" i="193"/>
  <c r="V93" i="193"/>
  <c r="U93" i="193"/>
  <c r="T93" i="193"/>
  <c r="S93" i="193"/>
  <c r="R93" i="193"/>
  <c r="Q93" i="193"/>
  <c r="P93" i="193"/>
  <c r="O93" i="193"/>
  <c r="N93" i="193"/>
  <c r="M93" i="193"/>
  <c r="L93" i="193"/>
  <c r="I93" i="193"/>
  <c r="G93" i="193"/>
  <c r="F93" i="193"/>
  <c r="E93" i="193"/>
  <c r="AB89" i="193"/>
  <c r="Z89" i="193"/>
  <c r="X89" i="193"/>
  <c r="V89" i="193"/>
  <c r="T89" i="193"/>
  <c r="S89" i="193"/>
  <c r="R89" i="193"/>
  <c r="Q89" i="193"/>
  <c r="P89" i="193"/>
  <c r="O89" i="193"/>
  <c r="N89" i="193"/>
  <c r="M89" i="193"/>
  <c r="L89" i="193"/>
  <c r="I89" i="193"/>
  <c r="E89" i="193"/>
  <c r="AB88" i="193"/>
  <c r="Z88" i="193"/>
  <c r="X88" i="193"/>
  <c r="V88" i="193"/>
  <c r="U88" i="193"/>
  <c r="T88" i="193"/>
  <c r="S88" i="193"/>
  <c r="R88" i="193"/>
  <c r="Q88" i="193"/>
  <c r="P88" i="193"/>
  <c r="O88" i="193"/>
  <c r="N88" i="193"/>
  <c r="M88" i="193"/>
  <c r="L88" i="193"/>
  <c r="I88" i="193"/>
  <c r="E88" i="193"/>
  <c r="AB87" i="193"/>
  <c r="Z87" i="193"/>
  <c r="X87" i="193"/>
  <c r="V87" i="193"/>
  <c r="U87" i="193"/>
  <c r="T87" i="193"/>
  <c r="S87" i="193"/>
  <c r="R87" i="193"/>
  <c r="Q87" i="193"/>
  <c r="P87" i="193"/>
  <c r="O87" i="193"/>
  <c r="N87" i="193"/>
  <c r="M87" i="193"/>
  <c r="L87" i="193"/>
  <c r="I87" i="193"/>
  <c r="F87" i="193"/>
  <c r="E87" i="193"/>
  <c r="AB86" i="193"/>
  <c r="Z86" i="193"/>
  <c r="X86" i="193"/>
  <c r="V86" i="193"/>
  <c r="U86" i="193"/>
  <c r="T86" i="193"/>
  <c r="S86" i="193"/>
  <c r="R86" i="193"/>
  <c r="Q86" i="193"/>
  <c r="P86" i="193"/>
  <c r="O86" i="193"/>
  <c r="N86" i="193"/>
  <c r="M86" i="193"/>
  <c r="L86" i="193"/>
  <c r="I86" i="193"/>
  <c r="G86" i="193"/>
  <c r="E86" i="193"/>
  <c r="AB85" i="193"/>
  <c r="Z85" i="193"/>
  <c r="X85" i="193"/>
  <c r="V85" i="193"/>
  <c r="U85" i="193"/>
  <c r="T85" i="193"/>
  <c r="S85" i="193"/>
  <c r="R85" i="193"/>
  <c r="Q85" i="193"/>
  <c r="P85" i="193"/>
  <c r="O85" i="193"/>
  <c r="N85" i="193"/>
  <c r="M85" i="193"/>
  <c r="L85" i="193"/>
  <c r="I85" i="193"/>
  <c r="E85" i="193"/>
  <c r="AB84" i="193"/>
  <c r="Z84" i="193"/>
  <c r="X84" i="193"/>
  <c r="V84" i="193"/>
  <c r="U84" i="193"/>
  <c r="T84" i="193"/>
  <c r="S84" i="193"/>
  <c r="R84" i="193"/>
  <c r="Q84" i="193"/>
  <c r="P84" i="193"/>
  <c r="O84" i="193"/>
  <c r="N84" i="193"/>
  <c r="M84" i="193"/>
  <c r="L84" i="193"/>
  <c r="I84" i="193"/>
  <c r="E84" i="193"/>
  <c r="AB83" i="193"/>
  <c r="Z83" i="193"/>
  <c r="X83" i="193"/>
  <c r="V83" i="193"/>
  <c r="U83" i="193"/>
  <c r="T83" i="193"/>
  <c r="S83" i="193"/>
  <c r="R83" i="193"/>
  <c r="Q83" i="193"/>
  <c r="P83" i="193"/>
  <c r="O83" i="193"/>
  <c r="N83" i="193"/>
  <c r="M83" i="193"/>
  <c r="L83" i="193"/>
  <c r="I83" i="193"/>
  <c r="E83" i="193"/>
  <c r="AB82" i="193"/>
  <c r="Z82" i="193"/>
  <c r="X82" i="193"/>
  <c r="V82" i="193"/>
  <c r="U82" i="193"/>
  <c r="T82" i="193"/>
  <c r="S82" i="193"/>
  <c r="R82" i="193"/>
  <c r="Q82" i="193"/>
  <c r="P82" i="193"/>
  <c r="O82" i="193"/>
  <c r="N82" i="193"/>
  <c r="M82" i="193"/>
  <c r="L82" i="193"/>
  <c r="I82" i="193"/>
  <c r="E82" i="193"/>
  <c r="AB81" i="193"/>
  <c r="Z81" i="193"/>
  <c r="X81" i="193"/>
  <c r="V81" i="193"/>
  <c r="U81" i="193"/>
  <c r="T81" i="193"/>
  <c r="S81" i="193"/>
  <c r="R81" i="193"/>
  <c r="Q81" i="193"/>
  <c r="P81" i="193"/>
  <c r="O81" i="193"/>
  <c r="N81" i="193"/>
  <c r="M81" i="193"/>
  <c r="L81" i="193"/>
  <c r="I81" i="193"/>
  <c r="G81" i="193"/>
  <c r="F81" i="193"/>
  <c r="E81" i="193"/>
  <c r="AB80" i="193"/>
  <c r="Z80" i="193"/>
  <c r="X80" i="193"/>
  <c r="V80" i="193"/>
  <c r="U80" i="193"/>
  <c r="T80" i="193"/>
  <c r="S80" i="193"/>
  <c r="R80" i="193"/>
  <c r="Q80" i="193"/>
  <c r="P80" i="193"/>
  <c r="O80" i="193"/>
  <c r="N80" i="193"/>
  <c r="M80" i="193"/>
  <c r="L80" i="193"/>
  <c r="I80" i="193"/>
  <c r="E80" i="193"/>
  <c r="AB76" i="193"/>
  <c r="Z76" i="193"/>
  <c r="X76" i="193"/>
  <c r="V76" i="193"/>
  <c r="T76" i="193"/>
  <c r="S76" i="193"/>
  <c r="R76" i="193"/>
  <c r="Q76" i="193"/>
  <c r="P76" i="193"/>
  <c r="O76" i="193"/>
  <c r="N76" i="193"/>
  <c r="M76" i="193"/>
  <c r="L76" i="193"/>
  <c r="I76" i="193"/>
  <c r="E76" i="193"/>
  <c r="AB75" i="193"/>
  <c r="Z75" i="193"/>
  <c r="X75" i="193"/>
  <c r="V75" i="193"/>
  <c r="T75" i="193"/>
  <c r="S75" i="193"/>
  <c r="R75" i="193"/>
  <c r="Q75" i="193"/>
  <c r="P75" i="193"/>
  <c r="O75" i="193"/>
  <c r="N75" i="193"/>
  <c r="M75" i="193"/>
  <c r="L75" i="193"/>
  <c r="I75" i="193"/>
  <c r="E75" i="193"/>
  <c r="AB74" i="193"/>
  <c r="Z74" i="193"/>
  <c r="X74" i="193"/>
  <c r="V74" i="193"/>
  <c r="U74" i="193"/>
  <c r="T74" i="193"/>
  <c r="S74" i="193"/>
  <c r="R74" i="193"/>
  <c r="Q74" i="193"/>
  <c r="P74" i="193"/>
  <c r="O74" i="193"/>
  <c r="N74" i="193"/>
  <c r="M74" i="193"/>
  <c r="L74" i="193"/>
  <c r="I74" i="193"/>
  <c r="E74" i="193"/>
  <c r="AB73" i="193"/>
  <c r="Z73" i="193"/>
  <c r="X73" i="193"/>
  <c r="V73" i="193"/>
  <c r="U73" i="193"/>
  <c r="T73" i="193"/>
  <c r="S73" i="193"/>
  <c r="R73" i="193"/>
  <c r="Q73" i="193"/>
  <c r="P73" i="193"/>
  <c r="O73" i="193"/>
  <c r="N73" i="193"/>
  <c r="M73" i="193"/>
  <c r="L73" i="193"/>
  <c r="I73" i="193"/>
  <c r="F73" i="193"/>
  <c r="E73" i="193"/>
  <c r="AB72" i="193"/>
  <c r="Z72" i="193"/>
  <c r="X72" i="193"/>
  <c r="V72" i="193"/>
  <c r="U72" i="193"/>
  <c r="T72" i="193"/>
  <c r="S72" i="193"/>
  <c r="R72" i="193"/>
  <c r="Q72" i="193"/>
  <c r="P72" i="193"/>
  <c r="O72" i="193"/>
  <c r="N72" i="193"/>
  <c r="M72" i="193"/>
  <c r="L72" i="193"/>
  <c r="I72" i="193"/>
  <c r="E72" i="193"/>
  <c r="C72" i="193"/>
  <c r="AB71" i="193"/>
  <c r="Z71" i="193"/>
  <c r="X71" i="193"/>
  <c r="V71" i="193"/>
  <c r="U71" i="193"/>
  <c r="T71" i="193"/>
  <c r="S71" i="193"/>
  <c r="R71" i="193"/>
  <c r="Q71" i="193"/>
  <c r="P71" i="193"/>
  <c r="O71" i="193"/>
  <c r="N71" i="193"/>
  <c r="M71" i="193"/>
  <c r="L71" i="193"/>
  <c r="I71" i="193"/>
  <c r="E71" i="193"/>
  <c r="AB70" i="193"/>
  <c r="Z70" i="193"/>
  <c r="X70" i="193"/>
  <c r="V70" i="193"/>
  <c r="U70" i="193"/>
  <c r="T70" i="193"/>
  <c r="S70" i="193"/>
  <c r="R70" i="193"/>
  <c r="Q70" i="193"/>
  <c r="P70" i="193"/>
  <c r="O70" i="193"/>
  <c r="N70" i="193"/>
  <c r="M70" i="193"/>
  <c r="L70" i="193"/>
  <c r="I70" i="193"/>
  <c r="E70" i="193"/>
  <c r="AB66" i="193"/>
  <c r="Z66" i="193"/>
  <c r="X66" i="193"/>
  <c r="V66" i="193"/>
  <c r="U66" i="193"/>
  <c r="T66" i="193"/>
  <c r="S66" i="193"/>
  <c r="R66" i="193"/>
  <c r="Q66" i="193"/>
  <c r="P66" i="193"/>
  <c r="O66" i="193"/>
  <c r="N66" i="193"/>
  <c r="M66" i="193"/>
  <c r="L66" i="193"/>
  <c r="I66" i="193"/>
  <c r="E66" i="193"/>
  <c r="AB65" i="193"/>
  <c r="Z65" i="193"/>
  <c r="X65" i="193"/>
  <c r="V65" i="193"/>
  <c r="U65" i="193"/>
  <c r="T65" i="193"/>
  <c r="S65" i="193"/>
  <c r="R65" i="193"/>
  <c r="Q65" i="193"/>
  <c r="P65" i="193"/>
  <c r="O65" i="193"/>
  <c r="N65" i="193"/>
  <c r="M65" i="193"/>
  <c r="L65" i="193"/>
  <c r="I65" i="193"/>
  <c r="E65" i="193"/>
  <c r="AB64" i="193"/>
  <c r="Z64" i="193"/>
  <c r="X64" i="193"/>
  <c r="V64" i="193"/>
  <c r="U64" i="193"/>
  <c r="T64" i="193"/>
  <c r="S64" i="193"/>
  <c r="R64" i="193"/>
  <c r="Q64" i="193"/>
  <c r="P64" i="193"/>
  <c r="O64" i="193"/>
  <c r="N64" i="193"/>
  <c r="M64" i="193"/>
  <c r="L64" i="193"/>
  <c r="I64" i="193"/>
  <c r="E64" i="193"/>
  <c r="AB63" i="193"/>
  <c r="Z63" i="193"/>
  <c r="X63" i="193"/>
  <c r="V63" i="193"/>
  <c r="U63" i="193"/>
  <c r="T63" i="193"/>
  <c r="S63" i="193"/>
  <c r="R63" i="193"/>
  <c r="Q63" i="193"/>
  <c r="P63" i="193"/>
  <c r="O63" i="193"/>
  <c r="N63" i="193"/>
  <c r="M63" i="193"/>
  <c r="L63" i="193"/>
  <c r="I63" i="193"/>
  <c r="E63" i="193"/>
  <c r="AB62" i="193"/>
  <c r="Z62" i="193"/>
  <c r="X62" i="193"/>
  <c r="V62" i="193"/>
  <c r="U62" i="193"/>
  <c r="T62" i="193"/>
  <c r="S62" i="193"/>
  <c r="R62" i="193"/>
  <c r="Q62" i="193"/>
  <c r="P62" i="193"/>
  <c r="O62" i="193"/>
  <c r="N62" i="193"/>
  <c r="M62" i="193"/>
  <c r="L62" i="193"/>
  <c r="I62" i="193"/>
  <c r="E62" i="193"/>
  <c r="AB61" i="193"/>
  <c r="Z61" i="193"/>
  <c r="X61" i="193"/>
  <c r="V61" i="193"/>
  <c r="U61" i="193"/>
  <c r="T61" i="193"/>
  <c r="S61" i="193"/>
  <c r="R61" i="193"/>
  <c r="Q61" i="193"/>
  <c r="P61" i="193"/>
  <c r="O61" i="193"/>
  <c r="N61" i="193"/>
  <c r="M61" i="193"/>
  <c r="L61" i="193"/>
  <c r="I61" i="193"/>
  <c r="E61" i="193"/>
  <c r="AB60" i="193"/>
  <c r="Z60" i="193"/>
  <c r="X60" i="193"/>
  <c r="V60" i="193"/>
  <c r="U60" i="193"/>
  <c r="T60" i="193"/>
  <c r="S60" i="193"/>
  <c r="R60" i="193"/>
  <c r="Q60" i="193"/>
  <c r="P60" i="193"/>
  <c r="O60" i="193"/>
  <c r="N60" i="193"/>
  <c r="M60" i="193"/>
  <c r="L60" i="193"/>
  <c r="I60" i="193"/>
  <c r="E60" i="193"/>
  <c r="AB59" i="193"/>
  <c r="Z59" i="193"/>
  <c r="X59" i="193"/>
  <c r="V59" i="193"/>
  <c r="U59" i="193"/>
  <c r="T59" i="193"/>
  <c r="S59" i="193"/>
  <c r="R59" i="193"/>
  <c r="Q59" i="193"/>
  <c r="P59" i="193"/>
  <c r="O59" i="193"/>
  <c r="N59" i="193"/>
  <c r="M59" i="193"/>
  <c r="L59" i="193"/>
  <c r="I59" i="193"/>
  <c r="E59" i="193"/>
  <c r="AB58" i="193"/>
  <c r="Z58" i="193"/>
  <c r="X58" i="193"/>
  <c r="V58" i="193"/>
  <c r="U58" i="193"/>
  <c r="T58" i="193"/>
  <c r="S58" i="193"/>
  <c r="R58" i="193"/>
  <c r="Q58" i="193"/>
  <c r="P58" i="193"/>
  <c r="O58" i="193"/>
  <c r="N58" i="193"/>
  <c r="M58" i="193"/>
  <c r="L58" i="193"/>
  <c r="I58" i="193"/>
  <c r="G58" i="193"/>
  <c r="E58" i="193"/>
  <c r="AB57" i="193"/>
  <c r="Z57" i="193"/>
  <c r="X57" i="193"/>
  <c r="V57" i="193"/>
  <c r="U57" i="193"/>
  <c r="T57" i="193"/>
  <c r="S57" i="193"/>
  <c r="R57" i="193"/>
  <c r="Q57" i="193"/>
  <c r="P57" i="193"/>
  <c r="O57" i="193"/>
  <c r="N57" i="193"/>
  <c r="M57" i="193"/>
  <c r="L57" i="193"/>
  <c r="I57" i="193"/>
  <c r="E57" i="193"/>
  <c r="AB54" i="193"/>
  <c r="Z54" i="193"/>
  <c r="X54" i="193"/>
  <c r="V54" i="193"/>
  <c r="U54" i="193"/>
  <c r="T54" i="193"/>
  <c r="S54" i="193"/>
  <c r="R54" i="193"/>
  <c r="Q54" i="193"/>
  <c r="P54" i="193"/>
  <c r="O54" i="193"/>
  <c r="N54" i="193"/>
  <c r="M54" i="193"/>
  <c r="L54" i="193"/>
  <c r="I54" i="193"/>
  <c r="E54" i="193"/>
  <c r="AB53" i="193"/>
  <c r="Z53" i="193"/>
  <c r="X53" i="193"/>
  <c r="V53" i="193"/>
  <c r="U53" i="193"/>
  <c r="T53" i="193"/>
  <c r="S53" i="193"/>
  <c r="R53" i="193"/>
  <c r="Q53" i="193"/>
  <c r="P53" i="193"/>
  <c r="O53" i="193"/>
  <c r="N53" i="193"/>
  <c r="M53" i="193"/>
  <c r="L53" i="193"/>
  <c r="I53" i="193"/>
  <c r="E53" i="193"/>
  <c r="AB50" i="193"/>
  <c r="Z50" i="193"/>
  <c r="X50" i="193"/>
  <c r="V50" i="193"/>
  <c r="T50" i="193"/>
  <c r="S50" i="193"/>
  <c r="R50" i="193"/>
  <c r="Q50" i="193"/>
  <c r="P50" i="193"/>
  <c r="O50" i="193"/>
  <c r="N50" i="193"/>
  <c r="M50" i="193"/>
  <c r="L50" i="193"/>
  <c r="I50" i="193"/>
  <c r="E50" i="193"/>
  <c r="AB49" i="193"/>
  <c r="Z49" i="193"/>
  <c r="X49" i="193"/>
  <c r="V49" i="193"/>
  <c r="T49" i="193"/>
  <c r="S49" i="193"/>
  <c r="R49" i="193"/>
  <c r="Q49" i="193"/>
  <c r="P49" i="193"/>
  <c r="O49" i="193"/>
  <c r="N49" i="193"/>
  <c r="M49" i="193"/>
  <c r="L49" i="193"/>
  <c r="I49" i="193"/>
  <c r="E49" i="193"/>
  <c r="AB48" i="193"/>
  <c r="Z48" i="193"/>
  <c r="X48" i="193"/>
  <c r="V48" i="193"/>
  <c r="T48" i="193"/>
  <c r="S48" i="193"/>
  <c r="R48" i="193"/>
  <c r="Q48" i="193"/>
  <c r="P48" i="193"/>
  <c r="O48" i="193"/>
  <c r="N48" i="193"/>
  <c r="M48" i="193"/>
  <c r="L48" i="193"/>
  <c r="I48" i="193"/>
  <c r="E48" i="193"/>
  <c r="AB47" i="193"/>
  <c r="Z47" i="193"/>
  <c r="X47" i="193"/>
  <c r="V47" i="193"/>
  <c r="U47" i="193"/>
  <c r="T47" i="193"/>
  <c r="S47" i="193"/>
  <c r="R47" i="193"/>
  <c r="Q47" i="193"/>
  <c r="P47" i="193"/>
  <c r="O47" i="193"/>
  <c r="N47" i="193"/>
  <c r="M47" i="193"/>
  <c r="L47" i="193"/>
  <c r="I47" i="193"/>
  <c r="E47" i="193"/>
  <c r="AB46" i="193"/>
  <c r="Z46" i="193"/>
  <c r="X46" i="193"/>
  <c r="V46" i="193"/>
  <c r="U46" i="193"/>
  <c r="T46" i="193"/>
  <c r="S46" i="193"/>
  <c r="R46" i="193"/>
  <c r="Q46" i="193"/>
  <c r="P46" i="193"/>
  <c r="O46" i="193"/>
  <c r="N46" i="193"/>
  <c r="M46" i="193"/>
  <c r="L46" i="193"/>
  <c r="I46" i="193"/>
  <c r="E46" i="193"/>
  <c r="AB45" i="193"/>
  <c r="Z45" i="193"/>
  <c r="X45" i="193"/>
  <c r="V45" i="193"/>
  <c r="U45" i="193"/>
  <c r="T45" i="193"/>
  <c r="S45" i="193"/>
  <c r="R45" i="193"/>
  <c r="Q45" i="193"/>
  <c r="P45" i="193"/>
  <c r="O45" i="193"/>
  <c r="N45" i="193"/>
  <c r="M45" i="193"/>
  <c r="L45" i="193"/>
  <c r="I45" i="193"/>
  <c r="E45" i="193"/>
  <c r="AB44" i="193"/>
  <c r="Z44" i="193"/>
  <c r="X44" i="193"/>
  <c r="V44" i="193"/>
  <c r="U44" i="193"/>
  <c r="T44" i="193"/>
  <c r="S44" i="193"/>
  <c r="R44" i="193"/>
  <c r="Q44" i="193"/>
  <c r="P44" i="193"/>
  <c r="O44" i="193"/>
  <c r="N44" i="193"/>
  <c r="M44" i="193"/>
  <c r="L44" i="193"/>
  <c r="I44" i="193"/>
  <c r="F44" i="193"/>
  <c r="E44" i="193"/>
  <c r="AB43" i="193"/>
  <c r="Z43" i="193"/>
  <c r="X43" i="193"/>
  <c r="V43" i="193"/>
  <c r="U43" i="193"/>
  <c r="T43" i="193"/>
  <c r="S43" i="193"/>
  <c r="R43" i="193"/>
  <c r="Q43" i="193"/>
  <c r="P43" i="193"/>
  <c r="O43" i="193"/>
  <c r="N43" i="193"/>
  <c r="M43" i="193"/>
  <c r="L43" i="193"/>
  <c r="I43" i="193"/>
  <c r="E43" i="193"/>
  <c r="AB42" i="193"/>
  <c r="Z42" i="193"/>
  <c r="X42" i="193"/>
  <c r="V42" i="193"/>
  <c r="U42" i="193"/>
  <c r="T42" i="193"/>
  <c r="S42" i="193"/>
  <c r="R42" i="193"/>
  <c r="Q42" i="193"/>
  <c r="P42" i="193"/>
  <c r="O42" i="193"/>
  <c r="N42" i="193"/>
  <c r="M42" i="193"/>
  <c r="L42" i="193"/>
  <c r="I42" i="193"/>
  <c r="E42" i="193"/>
  <c r="AB41" i="193"/>
  <c r="Z41" i="193"/>
  <c r="X41" i="193"/>
  <c r="V41" i="193"/>
  <c r="U41" i="193"/>
  <c r="T41" i="193"/>
  <c r="S41" i="193"/>
  <c r="R41" i="193"/>
  <c r="Q41" i="193"/>
  <c r="P41" i="193"/>
  <c r="O41" i="193"/>
  <c r="N41" i="193"/>
  <c r="M41" i="193"/>
  <c r="L41" i="193"/>
  <c r="I41" i="193"/>
  <c r="E41" i="193"/>
  <c r="AB40" i="193"/>
  <c r="Z40" i="193"/>
  <c r="X40" i="193"/>
  <c r="V40" i="193"/>
  <c r="U40" i="193"/>
  <c r="T40" i="193"/>
  <c r="S40" i="193"/>
  <c r="R40" i="193"/>
  <c r="Q40" i="193"/>
  <c r="P40" i="193"/>
  <c r="O40" i="193"/>
  <c r="N40" i="193"/>
  <c r="M40" i="193"/>
  <c r="L40" i="193"/>
  <c r="I40" i="193"/>
  <c r="E40" i="193"/>
  <c r="AB37" i="193"/>
  <c r="Z37" i="193"/>
  <c r="X37" i="193"/>
  <c r="V37" i="193"/>
  <c r="T37" i="193"/>
  <c r="S37" i="193"/>
  <c r="R37" i="193"/>
  <c r="Q37" i="193"/>
  <c r="P37" i="193"/>
  <c r="O37" i="193"/>
  <c r="N37" i="193"/>
  <c r="M37" i="193"/>
  <c r="L37" i="193"/>
  <c r="I37" i="193"/>
  <c r="E37" i="193"/>
  <c r="AB36" i="193"/>
  <c r="Z36" i="193"/>
  <c r="X36" i="193"/>
  <c r="V36" i="193"/>
  <c r="T36" i="193"/>
  <c r="S36" i="193"/>
  <c r="R36" i="193"/>
  <c r="Q36" i="193"/>
  <c r="P36" i="193"/>
  <c r="O36" i="193"/>
  <c r="N36" i="193"/>
  <c r="M36" i="193"/>
  <c r="L36" i="193"/>
  <c r="I36" i="193"/>
  <c r="E36" i="193"/>
  <c r="AB35" i="193"/>
  <c r="Z35" i="193"/>
  <c r="X35" i="193"/>
  <c r="V35" i="193"/>
  <c r="U35" i="193"/>
  <c r="T35" i="193"/>
  <c r="S35" i="193"/>
  <c r="R35" i="193"/>
  <c r="Q35" i="193"/>
  <c r="P35" i="193"/>
  <c r="O35" i="193"/>
  <c r="N35" i="193"/>
  <c r="M35" i="193"/>
  <c r="L35" i="193"/>
  <c r="I35" i="193"/>
  <c r="E35" i="193"/>
  <c r="AB32" i="193"/>
  <c r="Z32" i="193"/>
  <c r="X32" i="193"/>
  <c r="V32" i="193"/>
  <c r="T32" i="193"/>
  <c r="S32" i="193"/>
  <c r="R32" i="193"/>
  <c r="Q32" i="193"/>
  <c r="P32" i="193"/>
  <c r="O32" i="193"/>
  <c r="N32" i="193"/>
  <c r="M32" i="193"/>
  <c r="L32" i="193"/>
  <c r="I32" i="193"/>
  <c r="G32" i="193"/>
  <c r="E32" i="193"/>
  <c r="AB31" i="193"/>
  <c r="Z31" i="193"/>
  <c r="X31" i="193"/>
  <c r="V31" i="193"/>
  <c r="T31" i="193"/>
  <c r="S31" i="193"/>
  <c r="R31" i="193"/>
  <c r="Q31" i="193"/>
  <c r="P31" i="193"/>
  <c r="O31" i="193"/>
  <c r="N31" i="193"/>
  <c r="M31" i="193"/>
  <c r="L31" i="193"/>
  <c r="I31" i="193"/>
  <c r="E31" i="193"/>
  <c r="AB30" i="193"/>
  <c r="Z30" i="193"/>
  <c r="X30" i="193"/>
  <c r="V30" i="193"/>
  <c r="T30" i="193"/>
  <c r="S30" i="193"/>
  <c r="R30" i="193"/>
  <c r="Q30" i="193"/>
  <c r="P30" i="193"/>
  <c r="O30" i="193"/>
  <c r="N30" i="193"/>
  <c r="M30" i="193"/>
  <c r="L30" i="193"/>
  <c r="I30" i="193"/>
  <c r="E30" i="193"/>
  <c r="AB29" i="193"/>
  <c r="Z29" i="193"/>
  <c r="X29" i="193"/>
  <c r="V29" i="193"/>
  <c r="T29" i="193"/>
  <c r="S29" i="193"/>
  <c r="R29" i="193"/>
  <c r="Q29" i="193"/>
  <c r="P29" i="193"/>
  <c r="O29" i="193"/>
  <c r="N29" i="193"/>
  <c r="M29" i="193"/>
  <c r="L29" i="193"/>
  <c r="I29" i="193"/>
  <c r="E29" i="193"/>
  <c r="AB28" i="193"/>
  <c r="Z28" i="193"/>
  <c r="X28" i="193"/>
  <c r="V28" i="193"/>
  <c r="T28" i="193"/>
  <c r="S28" i="193"/>
  <c r="R28" i="193"/>
  <c r="Q28" i="193"/>
  <c r="P28" i="193"/>
  <c r="O28" i="193"/>
  <c r="N28" i="193"/>
  <c r="M28" i="193"/>
  <c r="L28" i="193"/>
  <c r="I28" i="193"/>
  <c r="E28" i="193"/>
  <c r="AB27" i="193"/>
  <c r="Z27" i="193"/>
  <c r="X27" i="193"/>
  <c r="V27" i="193"/>
  <c r="T27" i="193"/>
  <c r="S27" i="193"/>
  <c r="R27" i="193"/>
  <c r="Q27" i="193"/>
  <c r="P27" i="193"/>
  <c r="O27" i="193"/>
  <c r="N27" i="193"/>
  <c r="M27" i="193"/>
  <c r="L27" i="193"/>
  <c r="I27" i="193"/>
  <c r="E27" i="193"/>
  <c r="AB26" i="193"/>
  <c r="Z26" i="193"/>
  <c r="X26" i="193"/>
  <c r="V26" i="193"/>
  <c r="T26" i="193"/>
  <c r="S26" i="193"/>
  <c r="R26" i="193"/>
  <c r="Q26" i="193"/>
  <c r="P26" i="193"/>
  <c r="O26" i="193"/>
  <c r="N26" i="193"/>
  <c r="M26" i="193"/>
  <c r="L26" i="193"/>
  <c r="I26" i="193"/>
  <c r="E26" i="193"/>
  <c r="AB25" i="193"/>
  <c r="Z25" i="193"/>
  <c r="X25" i="193"/>
  <c r="V25" i="193"/>
  <c r="T25" i="193"/>
  <c r="S25" i="193"/>
  <c r="R25" i="193"/>
  <c r="Q25" i="193"/>
  <c r="P25" i="193"/>
  <c r="O25" i="193"/>
  <c r="N25" i="193"/>
  <c r="M25" i="193"/>
  <c r="L25" i="193"/>
  <c r="I25" i="193"/>
  <c r="E25" i="193"/>
  <c r="AB24" i="193"/>
  <c r="Z24" i="193"/>
  <c r="X24" i="193"/>
  <c r="V24" i="193"/>
  <c r="T24" i="193"/>
  <c r="S24" i="193"/>
  <c r="R24" i="193"/>
  <c r="Q24" i="193"/>
  <c r="P24" i="193"/>
  <c r="O24" i="193"/>
  <c r="N24" i="193"/>
  <c r="M24" i="193"/>
  <c r="L24" i="193"/>
  <c r="I24" i="193"/>
  <c r="E24" i="193"/>
  <c r="AB23" i="193"/>
  <c r="Z23" i="193"/>
  <c r="X23" i="193"/>
  <c r="V23" i="193"/>
  <c r="U23" i="193"/>
  <c r="T23" i="193"/>
  <c r="S23" i="193"/>
  <c r="R23" i="193"/>
  <c r="Q23" i="193"/>
  <c r="P23" i="193"/>
  <c r="O23" i="193"/>
  <c r="N23" i="193"/>
  <c r="M23" i="193"/>
  <c r="L23" i="193"/>
  <c r="I23" i="193"/>
  <c r="E23" i="193"/>
  <c r="C23" i="193"/>
  <c r="AB22" i="193"/>
  <c r="Z22" i="193"/>
  <c r="X22" i="193"/>
  <c r="V22" i="193"/>
  <c r="U22" i="193"/>
  <c r="T22" i="193"/>
  <c r="S22" i="193"/>
  <c r="R22" i="193"/>
  <c r="Q22" i="193"/>
  <c r="P22" i="193"/>
  <c r="O22" i="193"/>
  <c r="N22" i="193"/>
  <c r="M22" i="193"/>
  <c r="L22" i="193"/>
  <c r="I22" i="193"/>
  <c r="E22" i="193"/>
  <c r="AB21" i="193"/>
  <c r="Z21" i="193"/>
  <c r="X21" i="193"/>
  <c r="V21" i="193"/>
  <c r="U21" i="193"/>
  <c r="T21" i="193"/>
  <c r="S21" i="193"/>
  <c r="R21" i="193"/>
  <c r="Q21" i="193"/>
  <c r="P21" i="193"/>
  <c r="O21" i="193"/>
  <c r="N21" i="193"/>
  <c r="M21" i="193"/>
  <c r="L21" i="193"/>
  <c r="I21" i="193"/>
  <c r="E21" i="193"/>
  <c r="C21" i="193"/>
  <c r="AB20" i="193"/>
  <c r="Z20" i="193"/>
  <c r="X20" i="193"/>
  <c r="V20" i="193"/>
  <c r="U20" i="193"/>
  <c r="T20" i="193"/>
  <c r="S20" i="193"/>
  <c r="R20" i="193"/>
  <c r="Q20" i="193"/>
  <c r="P20" i="193"/>
  <c r="O20" i="193"/>
  <c r="N20" i="193"/>
  <c r="M20" i="193"/>
  <c r="L20" i="193"/>
  <c r="I20" i="193"/>
  <c r="E20" i="193"/>
  <c r="AB19" i="193"/>
  <c r="Z19" i="193"/>
  <c r="X19" i="193"/>
  <c r="V19" i="193"/>
  <c r="U19" i="193"/>
  <c r="T19" i="193"/>
  <c r="S19" i="193"/>
  <c r="R19" i="193"/>
  <c r="Q19" i="193"/>
  <c r="P19" i="193"/>
  <c r="O19" i="193"/>
  <c r="N19" i="193"/>
  <c r="M19" i="193"/>
  <c r="L19" i="193"/>
  <c r="I19" i="193"/>
  <c r="F19" i="193"/>
  <c r="E19" i="193"/>
  <c r="C19" i="193"/>
  <c r="AB18" i="193"/>
  <c r="Z18" i="193"/>
  <c r="X18" i="193"/>
  <c r="V18" i="193"/>
  <c r="U18" i="193"/>
  <c r="T18" i="193"/>
  <c r="S18" i="193"/>
  <c r="R18" i="193"/>
  <c r="Q18" i="193"/>
  <c r="P18" i="193"/>
  <c r="O18" i="193"/>
  <c r="N18" i="193"/>
  <c r="M18" i="193"/>
  <c r="L18" i="193"/>
  <c r="I18" i="193"/>
  <c r="E18" i="193"/>
  <c r="AB17" i="193"/>
  <c r="Z17" i="193"/>
  <c r="X17" i="193"/>
  <c r="V17" i="193"/>
  <c r="U17" i="193"/>
  <c r="T17" i="193"/>
  <c r="S17" i="193"/>
  <c r="R17" i="193"/>
  <c r="Q17" i="193"/>
  <c r="P17" i="193"/>
  <c r="O17" i="193"/>
  <c r="N17" i="193"/>
  <c r="M17" i="193"/>
  <c r="L17" i="193"/>
  <c r="I17" i="193"/>
  <c r="E17" i="193"/>
  <c r="AB16" i="193"/>
  <c r="Z16" i="193"/>
  <c r="X16" i="193"/>
  <c r="V16" i="193"/>
  <c r="U16" i="193"/>
  <c r="T16" i="193"/>
  <c r="S16" i="193"/>
  <c r="R16" i="193"/>
  <c r="Q16" i="193"/>
  <c r="P16" i="193"/>
  <c r="O16" i="193"/>
  <c r="N16" i="193"/>
  <c r="M16" i="193"/>
  <c r="L16" i="193"/>
  <c r="I16" i="193"/>
  <c r="E16" i="193"/>
  <c r="C16" i="193"/>
  <c r="AB15" i="193"/>
  <c r="Z15" i="193"/>
  <c r="X15" i="193"/>
  <c r="V15" i="193"/>
  <c r="U15" i="193"/>
  <c r="T15" i="193"/>
  <c r="S15" i="193"/>
  <c r="R15" i="193"/>
  <c r="Q15" i="193"/>
  <c r="P15" i="193"/>
  <c r="O15" i="193"/>
  <c r="N15" i="193"/>
  <c r="M15" i="193"/>
  <c r="L15" i="193"/>
  <c r="I15" i="193"/>
  <c r="E15" i="193"/>
  <c r="C15" i="193"/>
  <c r="AB14" i="193"/>
  <c r="Z14" i="193"/>
  <c r="X14" i="193"/>
  <c r="V14" i="193"/>
  <c r="U14" i="193"/>
  <c r="T14" i="193"/>
  <c r="S14" i="193"/>
  <c r="R14" i="193"/>
  <c r="Q14" i="193"/>
  <c r="P14" i="193"/>
  <c r="O14" i="193"/>
  <c r="N14" i="193"/>
  <c r="M14" i="193"/>
  <c r="L14" i="193"/>
  <c r="I14" i="193"/>
  <c r="E14" i="193"/>
  <c r="AB13" i="193"/>
  <c r="Z13" i="193"/>
  <c r="X13" i="193"/>
  <c r="V13" i="193"/>
  <c r="U13" i="193"/>
  <c r="T13" i="193"/>
  <c r="S13" i="193"/>
  <c r="R13" i="193"/>
  <c r="Q13" i="193"/>
  <c r="P13" i="193"/>
  <c r="O13" i="193"/>
  <c r="N13" i="193"/>
  <c r="M13" i="193"/>
  <c r="L13" i="193"/>
  <c r="I13" i="193"/>
  <c r="F13" i="193"/>
  <c r="E13" i="193"/>
  <c r="C13" i="193"/>
  <c r="AB12" i="193"/>
  <c r="Z12" i="193"/>
  <c r="X12" i="193"/>
  <c r="V12" i="193"/>
  <c r="U12" i="193"/>
  <c r="T12" i="193"/>
  <c r="S12" i="193"/>
  <c r="R12" i="193"/>
  <c r="Q12" i="193"/>
  <c r="P12" i="193"/>
  <c r="O12" i="193"/>
  <c r="N12" i="193"/>
  <c r="M12" i="193"/>
  <c r="L12" i="193"/>
  <c r="I12" i="193"/>
  <c r="G12" i="193"/>
  <c r="F12" i="193"/>
  <c r="E12" i="193"/>
  <c r="AB11" i="193"/>
  <c r="Z11" i="193"/>
  <c r="X11" i="193"/>
  <c r="V11" i="193"/>
  <c r="U11" i="193"/>
  <c r="T11" i="193"/>
  <c r="S11" i="193"/>
  <c r="R11" i="193"/>
  <c r="Q11" i="193"/>
  <c r="P11" i="193"/>
  <c r="O11" i="193"/>
  <c r="N11" i="193"/>
  <c r="M11" i="193"/>
  <c r="L11" i="193"/>
  <c r="I11" i="193"/>
  <c r="E11" i="193"/>
  <c r="C11" i="193"/>
  <c r="AB10" i="193"/>
  <c r="Z10" i="193"/>
  <c r="X10" i="193"/>
  <c r="V10" i="193"/>
  <c r="U10" i="193"/>
  <c r="T10" i="193"/>
  <c r="S10" i="193"/>
  <c r="R10" i="193"/>
  <c r="Q10" i="193"/>
  <c r="P10" i="193"/>
  <c r="O10" i="193"/>
  <c r="N10" i="193"/>
  <c r="M10" i="193"/>
  <c r="L10" i="193"/>
  <c r="I10" i="193"/>
  <c r="F10" i="193"/>
  <c r="E10" i="193"/>
  <c r="AB9" i="193"/>
  <c r="Z9" i="193"/>
  <c r="X9" i="193"/>
  <c r="V9" i="193"/>
  <c r="U9" i="193"/>
  <c r="T9" i="193"/>
  <c r="S9" i="193"/>
  <c r="R9" i="193"/>
  <c r="Q9" i="193"/>
  <c r="P9" i="193"/>
  <c r="O9" i="193"/>
  <c r="N9" i="193"/>
  <c r="M9" i="193"/>
  <c r="L9" i="193"/>
  <c r="I9" i="193"/>
  <c r="F9" i="193"/>
  <c r="E9" i="193"/>
  <c r="AB8" i="193"/>
  <c r="Z8" i="193"/>
  <c r="X8" i="193"/>
  <c r="V8" i="193"/>
  <c r="U8" i="193"/>
  <c r="T8" i="193"/>
  <c r="S8" i="193"/>
  <c r="R8" i="193"/>
  <c r="Q8" i="193"/>
  <c r="P8" i="193"/>
  <c r="O8" i="193"/>
  <c r="N8" i="193"/>
  <c r="M8" i="193"/>
  <c r="L8" i="193"/>
  <c r="I8" i="193"/>
  <c r="E8" i="193"/>
  <c r="C8" i="193"/>
  <c r="AB7" i="193"/>
  <c r="Z7" i="193"/>
  <c r="X7" i="193"/>
  <c r="V7" i="193"/>
  <c r="U7" i="193"/>
  <c r="T7" i="193"/>
  <c r="S7" i="193"/>
  <c r="R7" i="193"/>
  <c r="Q7" i="193"/>
  <c r="P7" i="193"/>
  <c r="O7" i="193"/>
  <c r="N7" i="193"/>
  <c r="M7" i="193"/>
  <c r="L7" i="193"/>
  <c r="I7" i="193"/>
  <c r="E7" i="193"/>
  <c r="C7" i="193"/>
  <c r="AB6" i="193"/>
  <c r="Z6" i="193"/>
  <c r="X6" i="193"/>
  <c r="V6" i="193"/>
  <c r="U6" i="193"/>
  <c r="T6" i="193"/>
  <c r="S6" i="193"/>
  <c r="R6" i="193"/>
  <c r="Q6" i="193"/>
  <c r="P6" i="193"/>
  <c r="O6" i="193"/>
  <c r="N6" i="193"/>
  <c r="M6" i="193"/>
  <c r="L6" i="193"/>
  <c r="I6" i="193"/>
  <c r="E6" i="193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J14" i="192"/>
  <c r="J13" i="192"/>
  <c r="J12" i="192"/>
  <c r="J10" i="192"/>
  <c r="E10" i="192"/>
  <c r="K8" i="192"/>
  <c r="J8" i="192"/>
  <c r="J7" i="192"/>
  <c r="E7" i="192"/>
  <c r="J6" i="192"/>
  <c r="I6" i="192"/>
  <c r="H6" i="192"/>
  <c r="E3" i="192"/>
  <c r="V189" i="198"/>
  <c r="G189" i="198"/>
  <c r="F189" i="198"/>
  <c r="Z188" i="198"/>
  <c r="X188" i="198"/>
  <c r="V188" i="198"/>
  <c r="G188" i="198"/>
  <c r="F188" i="198"/>
  <c r="C188" i="198"/>
  <c r="AB187" i="198"/>
  <c r="Z187" i="198"/>
  <c r="X187" i="198"/>
  <c r="V187" i="198"/>
  <c r="T187" i="198"/>
  <c r="S187" i="198"/>
  <c r="R187" i="198"/>
  <c r="Q187" i="198"/>
  <c r="P187" i="198"/>
  <c r="O187" i="198"/>
  <c r="N187" i="198"/>
  <c r="M187" i="198"/>
  <c r="L187" i="198"/>
  <c r="I187" i="198"/>
  <c r="G187" i="198"/>
  <c r="E187" i="198"/>
  <c r="AB186" i="198"/>
  <c r="Z186" i="198"/>
  <c r="X186" i="198"/>
  <c r="V186" i="198"/>
  <c r="T186" i="198"/>
  <c r="S186" i="198"/>
  <c r="R186" i="198"/>
  <c r="Q186" i="198"/>
  <c r="P186" i="198"/>
  <c r="O186" i="198"/>
  <c r="N186" i="198"/>
  <c r="M186" i="198"/>
  <c r="L186" i="198"/>
  <c r="I186" i="198"/>
  <c r="G186" i="198"/>
  <c r="E186" i="198"/>
  <c r="AB185" i="198"/>
  <c r="Z185" i="198"/>
  <c r="X185" i="198"/>
  <c r="V185" i="198"/>
  <c r="T185" i="198"/>
  <c r="S185" i="198"/>
  <c r="R185" i="198"/>
  <c r="Q185" i="198"/>
  <c r="P185" i="198"/>
  <c r="O185" i="198"/>
  <c r="N185" i="198"/>
  <c r="M185" i="198"/>
  <c r="L185" i="198"/>
  <c r="I185" i="198"/>
  <c r="G185" i="198"/>
  <c r="E185" i="198"/>
  <c r="AB184" i="198"/>
  <c r="Z184" i="198"/>
  <c r="X184" i="198"/>
  <c r="V184" i="198"/>
  <c r="T184" i="198"/>
  <c r="S184" i="198"/>
  <c r="R184" i="198"/>
  <c r="Q184" i="198"/>
  <c r="P184" i="198"/>
  <c r="O184" i="198"/>
  <c r="N184" i="198"/>
  <c r="M184" i="198"/>
  <c r="L184" i="198"/>
  <c r="I184" i="198"/>
  <c r="G184" i="198"/>
  <c r="E184" i="198"/>
  <c r="AB183" i="198"/>
  <c r="Z183" i="198"/>
  <c r="X183" i="198"/>
  <c r="V183" i="198"/>
  <c r="T183" i="198"/>
  <c r="S183" i="198"/>
  <c r="R183" i="198"/>
  <c r="Q183" i="198"/>
  <c r="P183" i="198"/>
  <c r="O183" i="198"/>
  <c r="N183" i="198"/>
  <c r="M183" i="198"/>
  <c r="L183" i="198"/>
  <c r="I183" i="198"/>
  <c r="G183" i="198"/>
  <c r="E183" i="198"/>
  <c r="AB182" i="198"/>
  <c r="Z182" i="198"/>
  <c r="X182" i="198"/>
  <c r="V182" i="198"/>
  <c r="T182" i="198"/>
  <c r="S182" i="198"/>
  <c r="R182" i="198"/>
  <c r="Q182" i="198"/>
  <c r="P182" i="198"/>
  <c r="O182" i="198"/>
  <c r="N182" i="198"/>
  <c r="M182" i="198"/>
  <c r="L182" i="198"/>
  <c r="I182" i="198"/>
  <c r="E182" i="198"/>
  <c r="AB181" i="198"/>
  <c r="Z181" i="198"/>
  <c r="X181" i="198"/>
  <c r="V181" i="198"/>
  <c r="T181" i="198"/>
  <c r="S181" i="198"/>
  <c r="R181" i="198"/>
  <c r="Q181" i="198"/>
  <c r="P181" i="198"/>
  <c r="O181" i="198"/>
  <c r="N181" i="198"/>
  <c r="M181" i="198"/>
  <c r="L181" i="198"/>
  <c r="I181" i="198"/>
  <c r="E181" i="198"/>
  <c r="AB180" i="198"/>
  <c r="Z180" i="198"/>
  <c r="X180" i="198"/>
  <c r="V180" i="198"/>
  <c r="T180" i="198"/>
  <c r="S180" i="198"/>
  <c r="R180" i="198"/>
  <c r="Q180" i="198"/>
  <c r="P180" i="198"/>
  <c r="O180" i="198"/>
  <c r="N180" i="198"/>
  <c r="M180" i="198"/>
  <c r="L180" i="198"/>
  <c r="I180" i="198"/>
  <c r="E180" i="198"/>
  <c r="AB179" i="198"/>
  <c r="Z179" i="198"/>
  <c r="X179" i="198"/>
  <c r="V179" i="198"/>
  <c r="T179" i="198"/>
  <c r="S179" i="198"/>
  <c r="R179" i="198"/>
  <c r="Q179" i="198"/>
  <c r="P179" i="198"/>
  <c r="O179" i="198"/>
  <c r="N179" i="198"/>
  <c r="M179" i="198"/>
  <c r="L179" i="198"/>
  <c r="I179" i="198"/>
  <c r="E179" i="198"/>
  <c r="AB178" i="198"/>
  <c r="Z178" i="198"/>
  <c r="X178" i="198"/>
  <c r="V178" i="198"/>
  <c r="T178" i="198"/>
  <c r="S178" i="198"/>
  <c r="R178" i="198"/>
  <c r="Q178" i="198"/>
  <c r="P178" i="198"/>
  <c r="O178" i="198"/>
  <c r="N178" i="198"/>
  <c r="M178" i="198"/>
  <c r="L178" i="198"/>
  <c r="I178" i="198"/>
  <c r="E178" i="198"/>
  <c r="AB177" i="198"/>
  <c r="Z177" i="198"/>
  <c r="X177" i="198"/>
  <c r="V177" i="198"/>
  <c r="T177" i="198"/>
  <c r="S177" i="198"/>
  <c r="R177" i="198"/>
  <c r="Q177" i="198"/>
  <c r="P177" i="198"/>
  <c r="O177" i="198"/>
  <c r="N177" i="198"/>
  <c r="M177" i="198"/>
  <c r="L177" i="198"/>
  <c r="I177" i="198"/>
  <c r="E177" i="198"/>
  <c r="AB176" i="198"/>
  <c r="Z176" i="198"/>
  <c r="X176" i="198"/>
  <c r="V176" i="198"/>
  <c r="T176" i="198"/>
  <c r="S176" i="198"/>
  <c r="R176" i="198"/>
  <c r="Q176" i="198"/>
  <c r="P176" i="198"/>
  <c r="O176" i="198"/>
  <c r="N176" i="198"/>
  <c r="M176" i="198"/>
  <c r="L176" i="198"/>
  <c r="I176" i="198"/>
  <c r="E176" i="198"/>
  <c r="AB175" i="198"/>
  <c r="Z175" i="198"/>
  <c r="X175" i="198"/>
  <c r="V175" i="198"/>
  <c r="T175" i="198"/>
  <c r="S175" i="198"/>
  <c r="R175" i="198"/>
  <c r="Q175" i="198"/>
  <c r="P175" i="198"/>
  <c r="O175" i="198"/>
  <c r="N175" i="198"/>
  <c r="M175" i="198"/>
  <c r="L175" i="198"/>
  <c r="I175" i="198"/>
  <c r="E175" i="198"/>
  <c r="AB174" i="198"/>
  <c r="Z174" i="198"/>
  <c r="X174" i="198"/>
  <c r="V174" i="198"/>
  <c r="T174" i="198"/>
  <c r="S174" i="198"/>
  <c r="R174" i="198"/>
  <c r="Q174" i="198"/>
  <c r="P174" i="198"/>
  <c r="O174" i="198"/>
  <c r="N174" i="198"/>
  <c r="M174" i="198"/>
  <c r="L174" i="198"/>
  <c r="I174" i="198"/>
  <c r="E174" i="198"/>
  <c r="AB173" i="198"/>
  <c r="Z173" i="198"/>
  <c r="X173" i="198"/>
  <c r="V173" i="198"/>
  <c r="T173" i="198"/>
  <c r="S173" i="198"/>
  <c r="R173" i="198"/>
  <c r="Q173" i="198"/>
  <c r="P173" i="198"/>
  <c r="O173" i="198"/>
  <c r="N173" i="198"/>
  <c r="M173" i="198"/>
  <c r="L173" i="198"/>
  <c r="I173" i="198"/>
  <c r="E173" i="198"/>
  <c r="AB172" i="198"/>
  <c r="Z172" i="198"/>
  <c r="X172" i="198"/>
  <c r="V172" i="198"/>
  <c r="T172" i="198"/>
  <c r="S172" i="198"/>
  <c r="R172" i="198"/>
  <c r="Q172" i="198"/>
  <c r="P172" i="198"/>
  <c r="O172" i="198"/>
  <c r="N172" i="198"/>
  <c r="M172" i="198"/>
  <c r="L172" i="198"/>
  <c r="I172" i="198"/>
  <c r="E172" i="198"/>
  <c r="AB171" i="198"/>
  <c r="Z171" i="198"/>
  <c r="X171" i="198"/>
  <c r="V171" i="198"/>
  <c r="T171" i="198"/>
  <c r="S171" i="198"/>
  <c r="R171" i="198"/>
  <c r="Q171" i="198"/>
  <c r="P171" i="198"/>
  <c r="O171" i="198"/>
  <c r="N171" i="198"/>
  <c r="M171" i="198"/>
  <c r="L171" i="198"/>
  <c r="I171" i="198"/>
  <c r="E171" i="198"/>
  <c r="AB170" i="198"/>
  <c r="Z170" i="198"/>
  <c r="X170" i="198"/>
  <c r="V170" i="198"/>
  <c r="T170" i="198"/>
  <c r="S170" i="198"/>
  <c r="R170" i="198"/>
  <c r="Q170" i="198"/>
  <c r="P170" i="198"/>
  <c r="O170" i="198"/>
  <c r="N170" i="198"/>
  <c r="M170" i="198"/>
  <c r="L170" i="198"/>
  <c r="I170" i="198"/>
  <c r="E170" i="198"/>
  <c r="AB169" i="198"/>
  <c r="Z169" i="198"/>
  <c r="X169" i="198"/>
  <c r="V169" i="198"/>
  <c r="T169" i="198"/>
  <c r="S169" i="198"/>
  <c r="R169" i="198"/>
  <c r="Q169" i="198"/>
  <c r="P169" i="198"/>
  <c r="O169" i="198"/>
  <c r="N169" i="198"/>
  <c r="M169" i="198"/>
  <c r="L169" i="198"/>
  <c r="I169" i="198"/>
  <c r="E169" i="198"/>
  <c r="AB168" i="198"/>
  <c r="Z168" i="198"/>
  <c r="X168" i="198"/>
  <c r="V168" i="198"/>
  <c r="T168" i="198"/>
  <c r="S168" i="198"/>
  <c r="R168" i="198"/>
  <c r="Q168" i="198"/>
  <c r="P168" i="198"/>
  <c r="O168" i="198"/>
  <c r="N168" i="198"/>
  <c r="M168" i="198"/>
  <c r="L168" i="198"/>
  <c r="I168" i="198"/>
  <c r="E168" i="198"/>
  <c r="AB167" i="198"/>
  <c r="Z167" i="198"/>
  <c r="X167" i="198"/>
  <c r="V167" i="198"/>
  <c r="T167" i="198"/>
  <c r="S167" i="198"/>
  <c r="R167" i="198"/>
  <c r="Q167" i="198"/>
  <c r="P167" i="198"/>
  <c r="O167" i="198"/>
  <c r="N167" i="198"/>
  <c r="M167" i="198"/>
  <c r="L167" i="198"/>
  <c r="I167" i="198"/>
  <c r="E167" i="198"/>
  <c r="AB166" i="198"/>
  <c r="Z166" i="198"/>
  <c r="X166" i="198"/>
  <c r="V166" i="198"/>
  <c r="T166" i="198"/>
  <c r="S166" i="198"/>
  <c r="R166" i="198"/>
  <c r="Q166" i="198"/>
  <c r="P166" i="198"/>
  <c r="O166" i="198"/>
  <c r="N166" i="198"/>
  <c r="M166" i="198"/>
  <c r="L166" i="198"/>
  <c r="I166" i="198"/>
  <c r="E166" i="198"/>
  <c r="AB165" i="198"/>
  <c r="Z165" i="198"/>
  <c r="X165" i="198"/>
  <c r="V165" i="198"/>
  <c r="T165" i="198"/>
  <c r="S165" i="198"/>
  <c r="R165" i="198"/>
  <c r="Q165" i="198"/>
  <c r="P165" i="198"/>
  <c r="O165" i="198"/>
  <c r="N165" i="198"/>
  <c r="M165" i="198"/>
  <c r="L165" i="198"/>
  <c r="I165" i="198"/>
  <c r="E165" i="198"/>
  <c r="AB164" i="198"/>
  <c r="Z164" i="198"/>
  <c r="X164" i="198"/>
  <c r="V164" i="198"/>
  <c r="T164" i="198"/>
  <c r="S164" i="198"/>
  <c r="R164" i="198"/>
  <c r="Q164" i="198"/>
  <c r="P164" i="198"/>
  <c r="O164" i="198"/>
  <c r="N164" i="198"/>
  <c r="M164" i="198"/>
  <c r="L164" i="198"/>
  <c r="I164" i="198"/>
  <c r="E164" i="198"/>
  <c r="AB163" i="198"/>
  <c r="Z163" i="198"/>
  <c r="X163" i="198"/>
  <c r="V163" i="198"/>
  <c r="T163" i="198"/>
  <c r="S163" i="198"/>
  <c r="R163" i="198"/>
  <c r="Q163" i="198"/>
  <c r="P163" i="198"/>
  <c r="O163" i="198"/>
  <c r="N163" i="198"/>
  <c r="M163" i="198"/>
  <c r="L163" i="198"/>
  <c r="I163" i="198"/>
  <c r="E163" i="198"/>
  <c r="AB162" i="198"/>
  <c r="Z162" i="198"/>
  <c r="X162" i="198"/>
  <c r="V162" i="198"/>
  <c r="T162" i="198"/>
  <c r="S162" i="198"/>
  <c r="R162" i="198"/>
  <c r="Q162" i="198"/>
  <c r="P162" i="198"/>
  <c r="O162" i="198"/>
  <c r="N162" i="198"/>
  <c r="M162" i="198"/>
  <c r="L162" i="198"/>
  <c r="I162" i="198"/>
  <c r="E162" i="198"/>
  <c r="AB161" i="198"/>
  <c r="Z161" i="198"/>
  <c r="X161" i="198"/>
  <c r="V161" i="198"/>
  <c r="T161" i="198"/>
  <c r="S161" i="198"/>
  <c r="R161" i="198"/>
  <c r="Q161" i="198"/>
  <c r="P161" i="198"/>
  <c r="O161" i="198"/>
  <c r="N161" i="198"/>
  <c r="M161" i="198"/>
  <c r="L161" i="198"/>
  <c r="I161" i="198"/>
  <c r="E161" i="198"/>
  <c r="AB160" i="198"/>
  <c r="Z160" i="198"/>
  <c r="X160" i="198"/>
  <c r="V160" i="198"/>
  <c r="T160" i="198"/>
  <c r="S160" i="198"/>
  <c r="R160" i="198"/>
  <c r="Q160" i="198"/>
  <c r="P160" i="198"/>
  <c r="O160" i="198"/>
  <c r="N160" i="198"/>
  <c r="M160" i="198"/>
  <c r="L160" i="198"/>
  <c r="I160" i="198"/>
  <c r="F160" i="198"/>
  <c r="E160" i="198"/>
  <c r="AB159" i="198"/>
  <c r="Z159" i="198"/>
  <c r="X159" i="198"/>
  <c r="V159" i="198"/>
  <c r="T159" i="198"/>
  <c r="S159" i="198"/>
  <c r="R159" i="198"/>
  <c r="Q159" i="198"/>
  <c r="P159" i="198"/>
  <c r="O159" i="198"/>
  <c r="N159" i="198"/>
  <c r="M159" i="198"/>
  <c r="L159" i="198"/>
  <c r="I159" i="198"/>
  <c r="E159" i="198"/>
  <c r="AB158" i="198"/>
  <c r="Z158" i="198"/>
  <c r="X158" i="198"/>
  <c r="V158" i="198"/>
  <c r="T158" i="198"/>
  <c r="S158" i="198"/>
  <c r="R158" i="198"/>
  <c r="Q158" i="198"/>
  <c r="P158" i="198"/>
  <c r="O158" i="198"/>
  <c r="N158" i="198"/>
  <c r="M158" i="198"/>
  <c r="L158" i="198"/>
  <c r="I158" i="198"/>
  <c r="E158" i="198"/>
  <c r="AB157" i="198"/>
  <c r="Z157" i="198"/>
  <c r="X157" i="198"/>
  <c r="V157" i="198"/>
  <c r="T157" i="198"/>
  <c r="S157" i="198"/>
  <c r="R157" i="198"/>
  <c r="Q157" i="198"/>
  <c r="P157" i="198"/>
  <c r="O157" i="198"/>
  <c r="N157" i="198"/>
  <c r="M157" i="198"/>
  <c r="L157" i="198"/>
  <c r="I157" i="198"/>
  <c r="F157" i="198"/>
  <c r="E157" i="198"/>
  <c r="AB156" i="198"/>
  <c r="Z156" i="198"/>
  <c r="X156" i="198"/>
  <c r="V156" i="198"/>
  <c r="T156" i="198"/>
  <c r="S156" i="198"/>
  <c r="R156" i="198"/>
  <c r="Q156" i="198"/>
  <c r="P156" i="198"/>
  <c r="O156" i="198"/>
  <c r="N156" i="198"/>
  <c r="M156" i="198"/>
  <c r="L156" i="198"/>
  <c r="I156" i="198"/>
  <c r="E156" i="198"/>
  <c r="AB155" i="198"/>
  <c r="Z155" i="198"/>
  <c r="X155" i="198"/>
  <c r="V155" i="198"/>
  <c r="T155" i="198"/>
  <c r="S155" i="198"/>
  <c r="R155" i="198"/>
  <c r="Q155" i="198"/>
  <c r="P155" i="198"/>
  <c r="O155" i="198"/>
  <c r="N155" i="198"/>
  <c r="M155" i="198"/>
  <c r="L155" i="198"/>
  <c r="I155" i="198"/>
  <c r="E155" i="198"/>
  <c r="AB154" i="198"/>
  <c r="Z154" i="198"/>
  <c r="X154" i="198"/>
  <c r="V154" i="198"/>
  <c r="T154" i="198"/>
  <c r="S154" i="198"/>
  <c r="R154" i="198"/>
  <c r="Q154" i="198"/>
  <c r="P154" i="198"/>
  <c r="O154" i="198"/>
  <c r="N154" i="198"/>
  <c r="M154" i="198"/>
  <c r="L154" i="198"/>
  <c r="I154" i="198"/>
  <c r="E154" i="198"/>
  <c r="AB153" i="198"/>
  <c r="Z153" i="198"/>
  <c r="X153" i="198"/>
  <c r="V153" i="198"/>
  <c r="T153" i="198"/>
  <c r="S153" i="198"/>
  <c r="R153" i="198"/>
  <c r="Q153" i="198"/>
  <c r="P153" i="198"/>
  <c r="O153" i="198"/>
  <c r="N153" i="198"/>
  <c r="M153" i="198"/>
  <c r="L153" i="198"/>
  <c r="I153" i="198"/>
  <c r="E153" i="198"/>
  <c r="AB152" i="198"/>
  <c r="Z152" i="198"/>
  <c r="X152" i="198"/>
  <c r="V152" i="198"/>
  <c r="T152" i="198"/>
  <c r="S152" i="198"/>
  <c r="R152" i="198"/>
  <c r="Q152" i="198"/>
  <c r="P152" i="198"/>
  <c r="O152" i="198"/>
  <c r="N152" i="198"/>
  <c r="M152" i="198"/>
  <c r="L152" i="198"/>
  <c r="I152" i="198"/>
  <c r="E152" i="198"/>
  <c r="AB151" i="198"/>
  <c r="Z151" i="198"/>
  <c r="X151" i="198"/>
  <c r="V151" i="198"/>
  <c r="T151" i="198"/>
  <c r="S151" i="198"/>
  <c r="R151" i="198"/>
  <c r="Q151" i="198"/>
  <c r="P151" i="198"/>
  <c r="O151" i="198"/>
  <c r="N151" i="198"/>
  <c r="M151" i="198"/>
  <c r="L151" i="198"/>
  <c r="I151" i="198"/>
  <c r="E151" i="198"/>
  <c r="AB150" i="198"/>
  <c r="Z150" i="198"/>
  <c r="X150" i="198"/>
  <c r="V150" i="198"/>
  <c r="T150" i="198"/>
  <c r="S150" i="198"/>
  <c r="R150" i="198"/>
  <c r="Q150" i="198"/>
  <c r="P150" i="198"/>
  <c r="O150" i="198"/>
  <c r="N150" i="198"/>
  <c r="M150" i="198"/>
  <c r="L150" i="198"/>
  <c r="I150" i="198"/>
  <c r="E150" i="198"/>
  <c r="AB149" i="198"/>
  <c r="Z149" i="198"/>
  <c r="X149" i="198"/>
  <c r="V149" i="198"/>
  <c r="T149" i="198"/>
  <c r="S149" i="198"/>
  <c r="R149" i="198"/>
  <c r="Q149" i="198"/>
  <c r="P149" i="198"/>
  <c r="O149" i="198"/>
  <c r="N149" i="198"/>
  <c r="M149" i="198"/>
  <c r="L149" i="198"/>
  <c r="I149" i="198"/>
  <c r="F149" i="198"/>
  <c r="E149" i="198"/>
  <c r="AB148" i="198"/>
  <c r="Z148" i="198"/>
  <c r="X148" i="198"/>
  <c r="V148" i="198"/>
  <c r="T148" i="198"/>
  <c r="S148" i="198"/>
  <c r="R148" i="198"/>
  <c r="Q148" i="198"/>
  <c r="P148" i="198"/>
  <c r="O148" i="198"/>
  <c r="N148" i="198"/>
  <c r="M148" i="198"/>
  <c r="L148" i="198"/>
  <c r="I148" i="198"/>
  <c r="E148" i="198"/>
  <c r="AB147" i="198"/>
  <c r="Z147" i="198"/>
  <c r="X147" i="198"/>
  <c r="V147" i="198"/>
  <c r="T147" i="198"/>
  <c r="S147" i="198"/>
  <c r="R147" i="198"/>
  <c r="Q147" i="198"/>
  <c r="P147" i="198"/>
  <c r="O147" i="198"/>
  <c r="N147" i="198"/>
  <c r="M147" i="198"/>
  <c r="L147" i="198"/>
  <c r="I147" i="198"/>
  <c r="E147" i="198"/>
  <c r="AB146" i="198"/>
  <c r="Z146" i="198"/>
  <c r="X146" i="198"/>
  <c r="V146" i="198"/>
  <c r="T146" i="198"/>
  <c r="S146" i="198"/>
  <c r="R146" i="198"/>
  <c r="Q146" i="198"/>
  <c r="P146" i="198"/>
  <c r="O146" i="198"/>
  <c r="N146" i="198"/>
  <c r="M146" i="198"/>
  <c r="L146" i="198"/>
  <c r="I146" i="198"/>
  <c r="E146" i="198"/>
  <c r="AB145" i="198"/>
  <c r="Z145" i="198"/>
  <c r="X145" i="198"/>
  <c r="V145" i="198"/>
  <c r="T145" i="198"/>
  <c r="S145" i="198"/>
  <c r="R145" i="198"/>
  <c r="Q145" i="198"/>
  <c r="P145" i="198"/>
  <c r="O145" i="198"/>
  <c r="N145" i="198"/>
  <c r="M145" i="198"/>
  <c r="L145" i="198"/>
  <c r="I145" i="198"/>
  <c r="E145" i="198"/>
  <c r="AB144" i="198"/>
  <c r="Z144" i="198"/>
  <c r="X144" i="198"/>
  <c r="V144" i="198"/>
  <c r="T144" i="198"/>
  <c r="S144" i="198"/>
  <c r="R144" i="198"/>
  <c r="Q144" i="198"/>
  <c r="P144" i="198"/>
  <c r="O144" i="198"/>
  <c r="N144" i="198"/>
  <c r="M144" i="198"/>
  <c r="L144" i="198"/>
  <c r="I144" i="198"/>
  <c r="E144" i="198"/>
  <c r="AB143" i="198"/>
  <c r="Z143" i="198"/>
  <c r="X143" i="198"/>
  <c r="V143" i="198"/>
  <c r="T143" i="198"/>
  <c r="S143" i="198"/>
  <c r="R143" i="198"/>
  <c r="Q143" i="198"/>
  <c r="P143" i="198"/>
  <c r="O143" i="198"/>
  <c r="N143" i="198"/>
  <c r="M143" i="198"/>
  <c r="L143" i="198"/>
  <c r="I143" i="198"/>
  <c r="F143" i="198"/>
  <c r="E143" i="198"/>
  <c r="AB142" i="198"/>
  <c r="Z142" i="198"/>
  <c r="X142" i="198"/>
  <c r="V142" i="198"/>
  <c r="T142" i="198"/>
  <c r="S142" i="198"/>
  <c r="R142" i="198"/>
  <c r="Q142" i="198"/>
  <c r="P142" i="198"/>
  <c r="O142" i="198"/>
  <c r="N142" i="198"/>
  <c r="M142" i="198"/>
  <c r="L142" i="198"/>
  <c r="I142" i="198"/>
  <c r="E142" i="198"/>
  <c r="AB141" i="198"/>
  <c r="Z141" i="198"/>
  <c r="X141" i="198"/>
  <c r="V141" i="198"/>
  <c r="U141" i="198"/>
  <c r="T141" i="198"/>
  <c r="S141" i="198"/>
  <c r="R141" i="198"/>
  <c r="Q141" i="198"/>
  <c r="P141" i="198"/>
  <c r="O141" i="198"/>
  <c r="N141" i="198"/>
  <c r="M141" i="198"/>
  <c r="L141" i="198"/>
  <c r="I141" i="198"/>
  <c r="E141" i="198"/>
  <c r="AB140" i="198"/>
  <c r="Z140" i="198"/>
  <c r="X140" i="198"/>
  <c r="V140" i="198"/>
  <c r="U140" i="198"/>
  <c r="T140" i="198"/>
  <c r="S140" i="198"/>
  <c r="R140" i="198"/>
  <c r="Q140" i="198"/>
  <c r="P140" i="198"/>
  <c r="O140" i="198"/>
  <c r="N140" i="198"/>
  <c r="M140" i="198"/>
  <c r="L140" i="198"/>
  <c r="I140" i="198"/>
  <c r="F140" i="198"/>
  <c r="E140" i="198"/>
  <c r="AB139" i="198"/>
  <c r="Z139" i="198"/>
  <c r="X139" i="198"/>
  <c r="V139" i="198"/>
  <c r="U139" i="198"/>
  <c r="T139" i="198"/>
  <c r="S139" i="198"/>
  <c r="R139" i="198"/>
  <c r="Q139" i="198"/>
  <c r="P139" i="198"/>
  <c r="O139" i="198"/>
  <c r="N139" i="198"/>
  <c r="M139" i="198"/>
  <c r="L139" i="198"/>
  <c r="I139" i="198"/>
  <c r="F139" i="198"/>
  <c r="E139" i="198"/>
  <c r="AB138" i="198"/>
  <c r="Z138" i="198"/>
  <c r="X138" i="198"/>
  <c r="V138" i="198"/>
  <c r="U138" i="198"/>
  <c r="T138" i="198"/>
  <c r="S138" i="198"/>
  <c r="R138" i="198"/>
  <c r="Q138" i="198"/>
  <c r="P138" i="198"/>
  <c r="O138" i="198"/>
  <c r="N138" i="198"/>
  <c r="M138" i="198"/>
  <c r="L138" i="198"/>
  <c r="I138" i="198"/>
  <c r="E138" i="198"/>
  <c r="AB137" i="198"/>
  <c r="Z137" i="198"/>
  <c r="X137" i="198"/>
  <c r="V137" i="198"/>
  <c r="U137" i="198"/>
  <c r="T137" i="198"/>
  <c r="S137" i="198"/>
  <c r="R137" i="198"/>
  <c r="Q137" i="198"/>
  <c r="P137" i="198"/>
  <c r="O137" i="198"/>
  <c r="N137" i="198"/>
  <c r="M137" i="198"/>
  <c r="L137" i="198"/>
  <c r="I137" i="198"/>
  <c r="E137" i="198"/>
  <c r="AB136" i="198"/>
  <c r="Z136" i="198"/>
  <c r="X136" i="198"/>
  <c r="V136" i="198"/>
  <c r="U136" i="198"/>
  <c r="T136" i="198"/>
  <c r="S136" i="198"/>
  <c r="R136" i="198"/>
  <c r="Q136" i="198"/>
  <c r="P136" i="198"/>
  <c r="O136" i="198"/>
  <c r="N136" i="198"/>
  <c r="M136" i="198"/>
  <c r="L136" i="198"/>
  <c r="I136" i="198"/>
  <c r="E136" i="198"/>
  <c r="AB135" i="198"/>
  <c r="Z135" i="198"/>
  <c r="X135" i="198"/>
  <c r="V135" i="198"/>
  <c r="U135" i="198"/>
  <c r="T135" i="198"/>
  <c r="S135" i="198"/>
  <c r="R135" i="198"/>
  <c r="Q135" i="198"/>
  <c r="P135" i="198"/>
  <c r="O135" i="198"/>
  <c r="N135" i="198"/>
  <c r="M135" i="198"/>
  <c r="L135" i="198"/>
  <c r="I135" i="198"/>
  <c r="F135" i="198"/>
  <c r="E135" i="198"/>
  <c r="AB134" i="198"/>
  <c r="Z134" i="198"/>
  <c r="X134" i="198"/>
  <c r="V134" i="198"/>
  <c r="U134" i="198"/>
  <c r="T134" i="198"/>
  <c r="S134" i="198"/>
  <c r="R134" i="198"/>
  <c r="Q134" i="198"/>
  <c r="P134" i="198"/>
  <c r="O134" i="198"/>
  <c r="N134" i="198"/>
  <c r="M134" i="198"/>
  <c r="L134" i="198"/>
  <c r="I134" i="198"/>
  <c r="F134" i="198"/>
  <c r="E134" i="198"/>
  <c r="AB133" i="198"/>
  <c r="Z133" i="198"/>
  <c r="X133" i="198"/>
  <c r="V133" i="198"/>
  <c r="U133" i="198"/>
  <c r="T133" i="198"/>
  <c r="S133" i="198"/>
  <c r="R133" i="198"/>
  <c r="Q133" i="198"/>
  <c r="P133" i="198"/>
  <c r="O133" i="198"/>
  <c r="N133" i="198"/>
  <c r="M133" i="198"/>
  <c r="L133" i="198"/>
  <c r="I133" i="198"/>
  <c r="F133" i="198"/>
  <c r="E133" i="198"/>
  <c r="AB132" i="198"/>
  <c r="Z132" i="198"/>
  <c r="X132" i="198"/>
  <c r="V132" i="198"/>
  <c r="U132" i="198"/>
  <c r="T132" i="198"/>
  <c r="S132" i="198"/>
  <c r="R132" i="198"/>
  <c r="Q132" i="198"/>
  <c r="P132" i="198"/>
  <c r="O132" i="198"/>
  <c r="N132" i="198"/>
  <c r="M132" i="198"/>
  <c r="L132" i="198"/>
  <c r="I132" i="198"/>
  <c r="F132" i="198"/>
  <c r="E132" i="198"/>
  <c r="AB131" i="198"/>
  <c r="Z131" i="198"/>
  <c r="X131" i="198"/>
  <c r="V131" i="198"/>
  <c r="U131" i="198"/>
  <c r="T131" i="198"/>
  <c r="S131" i="198"/>
  <c r="R131" i="198"/>
  <c r="Q131" i="198"/>
  <c r="P131" i="198"/>
  <c r="O131" i="198"/>
  <c r="N131" i="198"/>
  <c r="M131" i="198"/>
  <c r="L131" i="198"/>
  <c r="I131" i="198"/>
  <c r="F131" i="198"/>
  <c r="E131" i="198"/>
  <c r="AB130" i="198"/>
  <c r="Z130" i="198"/>
  <c r="X130" i="198"/>
  <c r="V130" i="198"/>
  <c r="U130" i="198"/>
  <c r="T130" i="198"/>
  <c r="S130" i="198"/>
  <c r="R130" i="198"/>
  <c r="Q130" i="198"/>
  <c r="P130" i="198"/>
  <c r="O130" i="198"/>
  <c r="N130" i="198"/>
  <c r="M130" i="198"/>
  <c r="L130" i="198"/>
  <c r="I130" i="198"/>
  <c r="E130" i="198"/>
  <c r="AB129" i="198"/>
  <c r="Z129" i="198"/>
  <c r="X129" i="198"/>
  <c r="V129" i="198"/>
  <c r="U129" i="198"/>
  <c r="T129" i="198"/>
  <c r="S129" i="198"/>
  <c r="R129" i="198"/>
  <c r="Q129" i="198"/>
  <c r="P129" i="198"/>
  <c r="O129" i="198"/>
  <c r="N129" i="198"/>
  <c r="M129" i="198"/>
  <c r="L129" i="198"/>
  <c r="I129" i="198"/>
  <c r="E129" i="198"/>
  <c r="AB125" i="198"/>
  <c r="Z125" i="198"/>
  <c r="X125" i="198"/>
  <c r="V125" i="198"/>
  <c r="T125" i="198"/>
  <c r="S125" i="198"/>
  <c r="R125" i="198"/>
  <c r="Q125" i="198"/>
  <c r="P125" i="198"/>
  <c r="O125" i="198"/>
  <c r="N125" i="198"/>
  <c r="M125" i="198"/>
  <c r="L125" i="198"/>
  <c r="I125" i="198"/>
  <c r="E125" i="198"/>
  <c r="AB124" i="198"/>
  <c r="Z124" i="198"/>
  <c r="X124" i="198"/>
  <c r="V124" i="198"/>
  <c r="T124" i="198"/>
  <c r="S124" i="198"/>
  <c r="R124" i="198"/>
  <c r="Q124" i="198"/>
  <c r="P124" i="198"/>
  <c r="O124" i="198"/>
  <c r="N124" i="198"/>
  <c r="M124" i="198"/>
  <c r="L124" i="198"/>
  <c r="I124" i="198"/>
  <c r="E124" i="198"/>
  <c r="AB123" i="198"/>
  <c r="Z123" i="198"/>
  <c r="X123" i="198"/>
  <c r="V123" i="198"/>
  <c r="T123" i="198"/>
  <c r="S123" i="198"/>
  <c r="R123" i="198"/>
  <c r="Q123" i="198"/>
  <c r="P123" i="198"/>
  <c r="O123" i="198"/>
  <c r="N123" i="198"/>
  <c r="M123" i="198"/>
  <c r="L123" i="198"/>
  <c r="I123" i="198"/>
  <c r="E123" i="198"/>
  <c r="AB122" i="198"/>
  <c r="Z122" i="198"/>
  <c r="X122" i="198"/>
  <c r="V122" i="198"/>
  <c r="U122" i="198"/>
  <c r="T122" i="198"/>
  <c r="S122" i="198"/>
  <c r="R122" i="198"/>
  <c r="Q122" i="198"/>
  <c r="P122" i="198"/>
  <c r="O122" i="198"/>
  <c r="N122" i="198"/>
  <c r="M122" i="198"/>
  <c r="L122" i="198"/>
  <c r="I122" i="198"/>
  <c r="F122" i="198"/>
  <c r="E122" i="198"/>
  <c r="AB121" i="198"/>
  <c r="Z121" i="198"/>
  <c r="X121" i="198"/>
  <c r="V121" i="198"/>
  <c r="U121" i="198"/>
  <c r="T121" i="198"/>
  <c r="S121" i="198"/>
  <c r="R121" i="198"/>
  <c r="Q121" i="198"/>
  <c r="P121" i="198"/>
  <c r="O121" i="198"/>
  <c r="N121" i="198"/>
  <c r="M121" i="198"/>
  <c r="L121" i="198"/>
  <c r="I121" i="198"/>
  <c r="F121" i="198"/>
  <c r="E121" i="198"/>
  <c r="AB120" i="198"/>
  <c r="Z120" i="198"/>
  <c r="X120" i="198"/>
  <c r="V120" i="198"/>
  <c r="U120" i="198"/>
  <c r="T120" i="198"/>
  <c r="S120" i="198"/>
  <c r="R120" i="198"/>
  <c r="Q120" i="198"/>
  <c r="P120" i="198"/>
  <c r="O120" i="198"/>
  <c r="N120" i="198"/>
  <c r="M120" i="198"/>
  <c r="L120" i="198"/>
  <c r="I120" i="198"/>
  <c r="E120" i="198"/>
  <c r="AB119" i="198"/>
  <c r="Z119" i="198"/>
  <c r="X119" i="198"/>
  <c r="V119" i="198"/>
  <c r="U119" i="198"/>
  <c r="T119" i="198"/>
  <c r="S119" i="198"/>
  <c r="R119" i="198"/>
  <c r="Q119" i="198"/>
  <c r="P119" i="198"/>
  <c r="O119" i="198"/>
  <c r="N119" i="198"/>
  <c r="M119" i="198"/>
  <c r="L119" i="198"/>
  <c r="I119" i="198"/>
  <c r="E119" i="198"/>
  <c r="AB118" i="198"/>
  <c r="Z118" i="198"/>
  <c r="X118" i="198"/>
  <c r="V118" i="198"/>
  <c r="U118" i="198"/>
  <c r="T118" i="198"/>
  <c r="S118" i="198"/>
  <c r="R118" i="198"/>
  <c r="Q118" i="198"/>
  <c r="P118" i="198"/>
  <c r="O118" i="198"/>
  <c r="N118" i="198"/>
  <c r="M118" i="198"/>
  <c r="L118" i="198"/>
  <c r="I118" i="198"/>
  <c r="F118" i="198"/>
  <c r="E118" i="198"/>
  <c r="AB117" i="198"/>
  <c r="Z117" i="198"/>
  <c r="X117" i="198"/>
  <c r="V117" i="198"/>
  <c r="U117" i="198"/>
  <c r="T117" i="198"/>
  <c r="S117" i="198"/>
  <c r="R117" i="198"/>
  <c r="Q117" i="198"/>
  <c r="P117" i="198"/>
  <c r="O117" i="198"/>
  <c r="N117" i="198"/>
  <c r="M117" i="198"/>
  <c r="L117" i="198"/>
  <c r="I117" i="198"/>
  <c r="F117" i="198"/>
  <c r="E117" i="198"/>
  <c r="AB116" i="198"/>
  <c r="Z116" i="198"/>
  <c r="X116" i="198"/>
  <c r="V116" i="198"/>
  <c r="U116" i="198"/>
  <c r="T116" i="198"/>
  <c r="S116" i="198"/>
  <c r="R116" i="198"/>
  <c r="Q116" i="198"/>
  <c r="P116" i="198"/>
  <c r="O116" i="198"/>
  <c r="N116" i="198"/>
  <c r="M116" i="198"/>
  <c r="L116" i="198"/>
  <c r="I116" i="198"/>
  <c r="F116" i="198"/>
  <c r="E116" i="198"/>
  <c r="AB112" i="198"/>
  <c r="Z112" i="198"/>
  <c r="X112" i="198"/>
  <c r="V112" i="198"/>
  <c r="U112" i="198"/>
  <c r="T112" i="198"/>
  <c r="S112" i="198"/>
  <c r="R112" i="198"/>
  <c r="Q112" i="198"/>
  <c r="P112" i="198"/>
  <c r="O112" i="198"/>
  <c r="N112" i="198"/>
  <c r="M112" i="198"/>
  <c r="L112" i="198"/>
  <c r="I112" i="198"/>
  <c r="F112" i="198"/>
  <c r="E112" i="198"/>
  <c r="AB111" i="198"/>
  <c r="Z111" i="198"/>
  <c r="X111" i="198"/>
  <c r="V111" i="198"/>
  <c r="U111" i="198"/>
  <c r="T111" i="198"/>
  <c r="S111" i="198"/>
  <c r="R111" i="198"/>
  <c r="Q111" i="198"/>
  <c r="P111" i="198"/>
  <c r="O111" i="198"/>
  <c r="N111" i="198"/>
  <c r="M111" i="198"/>
  <c r="L111" i="198"/>
  <c r="I111" i="198"/>
  <c r="E111" i="198"/>
  <c r="AB110" i="198"/>
  <c r="Z110" i="198"/>
  <c r="X110" i="198"/>
  <c r="V110" i="198"/>
  <c r="U110" i="198"/>
  <c r="T110" i="198"/>
  <c r="S110" i="198"/>
  <c r="R110" i="198"/>
  <c r="Q110" i="198"/>
  <c r="P110" i="198"/>
  <c r="O110" i="198"/>
  <c r="N110" i="198"/>
  <c r="M110" i="198"/>
  <c r="L110" i="198"/>
  <c r="I110" i="198"/>
  <c r="F110" i="198"/>
  <c r="E110" i="198"/>
  <c r="AB106" i="198"/>
  <c r="Z106" i="198"/>
  <c r="X106" i="198"/>
  <c r="V106" i="198"/>
  <c r="T106" i="198"/>
  <c r="S106" i="198"/>
  <c r="R106" i="198"/>
  <c r="Q106" i="198"/>
  <c r="P106" i="198"/>
  <c r="O106" i="198"/>
  <c r="N106" i="198"/>
  <c r="M106" i="198"/>
  <c r="L106" i="198"/>
  <c r="I106" i="198"/>
  <c r="E106" i="198"/>
  <c r="AB105" i="198"/>
  <c r="Z105" i="198"/>
  <c r="X105" i="198"/>
  <c r="V105" i="198"/>
  <c r="U105" i="198"/>
  <c r="T105" i="198"/>
  <c r="S105" i="198"/>
  <c r="R105" i="198"/>
  <c r="Q105" i="198"/>
  <c r="P105" i="198"/>
  <c r="O105" i="198"/>
  <c r="N105" i="198"/>
  <c r="M105" i="198"/>
  <c r="L105" i="198"/>
  <c r="I105" i="198"/>
  <c r="E105" i="198"/>
  <c r="AB104" i="198"/>
  <c r="Z104" i="198"/>
  <c r="X104" i="198"/>
  <c r="V104" i="198"/>
  <c r="U104" i="198"/>
  <c r="T104" i="198"/>
  <c r="S104" i="198"/>
  <c r="R104" i="198"/>
  <c r="Q104" i="198"/>
  <c r="P104" i="198"/>
  <c r="O104" i="198"/>
  <c r="N104" i="198"/>
  <c r="M104" i="198"/>
  <c r="L104" i="198"/>
  <c r="I104" i="198"/>
  <c r="E104" i="198"/>
  <c r="AB103" i="198"/>
  <c r="Z103" i="198"/>
  <c r="X103" i="198"/>
  <c r="V103" i="198"/>
  <c r="U103" i="198"/>
  <c r="T103" i="198"/>
  <c r="S103" i="198"/>
  <c r="R103" i="198"/>
  <c r="Q103" i="198"/>
  <c r="P103" i="198"/>
  <c r="O103" i="198"/>
  <c r="N103" i="198"/>
  <c r="M103" i="198"/>
  <c r="L103" i="198"/>
  <c r="I103" i="198"/>
  <c r="E103" i="198"/>
  <c r="AB102" i="198"/>
  <c r="Z102" i="198"/>
  <c r="X102" i="198"/>
  <c r="V102" i="198"/>
  <c r="U102" i="198"/>
  <c r="T102" i="198"/>
  <c r="S102" i="198"/>
  <c r="R102" i="198"/>
  <c r="Q102" i="198"/>
  <c r="P102" i="198"/>
  <c r="O102" i="198"/>
  <c r="N102" i="198"/>
  <c r="M102" i="198"/>
  <c r="L102" i="198"/>
  <c r="I102" i="198"/>
  <c r="F102" i="198"/>
  <c r="E102" i="198"/>
  <c r="AB101" i="198"/>
  <c r="Z101" i="198"/>
  <c r="X101" i="198"/>
  <c r="V101" i="198"/>
  <c r="U101" i="198"/>
  <c r="T101" i="198"/>
  <c r="S101" i="198"/>
  <c r="R101" i="198"/>
  <c r="Q101" i="198"/>
  <c r="P101" i="198"/>
  <c r="O101" i="198"/>
  <c r="N101" i="198"/>
  <c r="M101" i="198"/>
  <c r="L101" i="198"/>
  <c r="I101" i="198"/>
  <c r="F101" i="198"/>
  <c r="E101" i="198"/>
  <c r="AB100" i="198"/>
  <c r="Z100" i="198"/>
  <c r="X100" i="198"/>
  <c r="V100" i="198"/>
  <c r="U100" i="198"/>
  <c r="T100" i="198"/>
  <c r="S100" i="198"/>
  <c r="R100" i="198"/>
  <c r="Q100" i="198"/>
  <c r="P100" i="198"/>
  <c r="O100" i="198"/>
  <c r="N100" i="198"/>
  <c r="M100" i="198"/>
  <c r="L100" i="198"/>
  <c r="I100" i="198"/>
  <c r="E100" i="198"/>
  <c r="AB96" i="198"/>
  <c r="Z96" i="198"/>
  <c r="X96" i="198"/>
  <c r="V96" i="198"/>
  <c r="T96" i="198"/>
  <c r="S96" i="198"/>
  <c r="R96" i="198"/>
  <c r="Q96" i="198"/>
  <c r="P96" i="198"/>
  <c r="O96" i="198"/>
  <c r="N96" i="198"/>
  <c r="M96" i="198"/>
  <c r="L96" i="198"/>
  <c r="I96" i="198"/>
  <c r="E96" i="198"/>
  <c r="AB95" i="198"/>
  <c r="Z95" i="198"/>
  <c r="X95" i="198"/>
  <c r="V95" i="198"/>
  <c r="U95" i="198"/>
  <c r="T95" i="198"/>
  <c r="S95" i="198"/>
  <c r="R95" i="198"/>
  <c r="Q95" i="198"/>
  <c r="P95" i="198"/>
  <c r="O95" i="198"/>
  <c r="N95" i="198"/>
  <c r="M95" i="198"/>
  <c r="L95" i="198"/>
  <c r="I95" i="198"/>
  <c r="E95" i="198"/>
  <c r="AB94" i="198"/>
  <c r="Z94" i="198"/>
  <c r="X94" i="198"/>
  <c r="V94" i="198"/>
  <c r="U94" i="198"/>
  <c r="T94" i="198"/>
  <c r="S94" i="198"/>
  <c r="R94" i="198"/>
  <c r="Q94" i="198"/>
  <c r="P94" i="198"/>
  <c r="O94" i="198"/>
  <c r="N94" i="198"/>
  <c r="M94" i="198"/>
  <c r="L94" i="198"/>
  <c r="I94" i="198"/>
  <c r="E94" i="198"/>
  <c r="AB93" i="198"/>
  <c r="Z93" i="198"/>
  <c r="X93" i="198"/>
  <c r="V93" i="198"/>
  <c r="U93" i="198"/>
  <c r="T93" i="198"/>
  <c r="S93" i="198"/>
  <c r="R93" i="198"/>
  <c r="Q93" i="198"/>
  <c r="P93" i="198"/>
  <c r="O93" i="198"/>
  <c r="N93" i="198"/>
  <c r="M93" i="198"/>
  <c r="L93" i="198"/>
  <c r="I93" i="198"/>
  <c r="G93" i="198"/>
  <c r="F93" i="198"/>
  <c r="E93" i="198"/>
  <c r="AB89" i="198"/>
  <c r="Z89" i="198"/>
  <c r="X89" i="198"/>
  <c r="V89" i="198"/>
  <c r="T89" i="198"/>
  <c r="S89" i="198"/>
  <c r="R89" i="198"/>
  <c r="Q89" i="198"/>
  <c r="P89" i="198"/>
  <c r="O89" i="198"/>
  <c r="N89" i="198"/>
  <c r="M89" i="198"/>
  <c r="L89" i="198"/>
  <c r="I89" i="198"/>
  <c r="E89" i="198"/>
  <c r="AB88" i="198"/>
  <c r="Z88" i="198"/>
  <c r="X88" i="198"/>
  <c r="V88" i="198"/>
  <c r="U88" i="198"/>
  <c r="T88" i="198"/>
  <c r="S88" i="198"/>
  <c r="R88" i="198"/>
  <c r="Q88" i="198"/>
  <c r="P88" i="198"/>
  <c r="O88" i="198"/>
  <c r="N88" i="198"/>
  <c r="M88" i="198"/>
  <c r="L88" i="198"/>
  <c r="I88" i="198"/>
  <c r="E88" i="198"/>
  <c r="AB87" i="198"/>
  <c r="Z87" i="198"/>
  <c r="X87" i="198"/>
  <c r="V87" i="198"/>
  <c r="U87" i="198"/>
  <c r="T87" i="198"/>
  <c r="S87" i="198"/>
  <c r="R87" i="198"/>
  <c r="Q87" i="198"/>
  <c r="P87" i="198"/>
  <c r="O87" i="198"/>
  <c r="N87" i="198"/>
  <c r="M87" i="198"/>
  <c r="L87" i="198"/>
  <c r="I87" i="198"/>
  <c r="F87" i="198"/>
  <c r="E87" i="198"/>
  <c r="AB86" i="198"/>
  <c r="Z86" i="198"/>
  <c r="X86" i="198"/>
  <c r="V86" i="198"/>
  <c r="U86" i="198"/>
  <c r="T86" i="198"/>
  <c r="S86" i="198"/>
  <c r="R86" i="198"/>
  <c r="Q86" i="198"/>
  <c r="P86" i="198"/>
  <c r="O86" i="198"/>
  <c r="N86" i="198"/>
  <c r="M86" i="198"/>
  <c r="L86" i="198"/>
  <c r="I86" i="198"/>
  <c r="G86" i="198"/>
  <c r="E86" i="198"/>
  <c r="AB85" i="198"/>
  <c r="Z85" i="198"/>
  <c r="X85" i="198"/>
  <c r="V85" i="198"/>
  <c r="U85" i="198"/>
  <c r="T85" i="198"/>
  <c r="S85" i="198"/>
  <c r="R85" i="198"/>
  <c r="Q85" i="198"/>
  <c r="P85" i="198"/>
  <c r="O85" i="198"/>
  <c r="N85" i="198"/>
  <c r="M85" i="198"/>
  <c r="L85" i="198"/>
  <c r="I85" i="198"/>
  <c r="E85" i="198"/>
  <c r="AB84" i="198"/>
  <c r="Z84" i="198"/>
  <c r="X84" i="198"/>
  <c r="V84" i="198"/>
  <c r="U84" i="198"/>
  <c r="T84" i="198"/>
  <c r="S84" i="198"/>
  <c r="R84" i="198"/>
  <c r="Q84" i="198"/>
  <c r="P84" i="198"/>
  <c r="O84" i="198"/>
  <c r="N84" i="198"/>
  <c r="M84" i="198"/>
  <c r="L84" i="198"/>
  <c r="I84" i="198"/>
  <c r="E84" i="198"/>
  <c r="AB83" i="198"/>
  <c r="Z83" i="198"/>
  <c r="X83" i="198"/>
  <c r="V83" i="198"/>
  <c r="U83" i="198"/>
  <c r="T83" i="198"/>
  <c r="S83" i="198"/>
  <c r="R83" i="198"/>
  <c r="Q83" i="198"/>
  <c r="P83" i="198"/>
  <c r="O83" i="198"/>
  <c r="N83" i="198"/>
  <c r="M83" i="198"/>
  <c r="L83" i="198"/>
  <c r="I83" i="198"/>
  <c r="E83" i="198"/>
  <c r="AB82" i="198"/>
  <c r="Z82" i="198"/>
  <c r="X82" i="198"/>
  <c r="V82" i="198"/>
  <c r="U82" i="198"/>
  <c r="T82" i="198"/>
  <c r="S82" i="198"/>
  <c r="R82" i="198"/>
  <c r="Q82" i="198"/>
  <c r="P82" i="198"/>
  <c r="O82" i="198"/>
  <c r="N82" i="198"/>
  <c r="M82" i="198"/>
  <c r="L82" i="198"/>
  <c r="I82" i="198"/>
  <c r="E82" i="198"/>
  <c r="AB81" i="198"/>
  <c r="Z81" i="198"/>
  <c r="X81" i="198"/>
  <c r="V81" i="198"/>
  <c r="U81" i="198"/>
  <c r="T81" i="198"/>
  <c r="S81" i="198"/>
  <c r="R81" i="198"/>
  <c r="Q81" i="198"/>
  <c r="P81" i="198"/>
  <c r="O81" i="198"/>
  <c r="N81" i="198"/>
  <c r="M81" i="198"/>
  <c r="L81" i="198"/>
  <c r="I81" i="198"/>
  <c r="G81" i="198"/>
  <c r="F81" i="198"/>
  <c r="E81" i="198"/>
  <c r="AB80" i="198"/>
  <c r="Z80" i="198"/>
  <c r="X80" i="198"/>
  <c r="V80" i="198"/>
  <c r="U80" i="198"/>
  <c r="T80" i="198"/>
  <c r="S80" i="198"/>
  <c r="R80" i="198"/>
  <c r="Q80" i="198"/>
  <c r="P80" i="198"/>
  <c r="O80" i="198"/>
  <c r="N80" i="198"/>
  <c r="M80" i="198"/>
  <c r="L80" i="198"/>
  <c r="I80" i="198"/>
  <c r="E80" i="198"/>
  <c r="AB76" i="198"/>
  <c r="Z76" i="198"/>
  <c r="X76" i="198"/>
  <c r="V76" i="198"/>
  <c r="T76" i="198"/>
  <c r="S76" i="198"/>
  <c r="R76" i="198"/>
  <c r="Q76" i="198"/>
  <c r="P76" i="198"/>
  <c r="O76" i="198"/>
  <c r="N76" i="198"/>
  <c r="M76" i="198"/>
  <c r="L76" i="198"/>
  <c r="I76" i="198"/>
  <c r="E76" i="198"/>
  <c r="AB75" i="198"/>
  <c r="Z75" i="198"/>
  <c r="X75" i="198"/>
  <c r="V75" i="198"/>
  <c r="T75" i="198"/>
  <c r="S75" i="198"/>
  <c r="R75" i="198"/>
  <c r="Q75" i="198"/>
  <c r="P75" i="198"/>
  <c r="O75" i="198"/>
  <c r="N75" i="198"/>
  <c r="M75" i="198"/>
  <c r="L75" i="198"/>
  <c r="I75" i="198"/>
  <c r="E75" i="198"/>
  <c r="AB74" i="198"/>
  <c r="Z74" i="198"/>
  <c r="X74" i="198"/>
  <c r="V74" i="198"/>
  <c r="U74" i="198"/>
  <c r="T74" i="198"/>
  <c r="S74" i="198"/>
  <c r="R74" i="198"/>
  <c r="Q74" i="198"/>
  <c r="P74" i="198"/>
  <c r="O74" i="198"/>
  <c r="N74" i="198"/>
  <c r="M74" i="198"/>
  <c r="L74" i="198"/>
  <c r="I74" i="198"/>
  <c r="E74" i="198"/>
  <c r="AB73" i="198"/>
  <c r="Z73" i="198"/>
  <c r="X73" i="198"/>
  <c r="V73" i="198"/>
  <c r="U73" i="198"/>
  <c r="T73" i="198"/>
  <c r="S73" i="198"/>
  <c r="R73" i="198"/>
  <c r="Q73" i="198"/>
  <c r="P73" i="198"/>
  <c r="O73" i="198"/>
  <c r="N73" i="198"/>
  <c r="M73" i="198"/>
  <c r="L73" i="198"/>
  <c r="I73" i="198"/>
  <c r="F73" i="198"/>
  <c r="E73" i="198"/>
  <c r="AB72" i="198"/>
  <c r="Z72" i="198"/>
  <c r="X72" i="198"/>
  <c r="V72" i="198"/>
  <c r="U72" i="198"/>
  <c r="T72" i="198"/>
  <c r="S72" i="198"/>
  <c r="R72" i="198"/>
  <c r="Q72" i="198"/>
  <c r="P72" i="198"/>
  <c r="O72" i="198"/>
  <c r="N72" i="198"/>
  <c r="M72" i="198"/>
  <c r="L72" i="198"/>
  <c r="I72" i="198"/>
  <c r="E72" i="198"/>
  <c r="C72" i="198"/>
  <c r="AB71" i="198"/>
  <c r="Z71" i="198"/>
  <c r="X71" i="198"/>
  <c r="V71" i="198"/>
  <c r="U71" i="198"/>
  <c r="T71" i="198"/>
  <c r="S71" i="198"/>
  <c r="R71" i="198"/>
  <c r="Q71" i="198"/>
  <c r="P71" i="198"/>
  <c r="O71" i="198"/>
  <c r="N71" i="198"/>
  <c r="M71" i="198"/>
  <c r="L71" i="198"/>
  <c r="I71" i="198"/>
  <c r="E71" i="198"/>
  <c r="AB70" i="198"/>
  <c r="Z70" i="198"/>
  <c r="X70" i="198"/>
  <c r="V70" i="198"/>
  <c r="U70" i="198"/>
  <c r="T70" i="198"/>
  <c r="S70" i="198"/>
  <c r="R70" i="198"/>
  <c r="Q70" i="198"/>
  <c r="P70" i="198"/>
  <c r="O70" i="198"/>
  <c r="N70" i="198"/>
  <c r="M70" i="198"/>
  <c r="L70" i="198"/>
  <c r="I70" i="198"/>
  <c r="E70" i="198"/>
  <c r="AB66" i="198"/>
  <c r="Z66" i="198"/>
  <c r="X66" i="198"/>
  <c r="V66" i="198"/>
  <c r="U66" i="198"/>
  <c r="T66" i="198"/>
  <c r="S66" i="198"/>
  <c r="R66" i="198"/>
  <c r="Q66" i="198"/>
  <c r="P66" i="198"/>
  <c r="O66" i="198"/>
  <c r="N66" i="198"/>
  <c r="M66" i="198"/>
  <c r="L66" i="198"/>
  <c r="I66" i="198"/>
  <c r="E66" i="198"/>
  <c r="AB65" i="198"/>
  <c r="Z65" i="198"/>
  <c r="X65" i="198"/>
  <c r="V65" i="198"/>
  <c r="U65" i="198"/>
  <c r="T65" i="198"/>
  <c r="S65" i="198"/>
  <c r="R65" i="198"/>
  <c r="Q65" i="198"/>
  <c r="P65" i="198"/>
  <c r="O65" i="198"/>
  <c r="N65" i="198"/>
  <c r="M65" i="198"/>
  <c r="L65" i="198"/>
  <c r="I65" i="198"/>
  <c r="E65" i="198"/>
  <c r="AB64" i="198"/>
  <c r="Z64" i="198"/>
  <c r="X64" i="198"/>
  <c r="V64" i="198"/>
  <c r="U64" i="198"/>
  <c r="T64" i="198"/>
  <c r="S64" i="198"/>
  <c r="R64" i="198"/>
  <c r="Q64" i="198"/>
  <c r="P64" i="198"/>
  <c r="O64" i="198"/>
  <c r="N64" i="198"/>
  <c r="M64" i="198"/>
  <c r="L64" i="198"/>
  <c r="I64" i="198"/>
  <c r="E64" i="198"/>
  <c r="AB63" i="198"/>
  <c r="Z63" i="198"/>
  <c r="X63" i="198"/>
  <c r="V63" i="198"/>
  <c r="U63" i="198"/>
  <c r="T63" i="198"/>
  <c r="S63" i="198"/>
  <c r="R63" i="198"/>
  <c r="Q63" i="198"/>
  <c r="P63" i="198"/>
  <c r="O63" i="198"/>
  <c r="N63" i="198"/>
  <c r="M63" i="198"/>
  <c r="L63" i="198"/>
  <c r="I63" i="198"/>
  <c r="E63" i="198"/>
  <c r="AB62" i="198"/>
  <c r="Z62" i="198"/>
  <c r="X62" i="198"/>
  <c r="V62" i="198"/>
  <c r="U62" i="198"/>
  <c r="T62" i="198"/>
  <c r="S62" i="198"/>
  <c r="R62" i="198"/>
  <c r="Q62" i="198"/>
  <c r="P62" i="198"/>
  <c r="O62" i="198"/>
  <c r="N62" i="198"/>
  <c r="M62" i="198"/>
  <c r="L62" i="198"/>
  <c r="I62" i="198"/>
  <c r="E62" i="198"/>
  <c r="AB61" i="198"/>
  <c r="Z61" i="198"/>
  <c r="X61" i="198"/>
  <c r="V61" i="198"/>
  <c r="U61" i="198"/>
  <c r="T61" i="198"/>
  <c r="S61" i="198"/>
  <c r="R61" i="198"/>
  <c r="Q61" i="198"/>
  <c r="P61" i="198"/>
  <c r="O61" i="198"/>
  <c r="N61" i="198"/>
  <c r="M61" i="198"/>
  <c r="L61" i="198"/>
  <c r="I61" i="198"/>
  <c r="E61" i="198"/>
  <c r="AB60" i="198"/>
  <c r="Z60" i="198"/>
  <c r="X60" i="198"/>
  <c r="V60" i="198"/>
  <c r="U60" i="198"/>
  <c r="T60" i="198"/>
  <c r="S60" i="198"/>
  <c r="R60" i="198"/>
  <c r="Q60" i="198"/>
  <c r="P60" i="198"/>
  <c r="O60" i="198"/>
  <c r="N60" i="198"/>
  <c r="M60" i="198"/>
  <c r="L60" i="198"/>
  <c r="I60" i="198"/>
  <c r="E60" i="198"/>
  <c r="AB59" i="198"/>
  <c r="Z59" i="198"/>
  <c r="X59" i="198"/>
  <c r="V59" i="198"/>
  <c r="U59" i="198"/>
  <c r="T59" i="198"/>
  <c r="S59" i="198"/>
  <c r="R59" i="198"/>
  <c r="Q59" i="198"/>
  <c r="P59" i="198"/>
  <c r="O59" i="198"/>
  <c r="N59" i="198"/>
  <c r="M59" i="198"/>
  <c r="L59" i="198"/>
  <c r="I59" i="198"/>
  <c r="E59" i="198"/>
  <c r="AB58" i="198"/>
  <c r="Z58" i="198"/>
  <c r="X58" i="198"/>
  <c r="V58" i="198"/>
  <c r="U58" i="198"/>
  <c r="T58" i="198"/>
  <c r="S58" i="198"/>
  <c r="R58" i="198"/>
  <c r="Q58" i="198"/>
  <c r="P58" i="198"/>
  <c r="O58" i="198"/>
  <c r="N58" i="198"/>
  <c r="M58" i="198"/>
  <c r="L58" i="198"/>
  <c r="I58" i="198"/>
  <c r="G58" i="198"/>
  <c r="E58" i="198"/>
  <c r="AB57" i="198"/>
  <c r="Z57" i="198"/>
  <c r="X57" i="198"/>
  <c r="V57" i="198"/>
  <c r="U57" i="198"/>
  <c r="T57" i="198"/>
  <c r="S57" i="198"/>
  <c r="R57" i="198"/>
  <c r="Q57" i="198"/>
  <c r="P57" i="198"/>
  <c r="O57" i="198"/>
  <c r="N57" i="198"/>
  <c r="M57" i="198"/>
  <c r="L57" i="198"/>
  <c r="I57" i="198"/>
  <c r="E57" i="198"/>
  <c r="AB54" i="198"/>
  <c r="Z54" i="198"/>
  <c r="X54" i="198"/>
  <c r="V54" i="198"/>
  <c r="U54" i="198"/>
  <c r="T54" i="198"/>
  <c r="S54" i="198"/>
  <c r="R54" i="198"/>
  <c r="Q54" i="198"/>
  <c r="P54" i="198"/>
  <c r="O54" i="198"/>
  <c r="N54" i="198"/>
  <c r="M54" i="198"/>
  <c r="L54" i="198"/>
  <c r="I54" i="198"/>
  <c r="E54" i="198"/>
  <c r="AB53" i="198"/>
  <c r="Z53" i="198"/>
  <c r="X53" i="198"/>
  <c r="V53" i="198"/>
  <c r="U53" i="198"/>
  <c r="T53" i="198"/>
  <c r="S53" i="198"/>
  <c r="R53" i="198"/>
  <c r="Q53" i="198"/>
  <c r="P53" i="198"/>
  <c r="O53" i="198"/>
  <c r="N53" i="198"/>
  <c r="M53" i="198"/>
  <c r="L53" i="198"/>
  <c r="I53" i="198"/>
  <c r="E53" i="198"/>
  <c r="AB50" i="198"/>
  <c r="Z50" i="198"/>
  <c r="X50" i="198"/>
  <c r="V50" i="198"/>
  <c r="T50" i="198"/>
  <c r="S50" i="198"/>
  <c r="R50" i="198"/>
  <c r="Q50" i="198"/>
  <c r="P50" i="198"/>
  <c r="O50" i="198"/>
  <c r="N50" i="198"/>
  <c r="M50" i="198"/>
  <c r="L50" i="198"/>
  <c r="I50" i="198"/>
  <c r="E50" i="198"/>
  <c r="AB49" i="198"/>
  <c r="Z49" i="198"/>
  <c r="X49" i="198"/>
  <c r="V49" i="198"/>
  <c r="T49" i="198"/>
  <c r="S49" i="198"/>
  <c r="R49" i="198"/>
  <c r="Q49" i="198"/>
  <c r="P49" i="198"/>
  <c r="O49" i="198"/>
  <c r="N49" i="198"/>
  <c r="M49" i="198"/>
  <c r="L49" i="198"/>
  <c r="I49" i="198"/>
  <c r="E49" i="198"/>
  <c r="AB48" i="198"/>
  <c r="Z48" i="198"/>
  <c r="X48" i="198"/>
  <c r="V48" i="198"/>
  <c r="T48" i="198"/>
  <c r="S48" i="198"/>
  <c r="R48" i="198"/>
  <c r="Q48" i="198"/>
  <c r="P48" i="198"/>
  <c r="O48" i="198"/>
  <c r="N48" i="198"/>
  <c r="M48" i="198"/>
  <c r="L48" i="198"/>
  <c r="I48" i="198"/>
  <c r="E48" i="198"/>
  <c r="AB47" i="198"/>
  <c r="Z47" i="198"/>
  <c r="X47" i="198"/>
  <c r="V47" i="198"/>
  <c r="U47" i="198"/>
  <c r="T47" i="198"/>
  <c r="S47" i="198"/>
  <c r="R47" i="198"/>
  <c r="Q47" i="198"/>
  <c r="P47" i="198"/>
  <c r="O47" i="198"/>
  <c r="N47" i="198"/>
  <c r="M47" i="198"/>
  <c r="L47" i="198"/>
  <c r="I47" i="198"/>
  <c r="E47" i="198"/>
  <c r="AB46" i="198"/>
  <c r="Z46" i="198"/>
  <c r="X46" i="198"/>
  <c r="V46" i="198"/>
  <c r="U46" i="198"/>
  <c r="T46" i="198"/>
  <c r="S46" i="198"/>
  <c r="R46" i="198"/>
  <c r="Q46" i="198"/>
  <c r="P46" i="198"/>
  <c r="O46" i="198"/>
  <c r="N46" i="198"/>
  <c r="M46" i="198"/>
  <c r="L46" i="198"/>
  <c r="I46" i="198"/>
  <c r="E46" i="198"/>
  <c r="AB45" i="198"/>
  <c r="Z45" i="198"/>
  <c r="X45" i="198"/>
  <c r="V45" i="198"/>
  <c r="U45" i="198"/>
  <c r="T45" i="198"/>
  <c r="S45" i="198"/>
  <c r="R45" i="198"/>
  <c r="Q45" i="198"/>
  <c r="P45" i="198"/>
  <c r="O45" i="198"/>
  <c r="N45" i="198"/>
  <c r="M45" i="198"/>
  <c r="L45" i="198"/>
  <c r="I45" i="198"/>
  <c r="E45" i="198"/>
  <c r="AB44" i="198"/>
  <c r="Z44" i="198"/>
  <c r="X44" i="198"/>
  <c r="V44" i="198"/>
  <c r="U44" i="198"/>
  <c r="T44" i="198"/>
  <c r="S44" i="198"/>
  <c r="R44" i="198"/>
  <c r="Q44" i="198"/>
  <c r="P44" i="198"/>
  <c r="O44" i="198"/>
  <c r="N44" i="198"/>
  <c r="M44" i="198"/>
  <c r="L44" i="198"/>
  <c r="I44" i="198"/>
  <c r="F44" i="198"/>
  <c r="E44" i="198"/>
  <c r="AB43" i="198"/>
  <c r="Z43" i="198"/>
  <c r="X43" i="198"/>
  <c r="V43" i="198"/>
  <c r="U43" i="198"/>
  <c r="T43" i="198"/>
  <c r="S43" i="198"/>
  <c r="R43" i="198"/>
  <c r="Q43" i="198"/>
  <c r="P43" i="198"/>
  <c r="O43" i="198"/>
  <c r="N43" i="198"/>
  <c r="M43" i="198"/>
  <c r="L43" i="198"/>
  <c r="I43" i="198"/>
  <c r="E43" i="198"/>
  <c r="AB42" i="198"/>
  <c r="Z42" i="198"/>
  <c r="X42" i="198"/>
  <c r="V42" i="198"/>
  <c r="U42" i="198"/>
  <c r="T42" i="198"/>
  <c r="S42" i="198"/>
  <c r="R42" i="198"/>
  <c r="Q42" i="198"/>
  <c r="P42" i="198"/>
  <c r="O42" i="198"/>
  <c r="N42" i="198"/>
  <c r="M42" i="198"/>
  <c r="L42" i="198"/>
  <c r="I42" i="198"/>
  <c r="E42" i="198"/>
  <c r="AB41" i="198"/>
  <c r="Z41" i="198"/>
  <c r="X41" i="198"/>
  <c r="V41" i="198"/>
  <c r="U41" i="198"/>
  <c r="T41" i="198"/>
  <c r="S41" i="198"/>
  <c r="R41" i="198"/>
  <c r="Q41" i="198"/>
  <c r="P41" i="198"/>
  <c r="O41" i="198"/>
  <c r="N41" i="198"/>
  <c r="M41" i="198"/>
  <c r="L41" i="198"/>
  <c r="I41" i="198"/>
  <c r="E41" i="198"/>
  <c r="AB40" i="198"/>
  <c r="Z40" i="198"/>
  <c r="X40" i="198"/>
  <c r="V40" i="198"/>
  <c r="U40" i="198"/>
  <c r="T40" i="198"/>
  <c r="S40" i="198"/>
  <c r="R40" i="198"/>
  <c r="Q40" i="198"/>
  <c r="P40" i="198"/>
  <c r="O40" i="198"/>
  <c r="N40" i="198"/>
  <c r="M40" i="198"/>
  <c r="L40" i="198"/>
  <c r="I40" i="198"/>
  <c r="E40" i="198"/>
  <c r="AB37" i="198"/>
  <c r="Z37" i="198"/>
  <c r="X37" i="198"/>
  <c r="V37" i="198"/>
  <c r="T37" i="198"/>
  <c r="S37" i="198"/>
  <c r="R37" i="198"/>
  <c r="Q37" i="198"/>
  <c r="P37" i="198"/>
  <c r="O37" i="198"/>
  <c r="N37" i="198"/>
  <c r="M37" i="198"/>
  <c r="L37" i="198"/>
  <c r="I37" i="198"/>
  <c r="E37" i="198"/>
  <c r="AB36" i="198"/>
  <c r="Z36" i="198"/>
  <c r="X36" i="198"/>
  <c r="V36" i="198"/>
  <c r="T36" i="198"/>
  <c r="S36" i="198"/>
  <c r="R36" i="198"/>
  <c r="Q36" i="198"/>
  <c r="P36" i="198"/>
  <c r="O36" i="198"/>
  <c r="N36" i="198"/>
  <c r="M36" i="198"/>
  <c r="L36" i="198"/>
  <c r="I36" i="198"/>
  <c r="E36" i="198"/>
  <c r="AB35" i="198"/>
  <c r="Z35" i="198"/>
  <c r="X35" i="198"/>
  <c r="V35" i="198"/>
  <c r="U35" i="198"/>
  <c r="T35" i="198"/>
  <c r="S35" i="198"/>
  <c r="R35" i="198"/>
  <c r="Q35" i="198"/>
  <c r="P35" i="198"/>
  <c r="O35" i="198"/>
  <c r="N35" i="198"/>
  <c r="M35" i="198"/>
  <c r="L35" i="198"/>
  <c r="I35" i="198"/>
  <c r="E35" i="198"/>
  <c r="AB32" i="198"/>
  <c r="Z32" i="198"/>
  <c r="X32" i="198"/>
  <c r="V32" i="198"/>
  <c r="T32" i="198"/>
  <c r="S32" i="198"/>
  <c r="R32" i="198"/>
  <c r="Q32" i="198"/>
  <c r="P32" i="198"/>
  <c r="O32" i="198"/>
  <c r="N32" i="198"/>
  <c r="M32" i="198"/>
  <c r="L32" i="198"/>
  <c r="I32" i="198"/>
  <c r="G32" i="198"/>
  <c r="E32" i="198"/>
  <c r="AB31" i="198"/>
  <c r="Z31" i="198"/>
  <c r="X31" i="198"/>
  <c r="V31" i="198"/>
  <c r="T31" i="198"/>
  <c r="S31" i="198"/>
  <c r="R31" i="198"/>
  <c r="Q31" i="198"/>
  <c r="P31" i="198"/>
  <c r="O31" i="198"/>
  <c r="N31" i="198"/>
  <c r="M31" i="198"/>
  <c r="L31" i="198"/>
  <c r="I31" i="198"/>
  <c r="E31" i="198"/>
  <c r="AB30" i="198"/>
  <c r="Z30" i="198"/>
  <c r="X30" i="198"/>
  <c r="V30" i="198"/>
  <c r="T30" i="198"/>
  <c r="S30" i="198"/>
  <c r="R30" i="198"/>
  <c r="Q30" i="198"/>
  <c r="P30" i="198"/>
  <c r="O30" i="198"/>
  <c r="N30" i="198"/>
  <c r="M30" i="198"/>
  <c r="L30" i="198"/>
  <c r="I30" i="198"/>
  <c r="E30" i="198"/>
  <c r="AB29" i="198"/>
  <c r="Z29" i="198"/>
  <c r="X29" i="198"/>
  <c r="V29" i="198"/>
  <c r="T29" i="198"/>
  <c r="S29" i="198"/>
  <c r="R29" i="198"/>
  <c r="Q29" i="198"/>
  <c r="P29" i="198"/>
  <c r="O29" i="198"/>
  <c r="N29" i="198"/>
  <c r="M29" i="198"/>
  <c r="L29" i="198"/>
  <c r="I29" i="198"/>
  <c r="E29" i="198"/>
  <c r="AB28" i="198"/>
  <c r="Z28" i="198"/>
  <c r="X28" i="198"/>
  <c r="V28" i="198"/>
  <c r="T28" i="198"/>
  <c r="S28" i="198"/>
  <c r="R28" i="198"/>
  <c r="Q28" i="198"/>
  <c r="P28" i="198"/>
  <c r="O28" i="198"/>
  <c r="N28" i="198"/>
  <c r="M28" i="198"/>
  <c r="L28" i="198"/>
  <c r="I28" i="198"/>
  <c r="E28" i="198"/>
  <c r="AB27" i="198"/>
  <c r="Z27" i="198"/>
  <c r="X27" i="198"/>
  <c r="V27" i="198"/>
  <c r="T27" i="198"/>
  <c r="S27" i="198"/>
  <c r="R27" i="198"/>
  <c r="Q27" i="198"/>
  <c r="P27" i="198"/>
  <c r="O27" i="198"/>
  <c r="N27" i="198"/>
  <c r="M27" i="198"/>
  <c r="L27" i="198"/>
  <c r="I27" i="198"/>
  <c r="E27" i="198"/>
  <c r="AB26" i="198"/>
  <c r="Z26" i="198"/>
  <c r="X26" i="198"/>
  <c r="V26" i="198"/>
  <c r="T26" i="198"/>
  <c r="S26" i="198"/>
  <c r="R26" i="198"/>
  <c r="Q26" i="198"/>
  <c r="P26" i="198"/>
  <c r="O26" i="198"/>
  <c r="N26" i="198"/>
  <c r="M26" i="198"/>
  <c r="L26" i="198"/>
  <c r="I26" i="198"/>
  <c r="E26" i="198"/>
  <c r="AB25" i="198"/>
  <c r="Z25" i="198"/>
  <c r="X25" i="198"/>
  <c r="V25" i="198"/>
  <c r="T25" i="198"/>
  <c r="S25" i="198"/>
  <c r="R25" i="198"/>
  <c r="Q25" i="198"/>
  <c r="P25" i="198"/>
  <c r="O25" i="198"/>
  <c r="N25" i="198"/>
  <c r="M25" i="198"/>
  <c r="L25" i="198"/>
  <c r="I25" i="198"/>
  <c r="E25" i="198"/>
  <c r="AB24" i="198"/>
  <c r="Z24" i="198"/>
  <c r="X24" i="198"/>
  <c r="V24" i="198"/>
  <c r="T24" i="198"/>
  <c r="S24" i="198"/>
  <c r="R24" i="198"/>
  <c r="Q24" i="198"/>
  <c r="P24" i="198"/>
  <c r="O24" i="198"/>
  <c r="N24" i="198"/>
  <c r="M24" i="198"/>
  <c r="L24" i="198"/>
  <c r="I24" i="198"/>
  <c r="E24" i="198"/>
  <c r="AB23" i="198"/>
  <c r="Z23" i="198"/>
  <c r="X23" i="198"/>
  <c r="V23" i="198"/>
  <c r="U23" i="198"/>
  <c r="T23" i="198"/>
  <c r="S23" i="198"/>
  <c r="R23" i="198"/>
  <c r="Q23" i="198"/>
  <c r="P23" i="198"/>
  <c r="O23" i="198"/>
  <c r="N23" i="198"/>
  <c r="M23" i="198"/>
  <c r="L23" i="198"/>
  <c r="I23" i="198"/>
  <c r="E23" i="198"/>
  <c r="C23" i="198"/>
  <c r="AB22" i="198"/>
  <c r="Z22" i="198"/>
  <c r="X22" i="198"/>
  <c r="V22" i="198"/>
  <c r="U22" i="198"/>
  <c r="T22" i="198"/>
  <c r="S22" i="198"/>
  <c r="R22" i="198"/>
  <c r="Q22" i="198"/>
  <c r="P22" i="198"/>
  <c r="O22" i="198"/>
  <c r="N22" i="198"/>
  <c r="M22" i="198"/>
  <c r="L22" i="198"/>
  <c r="I22" i="198"/>
  <c r="E22" i="198"/>
  <c r="AB21" i="198"/>
  <c r="Z21" i="198"/>
  <c r="X21" i="198"/>
  <c r="V21" i="198"/>
  <c r="U21" i="198"/>
  <c r="T21" i="198"/>
  <c r="S21" i="198"/>
  <c r="R21" i="198"/>
  <c r="Q21" i="198"/>
  <c r="P21" i="198"/>
  <c r="O21" i="198"/>
  <c r="N21" i="198"/>
  <c r="M21" i="198"/>
  <c r="L21" i="198"/>
  <c r="I21" i="198"/>
  <c r="E21" i="198"/>
  <c r="C21" i="198"/>
  <c r="AB20" i="198"/>
  <c r="Z20" i="198"/>
  <c r="X20" i="198"/>
  <c r="V20" i="198"/>
  <c r="U20" i="198"/>
  <c r="T20" i="198"/>
  <c r="S20" i="198"/>
  <c r="R20" i="198"/>
  <c r="Q20" i="198"/>
  <c r="P20" i="198"/>
  <c r="O20" i="198"/>
  <c r="N20" i="198"/>
  <c r="M20" i="198"/>
  <c r="L20" i="198"/>
  <c r="I20" i="198"/>
  <c r="E20" i="198"/>
  <c r="AB19" i="198"/>
  <c r="Z19" i="198"/>
  <c r="X19" i="198"/>
  <c r="V19" i="198"/>
  <c r="U19" i="198"/>
  <c r="T19" i="198"/>
  <c r="S19" i="198"/>
  <c r="R19" i="198"/>
  <c r="Q19" i="198"/>
  <c r="P19" i="198"/>
  <c r="O19" i="198"/>
  <c r="N19" i="198"/>
  <c r="M19" i="198"/>
  <c r="L19" i="198"/>
  <c r="I19" i="198"/>
  <c r="F19" i="198"/>
  <c r="E19" i="198"/>
  <c r="C19" i="198"/>
  <c r="AB18" i="198"/>
  <c r="Z18" i="198"/>
  <c r="X18" i="198"/>
  <c r="V18" i="198"/>
  <c r="U18" i="198"/>
  <c r="T18" i="198"/>
  <c r="S18" i="198"/>
  <c r="R18" i="198"/>
  <c r="Q18" i="198"/>
  <c r="P18" i="198"/>
  <c r="O18" i="198"/>
  <c r="N18" i="198"/>
  <c r="M18" i="198"/>
  <c r="L18" i="198"/>
  <c r="I18" i="198"/>
  <c r="E18" i="198"/>
  <c r="AB17" i="198"/>
  <c r="Z17" i="198"/>
  <c r="X17" i="198"/>
  <c r="V17" i="198"/>
  <c r="U17" i="198"/>
  <c r="T17" i="198"/>
  <c r="S17" i="198"/>
  <c r="R17" i="198"/>
  <c r="Q17" i="198"/>
  <c r="P17" i="198"/>
  <c r="O17" i="198"/>
  <c r="N17" i="198"/>
  <c r="M17" i="198"/>
  <c r="L17" i="198"/>
  <c r="I17" i="198"/>
  <c r="E17" i="198"/>
  <c r="AB16" i="198"/>
  <c r="Z16" i="198"/>
  <c r="X16" i="198"/>
  <c r="V16" i="198"/>
  <c r="U16" i="198"/>
  <c r="T16" i="198"/>
  <c r="S16" i="198"/>
  <c r="R16" i="198"/>
  <c r="Q16" i="198"/>
  <c r="P16" i="198"/>
  <c r="O16" i="198"/>
  <c r="N16" i="198"/>
  <c r="M16" i="198"/>
  <c r="L16" i="198"/>
  <c r="I16" i="198"/>
  <c r="E16" i="198"/>
  <c r="C16" i="198"/>
  <c r="AB15" i="198"/>
  <c r="Z15" i="198"/>
  <c r="X15" i="198"/>
  <c r="V15" i="198"/>
  <c r="U15" i="198"/>
  <c r="T15" i="198"/>
  <c r="S15" i="198"/>
  <c r="R15" i="198"/>
  <c r="Q15" i="198"/>
  <c r="P15" i="198"/>
  <c r="O15" i="198"/>
  <c r="N15" i="198"/>
  <c r="M15" i="198"/>
  <c r="L15" i="198"/>
  <c r="I15" i="198"/>
  <c r="E15" i="198"/>
  <c r="C15" i="198"/>
  <c r="AB14" i="198"/>
  <c r="Z14" i="198"/>
  <c r="X14" i="198"/>
  <c r="V14" i="198"/>
  <c r="U14" i="198"/>
  <c r="T14" i="198"/>
  <c r="S14" i="198"/>
  <c r="R14" i="198"/>
  <c r="Q14" i="198"/>
  <c r="P14" i="198"/>
  <c r="O14" i="198"/>
  <c r="N14" i="198"/>
  <c r="M14" i="198"/>
  <c r="L14" i="198"/>
  <c r="I14" i="198"/>
  <c r="E14" i="198"/>
  <c r="AB13" i="198"/>
  <c r="Z13" i="198"/>
  <c r="X13" i="198"/>
  <c r="V13" i="198"/>
  <c r="U13" i="198"/>
  <c r="T13" i="198"/>
  <c r="S13" i="198"/>
  <c r="R13" i="198"/>
  <c r="Q13" i="198"/>
  <c r="P13" i="198"/>
  <c r="O13" i="198"/>
  <c r="N13" i="198"/>
  <c r="M13" i="198"/>
  <c r="L13" i="198"/>
  <c r="I13" i="198"/>
  <c r="F13" i="198"/>
  <c r="E13" i="198"/>
  <c r="C13" i="198"/>
  <c r="AB12" i="198"/>
  <c r="Z12" i="198"/>
  <c r="X12" i="198"/>
  <c r="V12" i="198"/>
  <c r="U12" i="198"/>
  <c r="T12" i="198"/>
  <c r="S12" i="198"/>
  <c r="R12" i="198"/>
  <c r="Q12" i="198"/>
  <c r="P12" i="198"/>
  <c r="O12" i="198"/>
  <c r="N12" i="198"/>
  <c r="M12" i="198"/>
  <c r="L12" i="198"/>
  <c r="I12" i="198"/>
  <c r="G12" i="198"/>
  <c r="F12" i="198"/>
  <c r="E12" i="198"/>
  <c r="AB11" i="198"/>
  <c r="Z11" i="198"/>
  <c r="X11" i="198"/>
  <c r="V11" i="198"/>
  <c r="U11" i="198"/>
  <c r="T11" i="198"/>
  <c r="S11" i="198"/>
  <c r="R11" i="198"/>
  <c r="Q11" i="198"/>
  <c r="P11" i="198"/>
  <c r="O11" i="198"/>
  <c r="N11" i="198"/>
  <c r="M11" i="198"/>
  <c r="L11" i="198"/>
  <c r="I11" i="198"/>
  <c r="E11" i="198"/>
  <c r="C11" i="198"/>
  <c r="AB10" i="198"/>
  <c r="Z10" i="198"/>
  <c r="X10" i="198"/>
  <c r="V10" i="198"/>
  <c r="U10" i="198"/>
  <c r="T10" i="198"/>
  <c r="S10" i="198"/>
  <c r="R10" i="198"/>
  <c r="Q10" i="198"/>
  <c r="P10" i="198"/>
  <c r="O10" i="198"/>
  <c r="N10" i="198"/>
  <c r="M10" i="198"/>
  <c r="L10" i="198"/>
  <c r="I10" i="198"/>
  <c r="F10" i="198"/>
  <c r="E10" i="198"/>
  <c r="AB9" i="198"/>
  <c r="Z9" i="198"/>
  <c r="X9" i="198"/>
  <c r="V9" i="198"/>
  <c r="U9" i="198"/>
  <c r="T9" i="198"/>
  <c r="S9" i="198"/>
  <c r="R9" i="198"/>
  <c r="Q9" i="198"/>
  <c r="P9" i="198"/>
  <c r="O9" i="198"/>
  <c r="N9" i="198"/>
  <c r="M9" i="198"/>
  <c r="L9" i="198"/>
  <c r="I9" i="198"/>
  <c r="F9" i="198"/>
  <c r="E9" i="198"/>
  <c r="AB8" i="198"/>
  <c r="Z8" i="198"/>
  <c r="X8" i="198"/>
  <c r="V8" i="198"/>
  <c r="U8" i="198"/>
  <c r="T8" i="198"/>
  <c r="S8" i="198"/>
  <c r="R8" i="198"/>
  <c r="Q8" i="198"/>
  <c r="P8" i="198"/>
  <c r="O8" i="198"/>
  <c r="N8" i="198"/>
  <c r="M8" i="198"/>
  <c r="L8" i="198"/>
  <c r="I8" i="198"/>
  <c r="E8" i="198"/>
  <c r="C8" i="198"/>
  <c r="AB7" i="198"/>
  <c r="Z7" i="198"/>
  <c r="X7" i="198"/>
  <c r="V7" i="198"/>
  <c r="U7" i="198"/>
  <c r="T7" i="198"/>
  <c r="S7" i="198"/>
  <c r="R7" i="198"/>
  <c r="Q7" i="198"/>
  <c r="P7" i="198"/>
  <c r="O7" i="198"/>
  <c r="N7" i="198"/>
  <c r="M7" i="198"/>
  <c r="L7" i="198"/>
  <c r="I7" i="198"/>
  <c r="E7" i="198"/>
  <c r="C7" i="198"/>
  <c r="AB6" i="198"/>
  <c r="Z6" i="198"/>
  <c r="X6" i="198"/>
  <c r="V6" i="198"/>
  <c r="U6" i="198"/>
  <c r="T6" i="198"/>
  <c r="S6" i="198"/>
  <c r="R6" i="198"/>
  <c r="Q6" i="198"/>
  <c r="P6" i="198"/>
  <c r="O6" i="198"/>
  <c r="N6" i="198"/>
  <c r="M6" i="198"/>
  <c r="L6" i="198"/>
  <c r="I6" i="198"/>
  <c r="E6" i="198"/>
  <c r="AB197" i="196"/>
  <c r="Z197" i="196"/>
  <c r="X197" i="196"/>
  <c r="V197" i="196"/>
  <c r="T197" i="196"/>
  <c r="S197" i="196"/>
  <c r="R197" i="196"/>
  <c r="Q197" i="196"/>
  <c r="P197" i="196"/>
  <c r="O197" i="196"/>
  <c r="N197" i="196"/>
  <c r="M197" i="196"/>
  <c r="L197" i="196"/>
  <c r="I197" i="196"/>
  <c r="E197" i="196"/>
  <c r="AB196" i="196"/>
  <c r="Z196" i="196"/>
  <c r="X196" i="196"/>
  <c r="V196" i="196"/>
  <c r="T196" i="196"/>
  <c r="S196" i="196"/>
  <c r="R196" i="196"/>
  <c r="Q196" i="196"/>
  <c r="P196" i="196"/>
  <c r="O196" i="196"/>
  <c r="N196" i="196"/>
  <c r="M196" i="196"/>
  <c r="L196" i="196"/>
  <c r="I196" i="196"/>
  <c r="E196" i="196"/>
  <c r="AB195" i="196"/>
  <c r="Z195" i="196"/>
  <c r="X195" i="196"/>
  <c r="V195" i="196"/>
  <c r="T195" i="196"/>
  <c r="S195" i="196"/>
  <c r="R195" i="196"/>
  <c r="Q195" i="196"/>
  <c r="P195" i="196"/>
  <c r="O195" i="196"/>
  <c r="N195" i="196"/>
  <c r="M195" i="196"/>
  <c r="L195" i="196"/>
  <c r="I195" i="196"/>
  <c r="E195" i="196"/>
  <c r="AB194" i="196"/>
  <c r="Z194" i="196"/>
  <c r="X194" i="196"/>
  <c r="V194" i="196"/>
  <c r="T194" i="196"/>
  <c r="S194" i="196"/>
  <c r="R194" i="196"/>
  <c r="Q194" i="196"/>
  <c r="P194" i="196"/>
  <c r="O194" i="196"/>
  <c r="N194" i="196"/>
  <c r="M194" i="196"/>
  <c r="L194" i="196"/>
  <c r="I194" i="196"/>
  <c r="E194" i="196"/>
  <c r="AB193" i="196"/>
  <c r="Z193" i="196"/>
  <c r="X193" i="196"/>
  <c r="V193" i="196"/>
  <c r="T193" i="196"/>
  <c r="S193" i="196"/>
  <c r="R193" i="196"/>
  <c r="Q193" i="196"/>
  <c r="P193" i="196"/>
  <c r="O193" i="196"/>
  <c r="N193" i="196"/>
  <c r="M193" i="196"/>
  <c r="L193" i="196"/>
  <c r="I193" i="196"/>
  <c r="E193" i="196"/>
  <c r="AB192" i="196"/>
  <c r="AB191" i="196"/>
  <c r="Z191" i="196"/>
  <c r="X191" i="196"/>
  <c r="V191" i="196"/>
  <c r="T191" i="196"/>
  <c r="S191" i="196"/>
  <c r="R191" i="196"/>
  <c r="Q191" i="196"/>
  <c r="P191" i="196"/>
  <c r="O191" i="196"/>
  <c r="N191" i="196"/>
  <c r="M191" i="196"/>
  <c r="L191" i="196"/>
  <c r="I191" i="196"/>
  <c r="E191" i="196"/>
  <c r="AB190" i="196"/>
  <c r="Z190" i="196"/>
  <c r="X190" i="196"/>
  <c r="V190" i="196"/>
  <c r="T190" i="196"/>
  <c r="S190" i="196"/>
  <c r="R190" i="196"/>
  <c r="Q190" i="196"/>
  <c r="P190" i="196"/>
  <c r="O190" i="196"/>
  <c r="N190" i="196"/>
  <c r="M190" i="196"/>
  <c r="L190" i="196"/>
  <c r="I190" i="196"/>
  <c r="E190" i="196"/>
  <c r="AB189" i="196"/>
  <c r="Z189" i="196"/>
  <c r="X189" i="196"/>
  <c r="V189" i="196"/>
  <c r="T189" i="196"/>
  <c r="S189" i="196"/>
  <c r="R189" i="196"/>
  <c r="Q189" i="196"/>
  <c r="P189" i="196"/>
  <c r="O189" i="196"/>
  <c r="N189" i="196"/>
  <c r="M189" i="196"/>
  <c r="L189" i="196"/>
  <c r="I189" i="196"/>
  <c r="E189" i="196"/>
  <c r="AB188" i="196"/>
  <c r="Z188" i="196"/>
  <c r="X188" i="196"/>
  <c r="V188" i="196"/>
  <c r="T188" i="196"/>
  <c r="S188" i="196"/>
  <c r="R188" i="196"/>
  <c r="Q188" i="196"/>
  <c r="P188" i="196"/>
  <c r="O188" i="196"/>
  <c r="N188" i="196"/>
  <c r="M188" i="196"/>
  <c r="L188" i="196"/>
  <c r="I188" i="196"/>
  <c r="E188" i="196"/>
  <c r="AB187" i="196"/>
  <c r="Z187" i="196"/>
  <c r="X187" i="196"/>
  <c r="V187" i="196"/>
  <c r="T187" i="196"/>
  <c r="S187" i="196"/>
  <c r="R187" i="196"/>
  <c r="Q187" i="196"/>
  <c r="P187" i="196"/>
  <c r="O187" i="196"/>
  <c r="N187" i="196"/>
  <c r="M187" i="196"/>
  <c r="L187" i="196"/>
  <c r="I187" i="196"/>
  <c r="E187" i="196"/>
  <c r="AB186" i="196"/>
  <c r="Z186" i="196"/>
  <c r="X186" i="196"/>
  <c r="V186" i="196"/>
  <c r="T186" i="196"/>
  <c r="S186" i="196"/>
  <c r="R186" i="196"/>
  <c r="Q186" i="196"/>
  <c r="P186" i="196"/>
  <c r="O186" i="196"/>
  <c r="N186" i="196"/>
  <c r="M186" i="196"/>
  <c r="L186" i="196"/>
  <c r="I186" i="196"/>
  <c r="E186" i="196"/>
  <c r="AB185" i="196"/>
  <c r="Z185" i="196"/>
  <c r="X185" i="196"/>
  <c r="V185" i="196"/>
  <c r="T185" i="196"/>
  <c r="S185" i="196"/>
  <c r="R185" i="196"/>
  <c r="Q185" i="196"/>
  <c r="P185" i="196"/>
  <c r="O185" i="196"/>
  <c r="N185" i="196"/>
  <c r="M185" i="196"/>
  <c r="L185" i="196"/>
  <c r="I185" i="196"/>
  <c r="E185" i="196"/>
  <c r="AB184" i="196"/>
  <c r="Z184" i="196"/>
  <c r="X184" i="196"/>
  <c r="V184" i="196"/>
  <c r="T184" i="196"/>
  <c r="S184" i="196"/>
  <c r="R184" i="196"/>
  <c r="Q184" i="196"/>
  <c r="P184" i="196"/>
  <c r="O184" i="196"/>
  <c r="N184" i="196"/>
  <c r="M184" i="196"/>
  <c r="L184" i="196"/>
  <c r="I184" i="196"/>
  <c r="E184" i="196"/>
  <c r="AB183" i="196"/>
  <c r="Z183" i="196"/>
  <c r="X183" i="196"/>
  <c r="V183" i="196"/>
  <c r="T183" i="196"/>
  <c r="S183" i="196"/>
  <c r="R183" i="196"/>
  <c r="Q183" i="196"/>
  <c r="P183" i="196"/>
  <c r="O183" i="196"/>
  <c r="N183" i="196"/>
  <c r="M183" i="196"/>
  <c r="L183" i="196"/>
  <c r="I183" i="196"/>
  <c r="E183" i="196"/>
  <c r="AB182" i="196"/>
  <c r="Z182" i="196"/>
  <c r="X182" i="196"/>
  <c r="V182" i="196"/>
  <c r="T182" i="196"/>
  <c r="S182" i="196"/>
  <c r="R182" i="196"/>
  <c r="Q182" i="196"/>
  <c r="P182" i="196"/>
  <c r="O182" i="196"/>
  <c r="N182" i="196"/>
  <c r="M182" i="196"/>
  <c r="L182" i="196"/>
  <c r="I182" i="196"/>
  <c r="E182" i="196"/>
  <c r="AB181" i="196"/>
  <c r="Z181" i="196"/>
  <c r="X181" i="196"/>
  <c r="V181" i="196"/>
  <c r="T181" i="196"/>
  <c r="S181" i="196"/>
  <c r="R181" i="196"/>
  <c r="Q181" i="196"/>
  <c r="P181" i="196"/>
  <c r="O181" i="196"/>
  <c r="N181" i="196"/>
  <c r="M181" i="196"/>
  <c r="L181" i="196"/>
  <c r="I181" i="196"/>
  <c r="E181" i="196"/>
  <c r="AB180" i="196"/>
  <c r="AB179" i="196"/>
  <c r="Z179" i="196"/>
  <c r="X179" i="196"/>
  <c r="V179" i="196"/>
  <c r="T179" i="196"/>
  <c r="S179" i="196"/>
  <c r="R179" i="196"/>
  <c r="Q179" i="196"/>
  <c r="P179" i="196"/>
  <c r="O179" i="196"/>
  <c r="N179" i="196"/>
  <c r="M179" i="196"/>
  <c r="L179" i="196"/>
  <c r="I179" i="196"/>
  <c r="E179" i="196"/>
  <c r="AB178" i="196"/>
  <c r="Z178" i="196"/>
  <c r="X178" i="196"/>
  <c r="V178" i="196"/>
  <c r="T178" i="196"/>
  <c r="S178" i="196"/>
  <c r="R178" i="196"/>
  <c r="Q178" i="196"/>
  <c r="P178" i="196"/>
  <c r="O178" i="196"/>
  <c r="N178" i="196"/>
  <c r="M178" i="196"/>
  <c r="L178" i="196"/>
  <c r="I178" i="196"/>
  <c r="E178" i="196"/>
  <c r="AB177" i="196"/>
  <c r="Z177" i="196"/>
  <c r="X177" i="196"/>
  <c r="V177" i="196"/>
  <c r="T177" i="196"/>
  <c r="S177" i="196"/>
  <c r="R177" i="196"/>
  <c r="Q177" i="196"/>
  <c r="P177" i="196"/>
  <c r="O177" i="196"/>
  <c r="N177" i="196"/>
  <c r="M177" i="196"/>
  <c r="L177" i="196"/>
  <c r="I177" i="196"/>
  <c r="E177" i="196"/>
  <c r="AB176" i="196"/>
  <c r="Z176" i="196"/>
  <c r="X176" i="196"/>
  <c r="V176" i="196"/>
  <c r="T176" i="196"/>
  <c r="S176" i="196"/>
  <c r="R176" i="196"/>
  <c r="Q176" i="196"/>
  <c r="P176" i="196"/>
  <c r="O176" i="196"/>
  <c r="N176" i="196"/>
  <c r="M176" i="196"/>
  <c r="L176" i="196"/>
  <c r="I176" i="196"/>
  <c r="E176" i="196"/>
  <c r="AB175" i="196"/>
  <c r="Z175" i="196"/>
  <c r="X175" i="196"/>
  <c r="V175" i="196"/>
  <c r="T175" i="196"/>
  <c r="S175" i="196"/>
  <c r="R175" i="196"/>
  <c r="Q175" i="196"/>
  <c r="P175" i="196"/>
  <c r="O175" i="196"/>
  <c r="N175" i="196"/>
  <c r="M175" i="196"/>
  <c r="L175" i="196"/>
  <c r="I175" i="196"/>
  <c r="E175" i="196"/>
  <c r="AB174" i="196"/>
  <c r="Z174" i="196"/>
  <c r="X174" i="196"/>
  <c r="V174" i="196"/>
  <c r="T174" i="196"/>
  <c r="S174" i="196"/>
  <c r="R174" i="196"/>
  <c r="Q174" i="196"/>
  <c r="P174" i="196"/>
  <c r="O174" i="196"/>
  <c r="N174" i="196"/>
  <c r="M174" i="196"/>
  <c r="L174" i="196"/>
  <c r="I174" i="196"/>
  <c r="E174" i="196"/>
  <c r="AB173" i="196"/>
  <c r="Z173" i="196"/>
  <c r="X173" i="196"/>
  <c r="V173" i="196"/>
  <c r="T173" i="196"/>
  <c r="S173" i="196"/>
  <c r="R173" i="196"/>
  <c r="Q173" i="196"/>
  <c r="P173" i="196"/>
  <c r="O173" i="196"/>
  <c r="N173" i="196"/>
  <c r="M173" i="196"/>
  <c r="L173" i="196"/>
  <c r="I173" i="196"/>
  <c r="E173" i="196"/>
  <c r="AB172" i="196"/>
  <c r="Z172" i="196"/>
  <c r="X172" i="196"/>
  <c r="V172" i="196"/>
  <c r="T172" i="196"/>
  <c r="S172" i="196"/>
  <c r="R172" i="196"/>
  <c r="Q172" i="196"/>
  <c r="P172" i="196"/>
  <c r="O172" i="196"/>
  <c r="N172" i="196"/>
  <c r="M172" i="196"/>
  <c r="L172" i="196"/>
  <c r="I172" i="196"/>
  <c r="E172" i="196"/>
  <c r="AB171" i="196"/>
  <c r="Z171" i="196"/>
  <c r="X171" i="196"/>
  <c r="V171" i="196"/>
  <c r="T171" i="196"/>
  <c r="S171" i="196"/>
  <c r="R171" i="196"/>
  <c r="Q171" i="196"/>
  <c r="P171" i="196"/>
  <c r="O171" i="196"/>
  <c r="N171" i="196"/>
  <c r="M171" i="196"/>
  <c r="L171" i="196"/>
  <c r="I171" i="196"/>
  <c r="E171" i="196"/>
  <c r="AB170" i="196"/>
  <c r="Z170" i="196"/>
  <c r="X170" i="196"/>
  <c r="V170" i="196"/>
  <c r="T170" i="196"/>
  <c r="S170" i="196"/>
  <c r="R170" i="196"/>
  <c r="Q170" i="196"/>
  <c r="P170" i="196"/>
  <c r="O170" i="196"/>
  <c r="N170" i="196"/>
  <c r="M170" i="196"/>
  <c r="L170" i="196"/>
  <c r="I170" i="196"/>
  <c r="E170" i="196"/>
  <c r="AB169" i="196"/>
  <c r="Z169" i="196"/>
  <c r="X169" i="196"/>
  <c r="V169" i="196"/>
  <c r="T169" i="196"/>
  <c r="S169" i="196"/>
  <c r="R169" i="196"/>
  <c r="Q169" i="196"/>
  <c r="P169" i="196"/>
  <c r="O169" i="196"/>
  <c r="N169" i="196"/>
  <c r="M169" i="196"/>
  <c r="L169" i="196"/>
  <c r="I169" i="196"/>
  <c r="E169" i="196"/>
  <c r="AB168" i="196"/>
  <c r="Z168" i="196"/>
  <c r="X168" i="196"/>
  <c r="V168" i="196"/>
  <c r="T168" i="196"/>
  <c r="S168" i="196"/>
  <c r="R168" i="196"/>
  <c r="Q168" i="196"/>
  <c r="P168" i="196"/>
  <c r="O168" i="196"/>
  <c r="N168" i="196"/>
  <c r="M168" i="196"/>
  <c r="L168" i="196"/>
  <c r="I168" i="196"/>
  <c r="E168" i="196"/>
  <c r="AB167" i="196"/>
  <c r="Z167" i="196"/>
  <c r="X167" i="196"/>
  <c r="V167" i="196"/>
  <c r="T167" i="196"/>
  <c r="S167" i="196"/>
  <c r="R167" i="196"/>
  <c r="Q167" i="196"/>
  <c r="P167" i="196"/>
  <c r="O167" i="196"/>
  <c r="N167" i="196"/>
  <c r="M167" i="196"/>
  <c r="L167" i="196"/>
  <c r="I167" i="196"/>
  <c r="E167" i="196"/>
  <c r="AB166" i="196"/>
  <c r="Z166" i="196"/>
  <c r="X166" i="196"/>
  <c r="V166" i="196"/>
  <c r="T166" i="196"/>
  <c r="S166" i="196"/>
  <c r="R166" i="196"/>
  <c r="Q166" i="196"/>
  <c r="P166" i="196"/>
  <c r="O166" i="196"/>
  <c r="N166" i="196"/>
  <c r="M166" i="196"/>
  <c r="L166" i="196"/>
  <c r="I166" i="196"/>
  <c r="E166" i="196"/>
  <c r="AB165" i="196"/>
  <c r="Z165" i="196"/>
  <c r="X165" i="196"/>
  <c r="V165" i="196"/>
  <c r="T165" i="196"/>
  <c r="S165" i="196"/>
  <c r="R165" i="196"/>
  <c r="Q165" i="196"/>
  <c r="P165" i="196"/>
  <c r="O165" i="196"/>
  <c r="N165" i="196"/>
  <c r="M165" i="196"/>
  <c r="L165" i="196"/>
  <c r="I165" i="196"/>
  <c r="E165" i="196"/>
  <c r="AB164" i="196"/>
  <c r="Z164" i="196"/>
  <c r="X164" i="196"/>
  <c r="V164" i="196"/>
  <c r="T164" i="196"/>
  <c r="S164" i="196"/>
  <c r="R164" i="196"/>
  <c r="Q164" i="196"/>
  <c r="P164" i="196"/>
  <c r="O164" i="196"/>
  <c r="N164" i="196"/>
  <c r="M164" i="196"/>
  <c r="L164" i="196"/>
  <c r="I164" i="196"/>
  <c r="E164" i="196"/>
  <c r="AB163" i="196"/>
  <c r="Z163" i="196"/>
  <c r="X163" i="196"/>
  <c r="V163" i="196"/>
  <c r="T163" i="196"/>
  <c r="S163" i="196"/>
  <c r="R163" i="196"/>
  <c r="Q163" i="196"/>
  <c r="P163" i="196"/>
  <c r="O163" i="196"/>
  <c r="N163" i="196"/>
  <c r="M163" i="196"/>
  <c r="L163" i="196"/>
  <c r="I163" i="196"/>
  <c r="E163" i="196"/>
  <c r="AB162" i="196"/>
  <c r="Z162" i="196"/>
  <c r="X162" i="196"/>
  <c r="V162" i="196"/>
  <c r="T162" i="196"/>
  <c r="S162" i="196"/>
  <c r="R162" i="196"/>
  <c r="Q162" i="196"/>
  <c r="P162" i="196"/>
  <c r="O162" i="196"/>
  <c r="N162" i="196"/>
  <c r="M162" i="196"/>
  <c r="L162" i="196"/>
  <c r="I162" i="196"/>
  <c r="E162" i="196"/>
  <c r="AB161" i="196"/>
  <c r="Z161" i="196"/>
  <c r="X161" i="196"/>
  <c r="V161" i="196"/>
  <c r="T161" i="196"/>
  <c r="S161" i="196"/>
  <c r="R161" i="196"/>
  <c r="Q161" i="196"/>
  <c r="P161" i="196"/>
  <c r="O161" i="196"/>
  <c r="N161" i="196"/>
  <c r="M161" i="196"/>
  <c r="L161" i="196"/>
  <c r="I161" i="196"/>
  <c r="E161" i="196"/>
  <c r="AB160" i="196"/>
  <c r="Z160" i="196"/>
  <c r="X160" i="196"/>
  <c r="V160" i="196"/>
  <c r="T160" i="196"/>
  <c r="S160" i="196"/>
  <c r="R160" i="196"/>
  <c r="Q160" i="196"/>
  <c r="P160" i="196"/>
  <c r="O160" i="196"/>
  <c r="N160" i="196"/>
  <c r="M160" i="196"/>
  <c r="L160" i="196"/>
  <c r="I160" i="196"/>
  <c r="E160" i="196"/>
  <c r="AB159" i="196"/>
  <c r="Z159" i="196"/>
  <c r="X159" i="196"/>
  <c r="V159" i="196"/>
  <c r="T159" i="196"/>
  <c r="S159" i="196"/>
  <c r="R159" i="196"/>
  <c r="Q159" i="196"/>
  <c r="P159" i="196"/>
  <c r="O159" i="196"/>
  <c r="N159" i="196"/>
  <c r="M159" i="196"/>
  <c r="L159" i="196"/>
  <c r="I159" i="196"/>
  <c r="E159" i="196"/>
  <c r="AB158" i="196"/>
  <c r="Z158" i="196"/>
  <c r="X158" i="196"/>
  <c r="V158" i="196"/>
  <c r="T158" i="196"/>
  <c r="S158" i="196"/>
  <c r="R158" i="196"/>
  <c r="Q158" i="196"/>
  <c r="P158" i="196"/>
  <c r="O158" i="196"/>
  <c r="N158" i="196"/>
  <c r="M158" i="196"/>
  <c r="L158" i="196"/>
  <c r="I158" i="196"/>
  <c r="E158" i="196"/>
  <c r="AB157" i="196"/>
  <c r="Z157" i="196"/>
  <c r="X157" i="196"/>
  <c r="V157" i="196"/>
  <c r="T157" i="196"/>
  <c r="S157" i="196"/>
  <c r="R157" i="196"/>
  <c r="Q157" i="196"/>
  <c r="P157" i="196"/>
  <c r="O157" i="196"/>
  <c r="N157" i="196"/>
  <c r="M157" i="196"/>
  <c r="L157" i="196"/>
  <c r="I157" i="196"/>
  <c r="E157" i="196"/>
  <c r="AB156" i="196"/>
  <c r="Z156" i="196"/>
  <c r="X156" i="196"/>
  <c r="V156" i="196"/>
  <c r="T156" i="196"/>
  <c r="S156" i="196"/>
  <c r="R156" i="196"/>
  <c r="Q156" i="196"/>
  <c r="P156" i="196"/>
  <c r="O156" i="196"/>
  <c r="N156" i="196"/>
  <c r="M156" i="196"/>
  <c r="L156" i="196"/>
  <c r="I156" i="196"/>
  <c r="E156" i="196"/>
  <c r="AB155" i="196"/>
  <c r="Z155" i="196"/>
  <c r="X155" i="196"/>
  <c r="V155" i="196"/>
  <c r="T155" i="196"/>
  <c r="S155" i="196"/>
  <c r="R155" i="196"/>
  <c r="Q155" i="196"/>
  <c r="P155" i="196"/>
  <c r="O155" i="196"/>
  <c r="N155" i="196"/>
  <c r="M155" i="196"/>
  <c r="L155" i="196"/>
  <c r="I155" i="196"/>
  <c r="E155" i="196"/>
  <c r="AB154" i="196"/>
  <c r="Z154" i="196"/>
  <c r="X154" i="196"/>
  <c r="V154" i="196"/>
  <c r="T154" i="196"/>
  <c r="S154" i="196"/>
  <c r="R154" i="196"/>
  <c r="Q154" i="196"/>
  <c r="P154" i="196"/>
  <c r="O154" i="196"/>
  <c r="N154" i="196"/>
  <c r="M154" i="196"/>
  <c r="L154" i="196"/>
  <c r="I154" i="196"/>
  <c r="E154" i="196"/>
  <c r="AB153" i="196"/>
  <c r="Z153" i="196"/>
  <c r="X153" i="196"/>
  <c r="V153" i="196"/>
  <c r="T153" i="196"/>
  <c r="S153" i="196"/>
  <c r="R153" i="196"/>
  <c r="Q153" i="196"/>
  <c r="P153" i="196"/>
  <c r="O153" i="196"/>
  <c r="N153" i="196"/>
  <c r="M153" i="196"/>
  <c r="L153" i="196"/>
  <c r="I153" i="196"/>
  <c r="E153" i="196"/>
  <c r="AB152" i="196"/>
  <c r="Z152" i="196"/>
  <c r="X152" i="196"/>
  <c r="V152" i="196"/>
  <c r="T152" i="196"/>
  <c r="S152" i="196"/>
  <c r="R152" i="196"/>
  <c r="Q152" i="196"/>
  <c r="P152" i="196"/>
  <c r="O152" i="196"/>
  <c r="N152" i="196"/>
  <c r="M152" i="196"/>
  <c r="L152" i="196"/>
  <c r="I152" i="196"/>
  <c r="E152" i="196"/>
  <c r="AB151" i="196"/>
  <c r="Z151" i="196"/>
  <c r="X151" i="196"/>
  <c r="V151" i="196"/>
  <c r="T151" i="196"/>
  <c r="S151" i="196"/>
  <c r="R151" i="196"/>
  <c r="Q151" i="196"/>
  <c r="P151" i="196"/>
  <c r="O151" i="196"/>
  <c r="N151" i="196"/>
  <c r="M151" i="196"/>
  <c r="L151" i="196"/>
  <c r="I151" i="196"/>
  <c r="E151" i="196"/>
  <c r="AB150" i="196"/>
  <c r="Z150" i="196"/>
  <c r="X150" i="196"/>
  <c r="V150" i="196"/>
  <c r="T150" i="196"/>
  <c r="S150" i="196"/>
  <c r="R150" i="196"/>
  <c r="Q150" i="196"/>
  <c r="P150" i="196"/>
  <c r="O150" i="196"/>
  <c r="N150" i="196"/>
  <c r="M150" i="196"/>
  <c r="L150" i="196"/>
  <c r="I150" i="196"/>
  <c r="E150" i="196"/>
  <c r="AB149" i="196"/>
  <c r="Z149" i="196"/>
  <c r="X149" i="196"/>
  <c r="V149" i="196"/>
  <c r="T149" i="196"/>
  <c r="S149" i="196"/>
  <c r="R149" i="196"/>
  <c r="Q149" i="196"/>
  <c r="P149" i="196"/>
  <c r="O149" i="196"/>
  <c r="N149" i="196"/>
  <c r="M149" i="196"/>
  <c r="L149" i="196"/>
  <c r="I149" i="196"/>
  <c r="E149" i="196"/>
  <c r="AB148" i="196"/>
  <c r="Z148" i="196"/>
  <c r="X148" i="196"/>
  <c r="V148" i="196"/>
  <c r="T148" i="196"/>
  <c r="S148" i="196"/>
  <c r="R148" i="196"/>
  <c r="Q148" i="196"/>
  <c r="P148" i="196"/>
  <c r="O148" i="196"/>
  <c r="N148" i="196"/>
  <c r="M148" i="196"/>
  <c r="L148" i="196"/>
  <c r="I148" i="196"/>
  <c r="E148" i="196"/>
  <c r="AB147" i="196"/>
  <c r="Z147" i="196"/>
  <c r="X147" i="196"/>
  <c r="V147" i="196"/>
  <c r="T147" i="196"/>
  <c r="S147" i="196"/>
  <c r="R147" i="196"/>
  <c r="Q147" i="196"/>
  <c r="P147" i="196"/>
  <c r="O147" i="196"/>
  <c r="N147" i="196"/>
  <c r="M147" i="196"/>
  <c r="L147" i="196"/>
  <c r="I147" i="196"/>
  <c r="E147" i="196"/>
  <c r="AB146" i="196"/>
  <c r="Z146" i="196"/>
  <c r="X146" i="196"/>
  <c r="V146" i="196"/>
  <c r="T146" i="196"/>
  <c r="S146" i="196"/>
  <c r="R146" i="196"/>
  <c r="Q146" i="196"/>
  <c r="P146" i="196"/>
  <c r="O146" i="196"/>
  <c r="N146" i="196"/>
  <c r="M146" i="196"/>
  <c r="L146" i="196"/>
  <c r="I146" i="196"/>
  <c r="E146" i="196"/>
  <c r="AB145" i="196"/>
  <c r="Z145" i="196"/>
  <c r="X145" i="196"/>
  <c r="V145" i="196"/>
  <c r="T145" i="196"/>
  <c r="S145" i="196"/>
  <c r="R145" i="196"/>
  <c r="Q145" i="196"/>
  <c r="P145" i="196"/>
  <c r="O145" i="196"/>
  <c r="N145" i="196"/>
  <c r="M145" i="196"/>
  <c r="L145" i="196"/>
  <c r="I145" i="196"/>
  <c r="E145" i="196"/>
  <c r="AB144" i="196"/>
  <c r="AB143" i="196"/>
  <c r="AB142" i="196"/>
  <c r="AB141" i="196"/>
  <c r="AB140" i="196"/>
  <c r="AB139" i="196"/>
  <c r="AB138" i="196"/>
  <c r="AB137" i="196"/>
  <c r="AB136" i="196"/>
  <c r="AB135" i="196"/>
  <c r="AB134" i="196"/>
  <c r="Z133" i="196"/>
  <c r="X133" i="196"/>
  <c r="V133" i="196"/>
  <c r="T133" i="196"/>
  <c r="S133" i="196"/>
  <c r="R133" i="196"/>
  <c r="Q133" i="196"/>
  <c r="P133" i="196"/>
  <c r="O133" i="196"/>
  <c r="N133" i="196"/>
  <c r="M133" i="196"/>
  <c r="L133" i="196"/>
  <c r="I133" i="196"/>
  <c r="E133" i="196"/>
  <c r="Z132" i="196"/>
  <c r="X132" i="196"/>
  <c r="V132" i="196"/>
  <c r="T132" i="196"/>
  <c r="S132" i="196"/>
  <c r="R132" i="196"/>
  <c r="Q132" i="196"/>
  <c r="P132" i="196"/>
  <c r="O132" i="196"/>
  <c r="N132" i="196"/>
  <c r="M132" i="196"/>
  <c r="L132" i="196"/>
  <c r="I132" i="196"/>
  <c r="E132" i="196"/>
  <c r="Z131" i="196"/>
  <c r="X131" i="196"/>
  <c r="V131" i="196"/>
  <c r="T131" i="196"/>
  <c r="S131" i="196"/>
  <c r="R131" i="196"/>
  <c r="Q131" i="196"/>
  <c r="P131" i="196"/>
  <c r="O131" i="196"/>
  <c r="N131" i="196"/>
  <c r="M131" i="196"/>
  <c r="L131" i="196"/>
  <c r="I131" i="196"/>
  <c r="E131" i="196"/>
  <c r="AB130" i="196"/>
  <c r="Z130" i="196"/>
  <c r="X130" i="196"/>
  <c r="V130" i="196"/>
  <c r="T130" i="196"/>
  <c r="S130" i="196"/>
  <c r="R130" i="196"/>
  <c r="Q130" i="196"/>
  <c r="P130" i="196"/>
  <c r="O130" i="196"/>
  <c r="N130" i="196"/>
  <c r="M130" i="196"/>
  <c r="L130" i="196"/>
  <c r="I130" i="196"/>
  <c r="E130" i="196"/>
  <c r="AB129" i="196"/>
  <c r="Z129" i="196"/>
  <c r="X129" i="196"/>
  <c r="V129" i="196"/>
  <c r="T129" i="196"/>
  <c r="S129" i="196"/>
  <c r="R129" i="196"/>
  <c r="Q129" i="196"/>
  <c r="P129" i="196"/>
  <c r="O129" i="196"/>
  <c r="N129" i="196"/>
  <c r="M129" i="196"/>
  <c r="L129" i="196"/>
  <c r="I129" i="196"/>
  <c r="E129" i="196"/>
  <c r="AB128" i="196"/>
  <c r="Z128" i="196"/>
  <c r="X128" i="196"/>
  <c r="V128" i="196"/>
  <c r="T128" i="196"/>
  <c r="S128" i="196"/>
  <c r="R128" i="196"/>
  <c r="Q128" i="196"/>
  <c r="P128" i="196"/>
  <c r="O128" i="196"/>
  <c r="N128" i="196"/>
  <c r="M128" i="196"/>
  <c r="L128" i="196"/>
  <c r="I128" i="196"/>
  <c r="E128" i="196"/>
  <c r="AB127" i="196"/>
  <c r="Z127" i="196"/>
  <c r="X127" i="196"/>
  <c r="V127" i="196"/>
  <c r="T127" i="196"/>
  <c r="S127" i="196"/>
  <c r="R127" i="196"/>
  <c r="Q127" i="196"/>
  <c r="P127" i="196"/>
  <c r="O127" i="196"/>
  <c r="N127" i="196"/>
  <c r="M127" i="196"/>
  <c r="L127" i="196"/>
  <c r="I127" i="196"/>
  <c r="E127" i="196"/>
  <c r="AB126" i="196"/>
  <c r="Z126" i="196"/>
  <c r="X126" i="196"/>
  <c r="V126" i="196"/>
  <c r="T126" i="196"/>
  <c r="S126" i="196"/>
  <c r="R126" i="196"/>
  <c r="Q126" i="196"/>
  <c r="P126" i="196"/>
  <c r="O126" i="196"/>
  <c r="N126" i="196"/>
  <c r="M126" i="196"/>
  <c r="L126" i="196"/>
  <c r="I126" i="196"/>
  <c r="E126" i="196"/>
  <c r="AB125" i="196"/>
  <c r="Z125" i="196"/>
  <c r="X125" i="196"/>
  <c r="V125" i="196"/>
  <c r="T125" i="196"/>
  <c r="S125" i="196"/>
  <c r="R125" i="196"/>
  <c r="Q125" i="196"/>
  <c r="P125" i="196"/>
  <c r="O125" i="196"/>
  <c r="N125" i="196"/>
  <c r="M125" i="196"/>
  <c r="L125" i="196"/>
  <c r="I125" i="196"/>
  <c r="E125" i="196"/>
  <c r="AB124" i="196"/>
  <c r="AB123" i="196"/>
  <c r="AB122" i="196"/>
  <c r="AB121" i="196"/>
  <c r="AB115" i="196"/>
  <c r="Z115" i="196"/>
  <c r="X115" i="196"/>
  <c r="V115" i="196"/>
  <c r="T115" i="196"/>
  <c r="S115" i="196"/>
  <c r="R115" i="196"/>
  <c r="Q115" i="196"/>
  <c r="P115" i="196"/>
  <c r="O115" i="196"/>
  <c r="N115" i="196"/>
  <c r="M115" i="196"/>
  <c r="L115" i="196"/>
  <c r="I115" i="196"/>
  <c r="E115" i="196"/>
  <c r="AB111" i="196"/>
  <c r="AB110" i="196"/>
  <c r="AB109" i="196"/>
  <c r="Z109" i="196"/>
  <c r="X109" i="196"/>
  <c r="V109" i="196"/>
  <c r="T109" i="196"/>
  <c r="S109" i="196"/>
  <c r="R109" i="196"/>
  <c r="Q109" i="196"/>
  <c r="P109" i="196"/>
  <c r="O109" i="196"/>
  <c r="N109" i="196"/>
  <c r="M109" i="196"/>
  <c r="L109" i="196"/>
  <c r="I109" i="196"/>
  <c r="E109" i="196"/>
  <c r="AB108" i="196"/>
  <c r="Z108" i="196"/>
  <c r="X108" i="196"/>
  <c r="V108" i="196"/>
  <c r="T108" i="196"/>
  <c r="S108" i="196"/>
  <c r="R108" i="196"/>
  <c r="Q108" i="196"/>
  <c r="P108" i="196"/>
  <c r="O108" i="196"/>
  <c r="N108" i="196"/>
  <c r="M108" i="196"/>
  <c r="L108" i="196"/>
  <c r="I108" i="196"/>
  <c r="E108" i="196"/>
  <c r="AB107" i="196"/>
  <c r="Z107" i="196"/>
  <c r="X107" i="196"/>
  <c r="V107" i="196"/>
  <c r="T107" i="196"/>
  <c r="S107" i="196"/>
  <c r="R107" i="196"/>
  <c r="Q107" i="196"/>
  <c r="P107" i="196"/>
  <c r="O107" i="196"/>
  <c r="N107" i="196"/>
  <c r="M107" i="196"/>
  <c r="L107" i="196"/>
  <c r="I107" i="196"/>
  <c r="E107" i="196"/>
  <c r="AB106" i="196"/>
  <c r="Z106" i="196"/>
  <c r="X106" i="196"/>
  <c r="V106" i="196"/>
  <c r="T106" i="196"/>
  <c r="S106" i="196"/>
  <c r="R106" i="196"/>
  <c r="Q106" i="196"/>
  <c r="P106" i="196"/>
  <c r="O106" i="196"/>
  <c r="N106" i="196"/>
  <c r="M106" i="196"/>
  <c r="L106" i="196"/>
  <c r="I106" i="196"/>
  <c r="E106" i="196"/>
  <c r="AB105" i="196"/>
  <c r="Z105" i="196"/>
  <c r="X105" i="196"/>
  <c r="V105" i="196"/>
  <c r="T105" i="196"/>
  <c r="S105" i="196"/>
  <c r="R105" i="196"/>
  <c r="Q105" i="196"/>
  <c r="P105" i="196"/>
  <c r="O105" i="196"/>
  <c r="N105" i="196"/>
  <c r="M105" i="196"/>
  <c r="L105" i="196"/>
  <c r="I105" i="196"/>
  <c r="E105" i="196"/>
  <c r="AB101" i="196"/>
  <c r="AB100" i="196"/>
  <c r="Z100" i="196"/>
  <c r="X100" i="196"/>
  <c r="V100" i="196"/>
  <c r="T100" i="196"/>
  <c r="S100" i="196"/>
  <c r="R100" i="196"/>
  <c r="Q100" i="196"/>
  <c r="P100" i="196"/>
  <c r="O100" i="196"/>
  <c r="N100" i="196"/>
  <c r="M100" i="196"/>
  <c r="L100" i="196"/>
  <c r="I100" i="196"/>
  <c r="E100" i="196"/>
  <c r="AB99" i="196"/>
  <c r="Z99" i="196"/>
  <c r="X99" i="196"/>
  <c r="V99" i="196"/>
  <c r="T99" i="196"/>
  <c r="S99" i="196"/>
  <c r="R99" i="196"/>
  <c r="Q99" i="196"/>
  <c r="P99" i="196"/>
  <c r="O99" i="196"/>
  <c r="N99" i="196"/>
  <c r="M99" i="196"/>
  <c r="L99" i="196"/>
  <c r="I99" i="196"/>
  <c r="E99" i="196"/>
  <c r="AB98" i="196"/>
  <c r="Z98" i="196"/>
  <c r="X98" i="196"/>
  <c r="V98" i="196"/>
  <c r="T98" i="196"/>
  <c r="S98" i="196"/>
  <c r="R98" i="196"/>
  <c r="Q98" i="196"/>
  <c r="P98" i="196"/>
  <c r="O98" i="196"/>
  <c r="N98" i="196"/>
  <c r="M98" i="196"/>
  <c r="L98" i="196"/>
  <c r="I98" i="196"/>
  <c r="E98" i="196"/>
  <c r="Z97" i="196"/>
  <c r="X97" i="196"/>
  <c r="V97" i="196"/>
  <c r="T97" i="196"/>
  <c r="S97" i="196"/>
  <c r="R97" i="196"/>
  <c r="Q97" i="196"/>
  <c r="P97" i="196"/>
  <c r="O97" i="196"/>
  <c r="N97" i="196"/>
  <c r="M97" i="196"/>
  <c r="L97" i="196"/>
  <c r="I97" i="196"/>
  <c r="E97" i="196"/>
  <c r="Z96" i="196"/>
  <c r="X96" i="196"/>
  <c r="V96" i="196"/>
  <c r="T96" i="196"/>
  <c r="S96" i="196"/>
  <c r="R96" i="196"/>
  <c r="Q96" i="196"/>
  <c r="P96" i="196"/>
  <c r="O96" i="196"/>
  <c r="N96" i="196"/>
  <c r="M96" i="196"/>
  <c r="L96" i="196"/>
  <c r="I96" i="196"/>
  <c r="E96" i="196"/>
  <c r="AB91" i="196"/>
  <c r="Z91" i="196"/>
  <c r="X91" i="196"/>
  <c r="V91" i="196"/>
  <c r="T91" i="196"/>
  <c r="S91" i="196"/>
  <c r="R91" i="196"/>
  <c r="Q91" i="196"/>
  <c r="P91" i="196"/>
  <c r="O91" i="196"/>
  <c r="N91" i="196"/>
  <c r="M91" i="196"/>
  <c r="L91" i="196"/>
  <c r="I91" i="196"/>
  <c r="E91" i="196"/>
  <c r="AB90" i="196"/>
  <c r="Z90" i="196"/>
  <c r="X90" i="196"/>
  <c r="V90" i="196"/>
  <c r="T90" i="196"/>
  <c r="S90" i="196"/>
  <c r="R90" i="196"/>
  <c r="Q90" i="196"/>
  <c r="P90" i="196"/>
  <c r="O90" i="196"/>
  <c r="N90" i="196"/>
  <c r="M90" i="196"/>
  <c r="L90" i="196"/>
  <c r="I90" i="196"/>
  <c r="E90" i="196"/>
  <c r="AB89" i="196"/>
  <c r="Z89" i="196"/>
  <c r="X89" i="196"/>
  <c r="V89" i="196"/>
  <c r="T89" i="196"/>
  <c r="S89" i="196"/>
  <c r="R89" i="196"/>
  <c r="Q89" i="196"/>
  <c r="P89" i="196"/>
  <c r="O89" i="196"/>
  <c r="N89" i="196"/>
  <c r="M89" i="196"/>
  <c r="L89" i="196"/>
  <c r="I89" i="196"/>
  <c r="E89" i="196"/>
  <c r="AB88" i="196"/>
  <c r="Z88" i="196"/>
  <c r="X88" i="196"/>
  <c r="V88" i="196"/>
  <c r="T88" i="196"/>
  <c r="S88" i="196"/>
  <c r="R88" i="196"/>
  <c r="Q88" i="196"/>
  <c r="P88" i="196"/>
  <c r="O88" i="196"/>
  <c r="N88" i="196"/>
  <c r="M88" i="196"/>
  <c r="L88" i="196"/>
  <c r="I88" i="196"/>
  <c r="E88" i="196"/>
  <c r="AB87" i="196"/>
  <c r="Z87" i="196"/>
  <c r="X87" i="196"/>
  <c r="V87" i="196"/>
  <c r="T87" i="196"/>
  <c r="S87" i="196"/>
  <c r="R87" i="196"/>
  <c r="Q87" i="196"/>
  <c r="P87" i="196"/>
  <c r="O87" i="196"/>
  <c r="N87" i="196"/>
  <c r="M87" i="196"/>
  <c r="L87" i="196"/>
  <c r="I87" i="196"/>
  <c r="E87" i="196"/>
  <c r="AB86" i="196"/>
  <c r="Z86" i="196"/>
  <c r="X86" i="196"/>
  <c r="V86" i="196"/>
  <c r="T86" i="196"/>
  <c r="S86" i="196"/>
  <c r="R86" i="196"/>
  <c r="Q86" i="196"/>
  <c r="P86" i="196"/>
  <c r="O86" i="196"/>
  <c r="N86" i="196"/>
  <c r="M86" i="196"/>
  <c r="L86" i="196"/>
  <c r="I86" i="196"/>
  <c r="E86" i="196"/>
  <c r="Z84" i="196"/>
  <c r="X84" i="196"/>
  <c r="V84" i="196"/>
  <c r="T84" i="196"/>
  <c r="S84" i="196"/>
  <c r="R84" i="196"/>
  <c r="Q84" i="196"/>
  <c r="P84" i="196"/>
  <c r="O84" i="196"/>
  <c r="N84" i="196"/>
  <c r="M84" i="196"/>
  <c r="L84" i="196"/>
  <c r="I84" i="196"/>
  <c r="E84" i="196"/>
  <c r="AB81" i="196"/>
  <c r="AB80" i="196"/>
  <c r="AB79" i="196"/>
  <c r="AB78" i="196"/>
  <c r="Z78" i="196"/>
  <c r="X78" i="196"/>
  <c r="V78" i="196"/>
  <c r="T78" i="196"/>
  <c r="S78" i="196"/>
  <c r="R78" i="196"/>
  <c r="Q78" i="196"/>
  <c r="P78" i="196"/>
  <c r="O78" i="196"/>
  <c r="N78" i="196"/>
  <c r="M78" i="196"/>
  <c r="L78" i="196"/>
  <c r="I78" i="196"/>
  <c r="E78" i="196"/>
  <c r="AB77" i="196"/>
  <c r="Z77" i="196"/>
  <c r="X77" i="196"/>
  <c r="V77" i="196"/>
  <c r="T77" i="196"/>
  <c r="S77" i="196"/>
  <c r="R77" i="196"/>
  <c r="Q77" i="196"/>
  <c r="P77" i="196"/>
  <c r="O77" i="196"/>
  <c r="N77" i="196"/>
  <c r="M77" i="196"/>
  <c r="L77" i="196"/>
  <c r="I77" i="196"/>
  <c r="E77" i="196"/>
  <c r="AB76" i="196"/>
  <c r="Z76" i="196"/>
  <c r="X76" i="196"/>
  <c r="V76" i="196"/>
  <c r="T76" i="196"/>
  <c r="S76" i="196"/>
  <c r="R76" i="196"/>
  <c r="Q76" i="196"/>
  <c r="P76" i="196"/>
  <c r="O76" i="196"/>
  <c r="N76" i="196"/>
  <c r="M76" i="196"/>
  <c r="L76" i="196"/>
  <c r="I76" i="196"/>
  <c r="E76" i="196"/>
  <c r="AB75" i="196"/>
  <c r="Z75" i="196"/>
  <c r="X75" i="196"/>
  <c r="V75" i="196"/>
  <c r="T75" i="196"/>
  <c r="S75" i="196"/>
  <c r="R75" i="196"/>
  <c r="Q75" i="196"/>
  <c r="P75" i="196"/>
  <c r="O75" i="196"/>
  <c r="N75" i="196"/>
  <c r="M75" i="196"/>
  <c r="L75" i="196"/>
  <c r="I75" i="196"/>
  <c r="E75" i="196"/>
  <c r="AB71" i="196"/>
  <c r="AB70" i="196"/>
  <c r="AB69" i="196"/>
  <c r="Z69" i="196"/>
  <c r="X69" i="196"/>
  <c r="V69" i="196"/>
  <c r="T69" i="196"/>
  <c r="S69" i="196"/>
  <c r="R69" i="196"/>
  <c r="Q69" i="196"/>
  <c r="P69" i="196"/>
  <c r="O69" i="196"/>
  <c r="N69" i="196"/>
  <c r="M69" i="196"/>
  <c r="L69" i="196"/>
  <c r="I69" i="196"/>
  <c r="E69" i="196"/>
  <c r="AB68" i="196"/>
  <c r="Z68" i="196"/>
  <c r="X68" i="196"/>
  <c r="V68" i="196"/>
  <c r="T68" i="196"/>
  <c r="S68" i="196"/>
  <c r="R68" i="196"/>
  <c r="Q68" i="196"/>
  <c r="P68" i="196"/>
  <c r="O68" i="196"/>
  <c r="N68" i="196"/>
  <c r="M68" i="196"/>
  <c r="L68" i="196"/>
  <c r="I68" i="196"/>
  <c r="E68" i="196"/>
  <c r="AB67" i="196"/>
  <c r="Z67" i="196"/>
  <c r="X67" i="196"/>
  <c r="V67" i="196"/>
  <c r="T67" i="196"/>
  <c r="S67" i="196"/>
  <c r="R67" i="196"/>
  <c r="Q67" i="196"/>
  <c r="P67" i="196"/>
  <c r="O67" i="196"/>
  <c r="N67" i="196"/>
  <c r="M67" i="196"/>
  <c r="L67" i="196"/>
  <c r="I67" i="196"/>
  <c r="E67" i="196"/>
  <c r="AB66" i="196"/>
  <c r="Z66" i="196"/>
  <c r="X66" i="196"/>
  <c r="V66" i="196"/>
  <c r="T66" i="196"/>
  <c r="S66" i="196"/>
  <c r="R66" i="196"/>
  <c r="Q66" i="196"/>
  <c r="P66" i="196"/>
  <c r="O66" i="196"/>
  <c r="N66" i="196"/>
  <c r="M66" i="196"/>
  <c r="L66" i="196"/>
  <c r="I66" i="196"/>
  <c r="E66" i="196"/>
  <c r="AB65" i="196"/>
  <c r="Z65" i="196"/>
  <c r="X65" i="196"/>
  <c r="V65" i="196"/>
  <c r="T65" i="196"/>
  <c r="S65" i="196"/>
  <c r="R65" i="196"/>
  <c r="Q65" i="196"/>
  <c r="P65" i="196"/>
  <c r="O65" i="196"/>
  <c r="N65" i="196"/>
  <c r="M65" i="196"/>
  <c r="L65" i="196"/>
  <c r="I65" i="196"/>
  <c r="E65" i="196"/>
  <c r="AB64" i="196"/>
  <c r="Z64" i="196"/>
  <c r="X64" i="196"/>
  <c r="V64" i="196"/>
  <c r="T64" i="196"/>
  <c r="S64" i="196"/>
  <c r="R64" i="196"/>
  <c r="Q64" i="196"/>
  <c r="P64" i="196"/>
  <c r="O64" i="196"/>
  <c r="N64" i="196"/>
  <c r="M64" i="196"/>
  <c r="L64" i="196"/>
  <c r="I64" i="196"/>
  <c r="E64" i="196"/>
  <c r="AB63" i="196"/>
  <c r="AB62" i="196"/>
  <c r="AB59" i="196"/>
  <c r="AB58" i="196"/>
  <c r="AB54" i="196"/>
  <c r="Z54" i="196"/>
  <c r="X54" i="196"/>
  <c r="V54" i="196"/>
  <c r="T54" i="196"/>
  <c r="S54" i="196"/>
  <c r="R54" i="196"/>
  <c r="Q54" i="196"/>
  <c r="P54" i="196"/>
  <c r="O54" i="196"/>
  <c r="N54" i="196"/>
  <c r="M54" i="196"/>
  <c r="L54" i="196"/>
  <c r="I54" i="196"/>
  <c r="E54" i="196"/>
  <c r="AB53" i="196"/>
  <c r="Z53" i="196"/>
  <c r="X53" i="196"/>
  <c r="V53" i="196"/>
  <c r="T53" i="196"/>
  <c r="S53" i="196"/>
  <c r="R53" i="196"/>
  <c r="Q53" i="196"/>
  <c r="P53" i="196"/>
  <c r="O53" i="196"/>
  <c r="N53" i="196"/>
  <c r="M53" i="196"/>
  <c r="L53" i="196"/>
  <c r="I53" i="196"/>
  <c r="E53" i="196"/>
  <c r="AB52" i="196"/>
  <c r="Z52" i="196"/>
  <c r="X52" i="196"/>
  <c r="V52" i="196"/>
  <c r="T52" i="196"/>
  <c r="S52" i="196"/>
  <c r="R52" i="196"/>
  <c r="Q52" i="196"/>
  <c r="P52" i="196"/>
  <c r="O52" i="196"/>
  <c r="N52" i="196"/>
  <c r="M52" i="196"/>
  <c r="L52" i="196"/>
  <c r="I52" i="196"/>
  <c r="E52" i="196"/>
  <c r="AB51" i="196"/>
  <c r="AB50" i="196"/>
  <c r="Z50" i="196"/>
  <c r="X50" i="196"/>
  <c r="V50" i="196"/>
  <c r="T50" i="196"/>
  <c r="S50" i="196"/>
  <c r="R50" i="196"/>
  <c r="Q50" i="196"/>
  <c r="P50" i="196"/>
  <c r="O50" i="196"/>
  <c r="N50" i="196"/>
  <c r="M50" i="196"/>
  <c r="L50" i="196"/>
  <c r="I50" i="196"/>
  <c r="E50" i="196"/>
  <c r="AB49" i="196"/>
  <c r="AB48" i="196"/>
  <c r="AB47" i="196"/>
  <c r="Z47" i="196"/>
  <c r="X47" i="196"/>
  <c r="V47" i="196"/>
  <c r="T47" i="196"/>
  <c r="S47" i="196"/>
  <c r="R47" i="196"/>
  <c r="Q47" i="196"/>
  <c r="P47" i="196"/>
  <c r="O47" i="196"/>
  <c r="N47" i="196"/>
  <c r="M47" i="196"/>
  <c r="L47" i="196"/>
  <c r="I47" i="196"/>
  <c r="E47" i="196"/>
  <c r="AB46" i="196"/>
  <c r="Z46" i="196"/>
  <c r="X46" i="196"/>
  <c r="V46" i="196"/>
  <c r="T46" i="196"/>
  <c r="AB45" i="196"/>
  <c r="Z45" i="196"/>
  <c r="X45" i="196"/>
  <c r="V45" i="196"/>
  <c r="T45" i="196"/>
  <c r="AB43" i="196"/>
  <c r="Z43" i="196"/>
  <c r="X43" i="196"/>
  <c r="V43" i="196"/>
  <c r="T43" i="196"/>
  <c r="S43" i="196"/>
  <c r="R43" i="196"/>
  <c r="Q43" i="196"/>
  <c r="P43" i="196"/>
  <c r="O43" i="196"/>
  <c r="N43" i="196"/>
  <c r="M43" i="196"/>
  <c r="L43" i="196"/>
  <c r="I43" i="196"/>
  <c r="E43" i="196"/>
  <c r="AB42" i="196"/>
  <c r="Z42" i="196"/>
  <c r="X42" i="196"/>
  <c r="V42" i="196"/>
  <c r="T42" i="196"/>
  <c r="S42" i="196"/>
  <c r="R42" i="196"/>
  <c r="Q42" i="196"/>
  <c r="P42" i="196"/>
  <c r="O42" i="196"/>
  <c r="N42" i="196"/>
  <c r="M42" i="196"/>
  <c r="L42" i="196"/>
  <c r="I42" i="196"/>
  <c r="E42" i="196"/>
  <c r="AB41" i="196"/>
  <c r="Z41" i="196"/>
  <c r="X41" i="196"/>
  <c r="V41" i="196"/>
  <c r="T41" i="196"/>
  <c r="S41" i="196"/>
  <c r="R41" i="196"/>
  <c r="Q41" i="196"/>
  <c r="P41" i="196"/>
  <c r="O41" i="196"/>
  <c r="N41" i="196"/>
  <c r="M41" i="196"/>
  <c r="L41" i="196"/>
  <c r="I41" i="196"/>
  <c r="E41" i="196"/>
  <c r="Z36" i="196"/>
  <c r="X36" i="196"/>
  <c r="V36" i="196"/>
  <c r="T36" i="196"/>
  <c r="S36" i="196"/>
  <c r="R36" i="196"/>
  <c r="Q36" i="196"/>
  <c r="P36" i="196"/>
  <c r="O36" i="196"/>
  <c r="N36" i="196"/>
  <c r="M36" i="196"/>
  <c r="L36" i="196"/>
  <c r="I36" i="196"/>
  <c r="E36" i="196"/>
  <c r="Z35" i="196"/>
  <c r="X35" i="196"/>
  <c r="V35" i="196"/>
  <c r="T35" i="196"/>
  <c r="S35" i="196"/>
  <c r="R35" i="196"/>
  <c r="Q35" i="196"/>
  <c r="P35" i="196"/>
  <c r="O35" i="196"/>
  <c r="N35" i="196"/>
  <c r="M35" i="196"/>
  <c r="L35" i="196"/>
  <c r="I35" i="196"/>
  <c r="E35" i="196"/>
  <c r="Z34" i="196"/>
  <c r="X34" i="196"/>
  <c r="V34" i="196"/>
  <c r="T34" i="196"/>
  <c r="S34" i="196"/>
  <c r="R34" i="196"/>
  <c r="Q34" i="196"/>
  <c r="P34" i="196"/>
  <c r="O34" i="196"/>
  <c r="N34" i="196"/>
  <c r="M34" i="196"/>
  <c r="L34" i="196"/>
  <c r="I34" i="196"/>
  <c r="E34" i="196"/>
  <c r="Z33" i="196"/>
  <c r="X33" i="196"/>
  <c r="V33" i="196"/>
  <c r="T33" i="196"/>
  <c r="S33" i="196"/>
  <c r="R33" i="196"/>
  <c r="Q33" i="196"/>
  <c r="N33" i="196"/>
  <c r="M33" i="196"/>
  <c r="L33" i="196"/>
  <c r="I33" i="196"/>
  <c r="E33" i="196"/>
  <c r="AB32" i="196"/>
  <c r="Z32" i="196"/>
  <c r="X32" i="196"/>
  <c r="V32" i="196"/>
  <c r="T32" i="196"/>
  <c r="S32" i="196"/>
  <c r="R32" i="196"/>
  <c r="Q32" i="196"/>
  <c r="N32" i="196"/>
  <c r="M32" i="196"/>
  <c r="L32" i="196"/>
  <c r="I32" i="196"/>
  <c r="E32" i="196"/>
  <c r="AB31" i="196"/>
  <c r="Z31" i="196"/>
  <c r="X31" i="196"/>
  <c r="V31" i="196"/>
  <c r="T31" i="196"/>
  <c r="S31" i="196"/>
  <c r="R31" i="196"/>
  <c r="Q31" i="196"/>
  <c r="N31" i="196"/>
  <c r="M31" i="196"/>
  <c r="L31" i="196"/>
  <c r="I31" i="196"/>
  <c r="E31" i="196"/>
  <c r="AB30" i="196"/>
  <c r="Z30" i="196"/>
  <c r="X30" i="196"/>
  <c r="V30" i="196"/>
  <c r="T30" i="196"/>
  <c r="S30" i="196"/>
  <c r="R30" i="196"/>
  <c r="Q30" i="196"/>
  <c r="N30" i="196"/>
  <c r="M30" i="196"/>
  <c r="L30" i="196"/>
  <c r="I30" i="196"/>
  <c r="E30" i="196"/>
  <c r="AB29" i="196"/>
  <c r="Z29" i="196"/>
  <c r="X29" i="196"/>
  <c r="V29" i="196"/>
  <c r="T29" i="196"/>
  <c r="S29" i="196"/>
  <c r="R29" i="196"/>
  <c r="Q29" i="196"/>
  <c r="N29" i="196"/>
  <c r="M29" i="196"/>
  <c r="L29" i="196"/>
  <c r="I29" i="196"/>
  <c r="E29" i="196"/>
  <c r="AB28" i="196"/>
  <c r="Z28" i="196"/>
  <c r="X28" i="196"/>
  <c r="V28" i="196"/>
  <c r="T28" i="196"/>
  <c r="S28" i="196"/>
  <c r="R28" i="196"/>
  <c r="Q28" i="196"/>
  <c r="N28" i="196"/>
  <c r="M28" i="196"/>
  <c r="L28" i="196"/>
  <c r="I28" i="196"/>
  <c r="E28" i="196"/>
  <c r="AB27" i="196"/>
  <c r="Z27" i="196"/>
  <c r="X27" i="196"/>
  <c r="V27" i="196"/>
  <c r="T27" i="196"/>
  <c r="S27" i="196"/>
  <c r="R27" i="196"/>
  <c r="Q27" i="196"/>
  <c r="N27" i="196"/>
  <c r="M27" i="196"/>
  <c r="L27" i="196"/>
  <c r="I27" i="196"/>
  <c r="E27" i="196"/>
  <c r="AB26" i="196"/>
  <c r="Z26" i="196"/>
  <c r="X26" i="196"/>
  <c r="V26" i="196"/>
  <c r="T26" i="196"/>
  <c r="S26" i="196"/>
  <c r="R26" i="196"/>
  <c r="Q26" i="196"/>
  <c r="N26" i="196"/>
  <c r="M26" i="196"/>
  <c r="L26" i="196"/>
  <c r="I26" i="196"/>
  <c r="E26" i="196"/>
  <c r="AB25" i="196"/>
  <c r="Z25" i="196"/>
  <c r="X25" i="196"/>
  <c r="V25" i="196"/>
  <c r="T25" i="196"/>
  <c r="S25" i="196"/>
  <c r="R25" i="196"/>
  <c r="Q25" i="196"/>
  <c r="N25" i="196"/>
  <c r="M25" i="196"/>
  <c r="L25" i="196"/>
  <c r="I25" i="196"/>
  <c r="E25" i="196"/>
  <c r="AB24" i="196"/>
  <c r="Z24" i="196"/>
  <c r="X24" i="196"/>
  <c r="V24" i="196"/>
  <c r="T24" i="196"/>
  <c r="S24" i="196"/>
  <c r="R24" i="196"/>
  <c r="Q24" i="196"/>
  <c r="N24" i="196"/>
  <c r="M24" i="196"/>
  <c r="L24" i="196"/>
  <c r="I24" i="196"/>
  <c r="E24" i="196"/>
  <c r="AB23" i="196"/>
  <c r="Z23" i="196"/>
  <c r="X23" i="196"/>
  <c r="V23" i="196"/>
  <c r="T23" i="196"/>
  <c r="S23" i="196"/>
  <c r="R23" i="196"/>
  <c r="Q23" i="196"/>
  <c r="P23" i="196"/>
  <c r="N23" i="196"/>
  <c r="M23" i="196"/>
  <c r="L23" i="196"/>
  <c r="I23" i="196"/>
  <c r="E23" i="196"/>
  <c r="AB22" i="196"/>
  <c r="Z22" i="196"/>
  <c r="X22" i="196"/>
  <c r="V22" i="196"/>
  <c r="T22" i="196"/>
  <c r="S22" i="196"/>
  <c r="R22" i="196"/>
  <c r="Q22" i="196"/>
  <c r="N22" i="196"/>
  <c r="M22" i="196"/>
  <c r="L22" i="196"/>
  <c r="I22" i="196"/>
  <c r="E22" i="196"/>
  <c r="AB21" i="196"/>
  <c r="Z21" i="196"/>
  <c r="X21" i="196"/>
  <c r="V21" i="196"/>
  <c r="T21" i="196"/>
  <c r="S21" i="196"/>
  <c r="R21" i="196"/>
  <c r="Q21" i="196"/>
  <c r="N21" i="196"/>
  <c r="M21" i="196"/>
  <c r="L21" i="196"/>
  <c r="I21" i="196"/>
  <c r="E21" i="196"/>
  <c r="AB20" i="196"/>
  <c r="Z20" i="196"/>
  <c r="X20" i="196"/>
  <c r="V20" i="196"/>
  <c r="T20" i="196"/>
  <c r="S20" i="196"/>
  <c r="R20" i="196"/>
  <c r="Q20" i="196"/>
  <c r="N20" i="196"/>
  <c r="M20" i="196"/>
  <c r="L20" i="196"/>
  <c r="I20" i="196"/>
  <c r="E20" i="196"/>
  <c r="AB19" i="196"/>
  <c r="Z19" i="196"/>
  <c r="X19" i="196"/>
  <c r="V19" i="196"/>
  <c r="T19" i="196"/>
  <c r="S19" i="196"/>
  <c r="R19" i="196"/>
  <c r="Q19" i="196"/>
  <c r="N19" i="196"/>
  <c r="M19" i="196"/>
  <c r="L19" i="196"/>
  <c r="I19" i="196"/>
  <c r="E19" i="196"/>
  <c r="AB18" i="196"/>
  <c r="Z18" i="196"/>
  <c r="X18" i="196"/>
  <c r="V18" i="196"/>
  <c r="T18" i="196"/>
  <c r="S18" i="196"/>
  <c r="R18" i="196"/>
  <c r="Q18" i="196"/>
  <c r="N18" i="196"/>
  <c r="M18" i="196"/>
  <c r="L18" i="196"/>
  <c r="I18" i="196"/>
  <c r="E18" i="196"/>
  <c r="AB17" i="196"/>
  <c r="Z17" i="196"/>
  <c r="X17" i="196"/>
  <c r="V17" i="196"/>
  <c r="T17" i="196"/>
  <c r="S17" i="196"/>
  <c r="R17" i="196"/>
  <c r="Q17" i="196"/>
  <c r="N17" i="196"/>
  <c r="M17" i="196"/>
  <c r="L17" i="196"/>
  <c r="I17" i="196"/>
  <c r="E17" i="196"/>
  <c r="AB16" i="196"/>
  <c r="Z16" i="196"/>
  <c r="X16" i="196"/>
  <c r="V16" i="196"/>
  <c r="T16" i="196"/>
  <c r="S16" i="196"/>
  <c r="R16" i="196"/>
  <c r="Q16" i="196"/>
  <c r="N16" i="196"/>
  <c r="M16" i="196"/>
  <c r="L16" i="196"/>
  <c r="I16" i="196"/>
  <c r="E16" i="196"/>
  <c r="AB14" i="196"/>
  <c r="Z14" i="196"/>
  <c r="X14" i="196"/>
  <c r="V14" i="196"/>
  <c r="T14" i="196"/>
  <c r="S14" i="196"/>
  <c r="R14" i="196"/>
  <c r="Q14" i="196"/>
  <c r="N14" i="196"/>
  <c r="M14" i="196"/>
  <c r="L14" i="196"/>
  <c r="I14" i="196"/>
  <c r="E14" i="196"/>
  <c r="AB13" i="196"/>
  <c r="Z13" i="196"/>
  <c r="X13" i="196"/>
  <c r="V13" i="196"/>
  <c r="T13" i="196"/>
  <c r="S13" i="196"/>
  <c r="R13" i="196"/>
  <c r="Q13" i="196"/>
  <c r="P13" i="196"/>
  <c r="N13" i="196"/>
  <c r="M13" i="196"/>
  <c r="L13" i="196"/>
  <c r="I13" i="196"/>
  <c r="E13" i="196"/>
  <c r="AB11" i="196"/>
  <c r="Z11" i="196"/>
  <c r="X11" i="196"/>
  <c r="V11" i="196"/>
  <c r="T11" i="196"/>
  <c r="S11" i="196"/>
  <c r="R11" i="196"/>
  <c r="Q11" i="196"/>
  <c r="P11" i="196"/>
  <c r="N11" i="196"/>
  <c r="M11" i="196"/>
  <c r="L11" i="196"/>
  <c r="I11" i="196"/>
  <c r="E11" i="196"/>
  <c r="C9" i="201"/>
  <c r="C8" i="201"/>
  <c r="C7" i="201"/>
  <c r="C6" i="201"/>
  <c r="C5" i="201"/>
  <c r="C4" i="201"/>
  <c r="C3" i="201"/>
  <c r="C2" i="201"/>
  <c r="E199" i="200"/>
  <c r="C199" i="200"/>
  <c r="E198" i="200"/>
  <c r="E135" i="200"/>
  <c r="E122" i="200"/>
  <c r="E117" i="200"/>
  <c r="E111" i="200"/>
  <c r="E101" i="200"/>
  <c r="E93" i="200"/>
  <c r="E80" i="200"/>
  <c r="E71" i="200"/>
  <c r="E61" i="200"/>
  <c r="E56" i="200"/>
  <c r="E45" i="200"/>
  <c r="E44" i="200"/>
  <c r="E43" i="200"/>
  <c r="E42" i="200"/>
  <c r="E41" i="200"/>
  <c r="E38" i="200"/>
  <c r="I199" i="195"/>
  <c r="H199" i="195"/>
  <c r="G199" i="195"/>
  <c r="E199" i="195"/>
  <c r="C199" i="195"/>
  <c r="I198" i="195"/>
  <c r="H198" i="195"/>
  <c r="G198" i="195"/>
  <c r="E198" i="195"/>
  <c r="I197" i="195"/>
  <c r="H197" i="195"/>
  <c r="I196" i="195"/>
  <c r="H196" i="195"/>
  <c r="I195" i="195"/>
  <c r="H195" i="195"/>
  <c r="I194" i="195"/>
  <c r="H194" i="195"/>
  <c r="I193" i="195"/>
  <c r="H193" i="195"/>
  <c r="I192" i="195"/>
  <c r="I191" i="195"/>
  <c r="H191" i="195"/>
  <c r="I190" i="195"/>
  <c r="H190" i="195"/>
  <c r="I189" i="195"/>
  <c r="H189" i="195"/>
  <c r="I187" i="195"/>
  <c r="H187" i="195"/>
  <c r="I186" i="195"/>
  <c r="H186" i="195"/>
  <c r="I185" i="195"/>
  <c r="H185" i="195"/>
  <c r="I184" i="195"/>
  <c r="H184" i="195"/>
  <c r="I183" i="195"/>
  <c r="H183" i="195"/>
  <c r="I182" i="195"/>
  <c r="H182" i="195"/>
  <c r="I181" i="195"/>
  <c r="H181" i="195"/>
  <c r="I180" i="195"/>
  <c r="I179" i="195"/>
  <c r="H179" i="195"/>
  <c r="I178" i="195"/>
  <c r="H178" i="195"/>
  <c r="I177" i="195"/>
  <c r="H177" i="195"/>
  <c r="I176" i="195"/>
  <c r="H176" i="195"/>
  <c r="I175" i="195"/>
  <c r="H175" i="195"/>
  <c r="I174" i="195"/>
  <c r="H174" i="195"/>
  <c r="I173" i="195"/>
  <c r="H173" i="195"/>
  <c r="I172" i="195"/>
  <c r="H172" i="195"/>
  <c r="I171" i="195"/>
  <c r="H171" i="195"/>
  <c r="I170" i="195"/>
  <c r="H170" i="195"/>
  <c r="I169" i="195"/>
  <c r="H169" i="195"/>
  <c r="I168" i="195"/>
  <c r="H168" i="195"/>
  <c r="I167" i="195"/>
  <c r="H167" i="195"/>
  <c r="I166" i="195"/>
  <c r="H166" i="195"/>
  <c r="I165" i="195"/>
  <c r="H165" i="195"/>
  <c r="E165" i="195"/>
  <c r="I164" i="195"/>
  <c r="H164" i="195"/>
  <c r="E164" i="195"/>
  <c r="I163" i="195"/>
  <c r="H163" i="195"/>
  <c r="I162" i="195"/>
  <c r="H162" i="195"/>
  <c r="I161" i="195"/>
  <c r="H161" i="195"/>
  <c r="I160" i="195"/>
  <c r="H160" i="195"/>
  <c r="I159" i="195"/>
  <c r="H159" i="195"/>
  <c r="I158" i="195"/>
  <c r="H158" i="195"/>
  <c r="I157" i="195"/>
  <c r="H157" i="195"/>
  <c r="I156" i="195"/>
  <c r="H156" i="195"/>
  <c r="I155" i="195"/>
  <c r="H155" i="195"/>
  <c r="I154" i="195"/>
  <c r="H154" i="195"/>
  <c r="I153" i="195"/>
  <c r="H153" i="195"/>
  <c r="I152" i="195"/>
  <c r="H152" i="195"/>
  <c r="I151" i="195"/>
  <c r="H151" i="195"/>
  <c r="I150" i="195"/>
  <c r="H150" i="195"/>
  <c r="I149" i="195"/>
  <c r="I148" i="195"/>
  <c r="I147" i="195"/>
  <c r="H147" i="195"/>
  <c r="I146" i="195"/>
  <c r="H146" i="195"/>
  <c r="I145" i="195"/>
  <c r="H145" i="195"/>
  <c r="I135" i="195"/>
  <c r="H135" i="195"/>
  <c r="G135" i="195"/>
  <c r="E135" i="195"/>
  <c r="I134" i="195"/>
  <c r="H134" i="195"/>
  <c r="I133" i="195"/>
  <c r="H133" i="195"/>
  <c r="I132" i="195"/>
  <c r="H132" i="195"/>
  <c r="I131" i="195"/>
  <c r="H131" i="195"/>
  <c r="I130" i="195"/>
  <c r="H130" i="195"/>
  <c r="I129" i="195"/>
  <c r="H129" i="195"/>
  <c r="I128" i="195"/>
  <c r="H128" i="195"/>
  <c r="I127" i="195"/>
  <c r="I126" i="195"/>
  <c r="H126" i="195"/>
  <c r="H124" i="195"/>
  <c r="H123" i="195"/>
  <c r="I122" i="195"/>
  <c r="H122" i="195"/>
  <c r="G122" i="195"/>
  <c r="E122" i="195"/>
  <c r="I116" i="195"/>
  <c r="H116" i="195"/>
  <c r="G116" i="195"/>
  <c r="E116" i="195"/>
  <c r="I114" i="195"/>
  <c r="H114" i="195"/>
  <c r="I111" i="195"/>
  <c r="H111" i="195"/>
  <c r="G111" i="195"/>
  <c r="E111" i="195"/>
  <c r="I110" i="195"/>
  <c r="H110" i="195"/>
  <c r="I109" i="195"/>
  <c r="I108" i="195"/>
  <c r="H108" i="195"/>
  <c r="H103" i="195"/>
  <c r="H102" i="195"/>
  <c r="I101" i="195"/>
  <c r="H101" i="195"/>
  <c r="G101" i="195"/>
  <c r="E101" i="195"/>
  <c r="I100" i="195"/>
  <c r="H100" i="195"/>
  <c r="I99" i="195"/>
  <c r="H99" i="195"/>
  <c r="I98" i="195"/>
  <c r="H98" i="195"/>
  <c r="I97" i="195"/>
  <c r="H97" i="195"/>
  <c r="I96" i="195"/>
  <c r="H96" i="195"/>
  <c r="E96" i="195"/>
  <c r="I93" i="195"/>
  <c r="H93" i="195"/>
  <c r="G93" i="195"/>
  <c r="F93" i="195"/>
  <c r="E93" i="195"/>
  <c r="I92" i="195"/>
  <c r="H92" i="195"/>
  <c r="I91" i="195"/>
  <c r="H91" i="195"/>
  <c r="I90" i="195"/>
  <c r="H90" i="195"/>
  <c r="I89" i="195"/>
  <c r="H89" i="195"/>
  <c r="I88" i="195"/>
  <c r="H88" i="195"/>
  <c r="I87" i="195"/>
  <c r="H87" i="195"/>
  <c r="I86" i="195"/>
  <c r="H86" i="195"/>
  <c r="I85" i="195"/>
  <c r="H85" i="195"/>
  <c r="E83" i="195"/>
  <c r="H82" i="195"/>
  <c r="H81" i="195"/>
  <c r="I80" i="195"/>
  <c r="H80" i="195"/>
  <c r="G80" i="195"/>
  <c r="F80" i="195"/>
  <c r="E80" i="195"/>
  <c r="I79" i="195"/>
  <c r="H79" i="195"/>
  <c r="I78" i="195"/>
  <c r="I77" i="195"/>
  <c r="H77" i="195"/>
  <c r="I76" i="195"/>
  <c r="H76" i="195"/>
  <c r="H73" i="195"/>
  <c r="H72" i="195"/>
  <c r="I71" i="195"/>
  <c r="H71" i="195"/>
  <c r="G71" i="195"/>
  <c r="E71" i="195"/>
  <c r="I70" i="195"/>
  <c r="H70" i="195"/>
  <c r="I69" i="195"/>
  <c r="H69" i="195"/>
  <c r="I68" i="195"/>
  <c r="H68" i="195"/>
  <c r="I67" i="195"/>
  <c r="H67" i="195"/>
  <c r="I66" i="195"/>
  <c r="H66" i="195"/>
  <c r="I65" i="195"/>
  <c r="H65" i="195"/>
  <c r="I61" i="195"/>
  <c r="E61" i="195"/>
  <c r="I56" i="195"/>
  <c r="H56" i="195"/>
  <c r="G56" i="195"/>
  <c r="E56" i="195"/>
  <c r="I55" i="195"/>
  <c r="H55" i="195"/>
  <c r="I54" i="195"/>
  <c r="H54" i="195"/>
  <c r="I53" i="195"/>
  <c r="H53" i="195"/>
  <c r="I52" i="195"/>
  <c r="I51" i="195"/>
  <c r="H51" i="195"/>
  <c r="I50" i="195"/>
  <c r="I49" i="195"/>
  <c r="I48" i="195"/>
  <c r="H48" i="195"/>
  <c r="H47" i="195"/>
  <c r="H46" i="195"/>
  <c r="I45" i="195"/>
  <c r="H45" i="195"/>
  <c r="G45" i="195"/>
  <c r="E45" i="195"/>
  <c r="I44" i="195"/>
  <c r="H44" i="195"/>
  <c r="E44" i="195"/>
  <c r="I43" i="195"/>
  <c r="H43" i="195"/>
  <c r="I42" i="195"/>
  <c r="H42" i="195"/>
  <c r="H40" i="195"/>
  <c r="H39" i="195"/>
  <c r="I38" i="195"/>
  <c r="H38" i="195"/>
  <c r="G38" i="195"/>
  <c r="E38" i="195"/>
  <c r="I37" i="195"/>
  <c r="H37" i="195"/>
  <c r="I36" i="195"/>
  <c r="H36" i="195"/>
  <c r="I35" i="195"/>
  <c r="H35" i="195"/>
  <c r="I34" i="195"/>
  <c r="H34" i="195"/>
  <c r="I33" i="195"/>
  <c r="H33" i="195"/>
  <c r="I32" i="195"/>
  <c r="H32" i="195"/>
  <c r="I31" i="195"/>
  <c r="H31" i="195"/>
  <c r="I30" i="195"/>
  <c r="H30" i="195"/>
  <c r="I29" i="195"/>
  <c r="H29" i="195"/>
  <c r="I28" i="195"/>
  <c r="H28" i="195"/>
  <c r="I27" i="195"/>
  <c r="H27" i="195"/>
  <c r="I26" i="195"/>
  <c r="H26" i="195"/>
  <c r="I24" i="195"/>
  <c r="H24" i="195"/>
  <c r="I23" i="195"/>
  <c r="H23" i="195"/>
  <c r="I22" i="195"/>
  <c r="H22" i="195"/>
  <c r="I21" i="195"/>
  <c r="H21" i="195"/>
  <c r="I20" i="195"/>
  <c r="H20" i="195"/>
  <c r="I19" i="195"/>
  <c r="H19" i="195"/>
  <c r="E19" i="195"/>
  <c r="I18" i="195"/>
  <c r="H18" i="195"/>
  <c r="I17" i="195"/>
  <c r="H17" i="195"/>
  <c r="I16" i="195"/>
  <c r="I15" i="195"/>
  <c r="H15" i="195"/>
  <c r="I14" i="195"/>
  <c r="H14" i="195"/>
  <c r="I13" i="195"/>
  <c r="I12" i="195"/>
  <c r="H12" i="195"/>
  <c r="E3" i="195"/>
  <c r="D29" i="205"/>
  <c r="D27" i="205"/>
  <c r="D18" i="205"/>
  <c r="D14" i="205"/>
  <c r="D3" i="205"/>
  <c r="D18" i="203"/>
  <c r="D3" i="203"/>
  <c r="K194" i="206"/>
  <c r="J194" i="206"/>
  <c r="I194" i="206"/>
  <c r="H194" i="206"/>
  <c r="G194" i="206"/>
  <c r="F194" i="206"/>
  <c r="E194" i="206"/>
  <c r="C194" i="206"/>
  <c r="K193" i="206"/>
  <c r="J193" i="206"/>
  <c r="I193" i="206"/>
  <c r="H193" i="206"/>
  <c r="G193" i="206"/>
  <c r="F193" i="206"/>
  <c r="E193" i="206"/>
  <c r="K192" i="206"/>
  <c r="K191" i="206"/>
  <c r="K190" i="206"/>
  <c r="K189" i="206"/>
  <c r="K188" i="206"/>
  <c r="K187" i="206"/>
  <c r="K186" i="206"/>
  <c r="K185" i="206"/>
  <c r="K184" i="206"/>
  <c r="K183" i="206"/>
  <c r="K182" i="206"/>
  <c r="K181" i="206"/>
  <c r="K180" i="206"/>
  <c r="K179" i="206"/>
  <c r="K178" i="206"/>
  <c r="K177" i="206"/>
  <c r="K176" i="206"/>
  <c r="K175" i="206"/>
  <c r="K174" i="206"/>
  <c r="K173" i="206"/>
  <c r="K172" i="206"/>
  <c r="K171" i="206"/>
  <c r="K170" i="206"/>
  <c r="K169" i="206"/>
  <c r="K168" i="206"/>
  <c r="K167" i="206"/>
  <c r="K166" i="206"/>
  <c r="K165" i="206"/>
  <c r="K164" i="206"/>
  <c r="K163" i="206"/>
  <c r="K162" i="206"/>
  <c r="K161" i="206"/>
  <c r="K160" i="206"/>
  <c r="K159" i="206"/>
  <c r="K158" i="206"/>
  <c r="K157" i="206"/>
  <c r="K156" i="206"/>
  <c r="K155" i="206"/>
  <c r="K154" i="206"/>
  <c r="K153" i="206"/>
  <c r="K152" i="206"/>
  <c r="K151" i="206"/>
  <c r="K150" i="206"/>
  <c r="K149" i="206"/>
  <c r="K148" i="206"/>
  <c r="K147" i="206"/>
  <c r="K146" i="206"/>
  <c r="K145" i="206"/>
  <c r="K144" i="206"/>
  <c r="K143" i="206"/>
  <c r="K142" i="206"/>
  <c r="K141" i="206"/>
  <c r="K140" i="206"/>
  <c r="K139" i="206"/>
  <c r="K138" i="206"/>
  <c r="K137" i="206"/>
  <c r="K136" i="206"/>
  <c r="K135" i="206"/>
  <c r="K134" i="206"/>
  <c r="K131" i="206"/>
  <c r="J131" i="206"/>
  <c r="I131" i="206"/>
  <c r="H131" i="206"/>
  <c r="G131" i="206"/>
  <c r="F131" i="206"/>
  <c r="E131" i="206"/>
  <c r="K130" i="206"/>
  <c r="K129" i="206"/>
  <c r="K128" i="206"/>
  <c r="K127" i="206"/>
  <c r="K126" i="206"/>
  <c r="K125" i="206"/>
  <c r="K124" i="206"/>
  <c r="K123" i="206"/>
  <c r="K122" i="206"/>
  <c r="K121" i="206"/>
  <c r="K118" i="206"/>
  <c r="J118" i="206"/>
  <c r="I118" i="206"/>
  <c r="H118" i="206"/>
  <c r="G118" i="206"/>
  <c r="F118" i="206"/>
  <c r="E118" i="206"/>
  <c r="K117" i="206"/>
  <c r="K116" i="206"/>
  <c r="K115" i="206"/>
  <c r="K112" i="206"/>
  <c r="J112" i="206"/>
  <c r="I112" i="206"/>
  <c r="H112" i="206"/>
  <c r="G112" i="206"/>
  <c r="F112" i="206"/>
  <c r="E112" i="206"/>
  <c r="K111" i="206"/>
  <c r="K110" i="206"/>
  <c r="K109" i="206"/>
  <c r="K108" i="206"/>
  <c r="K107" i="206"/>
  <c r="K106" i="206"/>
  <c r="K105" i="206"/>
  <c r="K102" i="206"/>
  <c r="J102" i="206"/>
  <c r="I102" i="206"/>
  <c r="H102" i="206"/>
  <c r="G102" i="206"/>
  <c r="F102" i="206"/>
  <c r="E102" i="206"/>
  <c r="K101" i="206"/>
  <c r="K100" i="206"/>
  <c r="K99" i="206"/>
  <c r="K98" i="206"/>
  <c r="K95" i="206"/>
  <c r="J95" i="206"/>
  <c r="I95" i="206"/>
  <c r="H95" i="206"/>
  <c r="G95" i="206"/>
  <c r="F95" i="206"/>
  <c r="E95" i="206"/>
  <c r="K94" i="206"/>
  <c r="K93" i="206"/>
  <c r="K92" i="206"/>
  <c r="K91" i="206"/>
  <c r="K90" i="206"/>
  <c r="K89" i="206"/>
  <c r="K88" i="206"/>
  <c r="K87" i="206"/>
  <c r="K86" i="206"/>
  <c r="K85" i="206"/>
  <c r="K82" i="206"/>
  <c r="J82" i="206"/>
  <c r="I82" i="206"/>
  <c r="H82" i="206"/>
  <c r="G82" i="206"/>
  <c r="F82" i="206"/>
  <c r="E82" i="206"/>
  <c r="K81" i="206"/>
  <c r="K80" i="206"/>
  <c r="K79" i="206"/>
  <c r="K78" i="206"/>
  <c r="K77" i="206"/>
  <c r="K76" i="206"/>
  <c r="K75" i="206"/>
  <c r="K72" i="206"/>
  <c r="J72" i="206"/>
  <c r="I72" i="206"/>
  <c r="H72" i="206"/>
  <c r="G72" i="206"/>
  <c r="F72" i="206"/>
  <c r="E72" i="206"/>
  <c r="K71" i="206"/>
  <c r="K70" i="206"/>
  <c r="K69" i="206"/>
  <c r="K68" i="206"/>
  <c r="K67" i="206"/>
  <c r="K66" i="206"/>
  <c r="K65" i="206"/>
  <c r="K64" i="206"/>
  <c r="K63" i="206"/>
  <c r="K62" i="206"/>
  <c r="K59" i="206"/>
  <c r="J59" i="206"/>
  <c r="I59" i="206"/>
  <c r="H59" i="206"/>
  <c r="G59" i="206"/>
  <c r="F59" i="206"/>
  <c r="E59" i="206"/>
  <c r="K58" i="206"/>
  <c r="K57" i="206"/>
  <c r="K54" i="206"/>
  <c r="J54" i="206"/>
  <c r="I54" i="206"/>
  <c r="H54" i="206"/>
  <c r="G54" i="206"/>
  <c r="F54" i="206"/>
  <c r="E54" i="206"/>
  <c r="K53" i="206"/>
  <c r="K52" i="206"/>
  <c r="K51" i="206"/>
  <c r="K50" i="206"/>
  <c r="K49" i="206"/>
  <c r="K48" i="206"/>
  <c r="K47" i="206"/>
  <c r="K46" i="206"/>
  <c r="K45" i="206"/>
  <c r="K44" i="206"/>
  <c r="K43" i="206"/>
  <c r="K40" i="206"/>
  <c r="J40" i="206"/>
  <c r="I40" i="206"/>
  <c r="H40" i="206"/>
  <c r="G40" i="206"/>
  <c r="F40" i="206"/>
  <c r="E40" i="206"/>
  <c r="K39" i="206"/>
  <c r="K38" i="206"/>
  <c r="K37" i="206"/>
  <c r="K34" i="206"/>
  <c r="J34" i="206"/>
  <c r="I34" i="206"/>
  <c r="H34" i="206"/>
  <c r="G34" i="206"/>
  <c r="F34" i="206"/>
  <c r="E34" i="206"/>
  <c r="K33" i="206"/>
  <c r="K32" i="206"/>
  <c r="K31" i="206"/>
  <c r="K30" i="206"/>
  <c r="K29" i="206"/>
  <c r="K28" i="206"/>
  <c r="K27" i="206"/>
  <c r="K26" i="206"/>
  <c r="K25" i="206"/>
  <c r="K24" i="206"/>
  <c r="K23" i="206"/>
  <c r="K22" i="206"/>
  <c r="K21" i="206"/>
  <c r="K20" i="206"/>
  <c r="K19" i="206"/>
  <c r="K18" i="206"/>
  <c r="K17" i="206"/>
  <c r="K16" i="206"/>
  <c r="K15" i="206"/>
  <c r="K14" i="206"/>
  <c r="K13" i="206"/>
  <c r="K12" i="206"/>
  <c r="K11" i="206"/>
  <c r="K10" i="206"/>
  <c r="K9" i="206"/>
  <c r="K8" i="206"/>
  <c r="K7" i="206"/>
  <c r="Q202" i="213"/>
  <c r="P202" i="213"/>
  <c r="O202" i="213"/>
  <c r="N202" i="213"/>
  <c r="M202" i="213"/>
  <c r="L202" i="213"/>
  <c r="K202" i="213"/>
  <c r="J202" i="213"/>
  <c r="I202" i="213"/>
  <c r="H202" i="213"/>
  <c r="G202" i="213"/>
  <c r="F202" i="213"/>
  <c r="E202" i="213"/>
  <c r="C202" i="213"/>
  <c r="Q200" i="213"/>
  <c r="P200" i="213"/>
  <c r="O200" i="213"/>
  <c r="N200" i="213"/>
  <c r="M200" i="213"/>
  <c r="L200" i="213"/>
  <c r="K200" i="213"/>
  <c r="J200" i="213"/>
  <c r="I200" i="213"/>
  <c r="H200" i="213"/>
  <c r="G200" i="213"/>
  <c r="F200" i="213"/>
  <c r="E200" i="213"/>
  <c r="C200" i="213"/>
  <c r="Q199" i="213"/>
  <c r="P199" i="213"/>
  <c r="O199" i="213"/>
  <c r="N199" i="213"/>
  <c r="M199" i="213"/>
  <c r="L199" i="213"/>
  <c r="K199" i="213"/>
  <c r="J199" i="213"/>
  <c r="I199" i="213"/>
  <c r="H199" i="213"/>
  <c r="G199" i="213"/>
  <c r="F199" i="213"/>
  <c r="E199" i="213"/>
  <c r="Q198" i="213"/>
  <c r="P198" i="213"/>
  <c r="O198" i="213"/>
  <c r="L198" i="213"/>
  <c r="K198" i="213"/>
  <c r="I198" i="213"/>
  <c r="H198" i="213"/>
  <c r="Q197" i="213"/>
  <c r="P197" i="213"/>
  <c r="O197" i="213"/>
  <c r="L197" i="213"/>
  <c r="K197" i="213"/>
  <c r="I197" i="213"/>
  <c r="H197" i="213"/>
  <c r="Q196" i="213"/>
  <c r="P196" i="213"/>
  <c r="O196" i="213"/>
  <c r="L196" i="213"/>
  <c r="K196" i="213"/>
  <c r="I196" i="213"/>
  <c r="H196" i="213"/>
  <c r="Q195" i="213"/>
  <c r="P195" i="213"/>
  <c r="O195" i="213"/>
  <c r="L195" i="213"/>
  <c r="K195" i="213"/>
  <c r="I195" i="213"/>
  <c r="H195" i="213"/>
  <c r="Q194" i="213"/>
  <c r="P194" i="213"/>
  <c r="O194" i="213"/>
  <c r="L194" i="213"/>
  <c r="K194" i="213"/>
  <c r="I194" i="213"/>
  <c r="H194" i="213"/>
  <c r="Q193" i="213"/>
  <c r="P193" i="213"/>
  <c r="O193" i="213"/>
  <c r="L193" i="213"/>
  <c r="K193" i="213"/>
  <c r="I193" i="213"/>
  <c r="H193" i="213"/>
  <c r="Q192" i="213"/>
  <c r="P192" i="213"/>
  <c r="O192" i="213"/>
  <c r="L192" i="213"/>
  <c r="K192" i="213"/>
  <c r="I192" i="213"/>
  <c r="H192" i="213"/>
  <c r="Q191" i="213"/>
  <c r="P191" i="213"/>
  <c r="O191" i="213"/>
  <c r="L191" i="213"/>
  <c r="K191" i="213"/>
  <c r="I191" i="213"/>
  <c r="H191" i="213"/>
  <c r="Q190" i="213"/>
  <c r="P190" i="213"/>
  <c r="O190" i="213"/>
  <c r="L190" i="213"/>
  <c r="K190" i="213"/>
  <c r="I190" i="213"/>
  <c r="H190" i="213"/>
  <c r="Q189" i="213"/>
  <c r="P189" i="213"/>
  <c r="O189" i="213"/>
  <c r="L189" i="213"/>
  <c r="K189" i="213"/>
  <c r="I189" i="213"/>
  <c r="H189" i="213"/>
  <c r="Q188" i="213"/>
  <c r="P188" i="213"/>
  <c r="O188" i="213"/>
  <c r="L188" i="213"/>
  <c r="K188" i="213"/>
  <c r="I188" i="213"/>
  <c r="H188" i="213"/>
  <c r="Q187" i="213"/>
  <c r="P187" i="213"/>
  <c r="O187" i="213"/>
  <c r="L187" i="213"/>
  <c r="K187" i="213"/>
  <c r="I187" i="213"/>
  <c r="H187" i="213"/>
  <c r="Q186" i="213"/>
  <c r="P186" i="213"/>
  <c r="O186" i="213"/>
  <c r="L186" i="213"/>
  <c r="K186" i="213"/>
  <c r="I186" i="213"/>
  <c r="H186" i="213"/>
  <c r="Q185" i="213"/>
  <c r="P185" i="213"/>
  <c r="O185" i="213"/>
  <c r="L185" i="213"/>
  <c r="K185" i="213"/>
  <c r="I185" i="213"/>
  <c r="H185" i="213"/>
  <c r="Q184" i="213"/>
  <c r="P184" i="213"/>
  <c r="O184" i="213"/>
  <c r="L184" i="213"/>
  <c r="K184" i="213"/>
  <c r="I184" i="213"/>
  <c r="H184" i="213"/>
  <c r="Q183" i="213"/>
  <c r="P183" i="213"/>
  <c r="O183" i="213"/>
  <c r="L183" i="213"/>
  <c r="K183" i="213"/>
  <c r="I183" i="213"/>
  <c r="H183" i="213"/>
  <c r="Q182" i="213"/>
  <c r="P182" i="213"/>
  <c r="O182" i="213"/>
  <c r="L182" i="213"/>
  <c r="K182" i="213"/>
  <c r="I182" i="213"/>
  <c r="H182" i="213"/>
  <c r="Q181" i="213"/>
  <c r="P181" i="213"/>
  <c r="O181" i="213"/>
  <c r="L181" i="213"/>
  <c r="K181" i="213"/>
  <c r="I181" i="213"/>
  <c r="H181" i="213"/>
  <c r="Q180" i="213"/>
  <c r="P180" i="213"/>
  <c r="O180" i="213"/>
  <c r="L180" i="213"/>
  <c r="K180" i="213"/>
  <c r="I180" i="213"/>
  <c r="H180" i="213"/>
  <c r="Q179" i="213"/>
  <c r="P179" i="213"/>
  <c r="O179" i="213"/>
  <c r="L179" i="213"/>
  <c r="K179" i="213"/>
  <c r="I179" i="213"/>
  <c r="H179" i="213"/>
  <c r="Q178" i="213"/>
  <c r="P178" i="213"/>
  <c r="O178" i="213"/>
  <c r="L178" i="213"/>
  <c r="K178" i="213"/>
  <c r="I178" i="213"/>
  <c r="H178" i="213"/>
  <c r="Q177" i="213"/>
  <c r="P177" i="213"/>
  <c r="O177" i="213"/>
  <c r="L177" i="213"/>
  <c r="K177" i="213"/>
  <c r="I177" i="213"/>
  <c r="H177" i="213"/>
  <c r="Q176" i="213"/>
  <c r="P176" i="213"/>
  <c r="O176" i="213"/>
  <c r="L176" i="213"/>
  <c r="K176" i="213"/>
  <c r="I176" i="213"/>
  <c r="H176" i="213"/>
  <c r="Q175" i="213"/>
  <c r="P175" i="213"/>
  <c r="O175" i="213"/>
  <c r="L175" i="213"/>
  <c r="K175" i="213"/>
  <c r="I175" i="213"/>
  <c r="H175" i="213"/>
  <c r="Q174" i="213"/>
  <c r="P174" i="213"/>
  <c r="O174" i="213"/>
  <c r="L174" i="213"/>
  <c r="K174" i="213"/>
  <c r="I174" i="213"/>
  <c r="H174" i="213"/>
  <c r="Q173" i="213"/>
  <c r="P173" i="213"/>
  <c r="O173" i="213"/>
  <c r="L173" i="213"/>
  <c r="K173" i="213"/>
  <c r="I173" i="213"/>
  <c r="H173" i="213"/>
  <c r="Q172" i="213"/>
  <c r="P172" i="213"/>
  <c r="O172" i="213"/>
  <c r="L172" i="213"/>
  <c r="K172" i="213"/>
  <c r="I172" i="213"/>
  <c r="H172" i="213"/>
  <c r="Q171" i="213"/>
  <c r="P171" i="213"/>
  <c r="O171" i="213"/>
  <c r="L171" i="213"/>
  <c r="K171" i="213"/>
  <c r="I171" i="213"/>
  <c r="H171" i="213"/>
  <c r="Q170" i="213"/>
  <c r="P170" i="213"/>
  <c r="O170" i="213"/>
  <c r="L170" i="213"/>
  <c r="K170" i="213"/>
  <c r="I170" i="213"/>
  <c r="H170" i="213"/>
  <c r="Q169" i="213"/>
  <c r="P169" i="213"/>
  <c r="O169" i="213"/>
  <c r="L169" i="213"/>
  <c r="K169" i="213"/>
  <c r="I169" i="213"/>
  <c r="H169" i="213"/>
  <c r="Q168" i="213"/>
  <c r="P168" i="213"/>
  <c r="O168" i="213"/>
  <c r="L168" i="213"/>
  <c r="K168" i="213"/>
  <c r="I168" i="213"/>
  <c r="H168" i="213"/>
  <c r="Q167" i="213"/>
  <c r="P167" i="213"/>
  <c r="O167" i="213"/>
  <c r="N167" i="213"/>
  <c r="L167" i="213"/>
  <c r="K167" i="213"/>
  <c r="I167" i="213"/>
  <c r="H167" i="213"/>
  <c r="Q166" i="213"/>
  <c r="P166" i="213"/>
  <c r="O166" i="213"/>
  <c r="L166" i="213"/>
  <c r="K166" i="213"/>
  <c r="I166" i="213"/>
  <c r="H166" i="213"/>
  <c r="Q165" i="213"/>
  <c r="P165" i="213"/>
  <c r="O165" i="213"/>
  <c r="L165" i="213"/>
  <c r="K165" i="213"/>
  <c r="I165" i="213"/>
  <c r="H165" i="213"/>
  <c r="Q164" i="213"/>
  <c r="P164" i="213"/>
  <c r="O164" i="213"/>
  <c r="L164" i="213"/>
  <c r="K164" i="213"/>
  <c r="I164" i="213"/>
  <c r="H164" i="213"/>
  <c r="Q163" i="213"/>
  <c r="P163" i="213"/>
  <c r="O163" i="213"/>
  <c r="L163" i="213"/>
  <c r="K163" i="213"/>
  <c r="I163" i="213"/>
  <c r="H163" i="213"/>
  <c r="Q162" i="213"/>
  <c r="P162" i="213"/>
  <c r="O162" i="213"/>
  <c r="L162" i="213"/>
  <c r="K162" i="213"/>
  <c r="I162" i="213"/>
  <c r="H162" i="213"/>
  <c r="Q161" i="213"/>
  <c r="P161" i="213"/>
  <c r="O161" i="213"/>
  <c r="L161" i="213"/>
  <c r="K161" i="213"/>
  <c r="I161" i="213"/>
  <c r="H161" i="213"/>
  <c r="Q160" i="213"/>
  <c r="P160" i="213"/>
  <c r="O160" i="213"/>
  <c r="L160" i="213"/>
  <c r="K160" i="213"/>
  <c r="I160" i="213"/>
  <c r="H160" i="213"/>
  <c r="Q159" i="213"/>
  <c r="P159" i="213"/>
  <c r="O159" i="213"/>
  <c r="L159" i="213"/>
  <c r="K159" i="213"/>
  <c r="I159" i="213"/>
  <c r="H159" i="213"/>
  <c r="Q158" i="213"/>
  <c r="P158" i="213"/>
  <c r="O158" i="213"/>
  <c r="L158" i="213"/>
  <c r="K158" i="213"/>
  <c r="I158" i="213"/>
  <c r="H158" i="213"/>
  <c r="Q157" i="213"/>
  <c r="P157" i="213"/>
  <c r="O157" i="213"/>
  <c r="L157" i="213"/>
  <c r="K157" i="213"/>
  <c r="I157" i="213"/>
  <c r="H157" i="213"/>
  <c r="Q156" i="213"/>
  <c r="P156" i="213"/>
  <c r="O156" i="213"/>
  <c r="N156" i="213"/>
  <c r="L156" i="213"/>
  <c r="K156" i="213"/>
  <c r="I156" i="213"/>
  <c r="H156" i="213"/>
  <c r="Q155" i="213"/>
  <c r="P155" i="213"/>
  <c r="O155" i="213"/>
  <c r="L155" i="213"/>
  <c r="K155" i="213"/>
  <c r="I155" i="213"/>
  <c r="H155" i="213"/>
  <c r="Q154" i="213"/>
  <c r="P154" i="213"/>
  <c r="O154" i="213"/>
  <c r="L154" i="213"/>
  <c r="K154" i="213"/>
  <c r="I154" i="213"/>
  <c r="H154" i="213"/>
  <c r="Q153" i="213"/>
  <c r="P153" i="213"/>
  <c r="O153" i="213"/>
  <c r="L153" i="213"/>
  <c r="K153" i="213"/>
  <c r="I153" i="213"/>
  <c r="H153" i="213"/>
  <c r="Q152" i="213"/>
  <c r="P152" i="213"/>
  <c r="O152" i="213"/>
  <c r="L152" i="213"/>
  <c r="K152" i="213"/>
  <c r="I152" i="213"/>
  <c r="H152" i="213"/>
  <c r="Q151" i="213"/>
  <c r="P151" i="213"/>
  <c r="O151" i="213"/>
  <c r="L151" i="213"/>
  <c r="K151" i="213"/>
  <c r="I151" i="213"/>
  <c r="H151" i="213"/>
  <c r="Q150" i="213"/>
  <c r="P150" i="213"/>
  <c r="O150" i="213"/>
  <c r="N150" i="213"/>
  <c r="L150" i="213"/>
  <c r="K150" i="213"/>
  <c r="I150" i="213"/>
  <c r="H150" i="213"/>
  <c r="Q149" i="213"/>
  <c r="P149" i="213"/>
  <c r="O149" i="213"/>
  <c r="L149" i="213"/>
  <c r="K149" i="213"/>
  <c r="I149" i="213"/>
  <c r="H149" i="213"/>
  <c r="Q148" i="213"/>
  <c r="P148" i="213"/>
  <c r="O148" i="213"/>
  <c r="L148" i="213"/>
  <c r="K148" i="213"/>
  <c r="I148" i="213"/>
  <c r="H148" i="213"/>
  <c r="Q147" i="213"/>
  <c r="P147" i="213"/>
  <c r="O147" i="213"/>
  <c r="N147" i="213"/>
  <c r="L147" i="213"/>
  <c r="K147" i="213"/>
  <c r="I147" i="213"/>
  <c r="H147" i="213"/>
  <c r="Q146" i="213"/>
  <c r="P146" i="213"/>
  <c r="O146" i="213"/>
  <c r="L146" i="213"/>
  <c r="K146" i="213"/>
  <c r="I146" i="213"/>
  <c r="H146" i="213"/>
  <c r="Q145" i="213"/>
  <c r="P145" i="213"/>
  <c r="O145" i="213"/>
  <c r="L145" i="213"/>
  <c r="K145" i="213"/>
  <c r="I145" i="213"/>
  <c r="H145" i="213"/>
  <c r="Q144" i="213"/>
  <c r="P144" i="213"/>
  <c r="O144" i="213"/>
  <c r="L144" i="213"/>
  <c r="K144" i="213"/>
  <c r="I144" i="213"/>
  <c r="H144" i="213"/>
  <c r="Q143" i="213"/>
  <c r="P143" i="213"/>
  <c r="O143" i="213"/>
  <c r="N143" i="213"/>
  <c r="L143" i="213"/>
  <c r="K143" i="213"/>
  <c r="I143" i="213"/>
  <c r="H143" i="213"/>
  <c r="Q142" i="213"/>
  <c r="P142" i="213"/>
  <c r="O142" i="213"/>
  <c r="N142" i="213"/>
  <c r="L142" i="213"/>
  <c r="K142" i="213"/>
  <c r="I142" i="213"/>
  <c r="H142" i="213"/>
  <c r="Q141" i="213"/>
  <c r="P141" i="213"/>
  <c r="O141" i="213"/>
  <c r="N141" i="213"/>
  <c r="L141" i="213"/>
  <c r="K141" i="213"/>
  <c r="I141" i="213"/>
  <c r="H141" i="213"/>
  <c r="Q140" i="213"/>
  <c r="P140" i="213"/>
  <c r="O140" i="213"/>
  <c r="N140" i="213"/>
  <c r="L140" i="213"/>
  <c r="K140" i="213"/>
  <c r="I140" i="213"/>
  <c r="H140" i="213"/>
  <c r="Q139" i="213"/>
  <c r="P139" i="213"/>
  <c r="O139" i="213"/>
  <c r="N139" i="213"/>
  <c r="L139" i="213"/>
  <c r="K139" i="213"/>
  <c r="I139" i="213"/>
  <c r="H139" i="213"/>
  <c r="E139" i="213"/>
  <c r="Q136" i="213"/>
  <c r="P136" i="213"/>
  <c r="O136" i="213"/>
  <c r="N136" i="213"/>
  <c r="M136" i="213"/>
  <c r="L136" i="213"/>
  <c r="K136" i="213"/>
  <c r="J136" i="213"/>
  <c r="I136" i="213"/>
  <c r="H136" i="213"/>
  <c r="G136" i="213"/>
  <c r="F136" i="213"/>
  <c r="E136" i="213"/>
  <c r="Q135" i="213"/>
  <c r="P135" i="213"/>
  <c r="O135" i="213"/>
  <c r="L135" i="213"/>
  <c r="K135" i="213"/>
  <c r="I135" i="213"/>
  <c r="H135" i="213"/>
  <c r="Q134" i="213"/>
  <c r="P134" i="213"/>
  <c r="O134" i="213"/>
  <c r="L134" i="213"/>
  <c r="K134" i="213"/>
  <c r="I134" i="213"/>
  <c r="H134" i="213"/>
  <c r="Q133" i="213"/>
  <c r="P133" i="213"/>
  <c r="O133" i="213"/>
  <c r="L133" i="213"/>
  <c r="K133" i="213"/>
  <c r="I133" i="213"/>
  <c r="H133" i="213"/>
  <c r="Q132" i="213"/>
  <c r="P132" i="213"/>
  <c r="O132" i="213"/>
  <c r="L132" i="213"/>
  <c r="K132" i="213"/>
  <c r="I132" i="213"/>
  <c r="H132" i="213"/>
  <c r="Q131" i="213"/>
  <c r="P131" i="213"/>
  <c r="O131" i="213"/>
  <c r="N131" i="213"/>
  <c r="L131" i="213"/>
  <c r="K131" i="213"/>
  <c r="I131" i="213"/>
  <c r="H131" i="213"/>
  <c r="Q130" i="213"/>
  <c r="P130" i="213"/>
  <c r="O130" i="213"/>
  <c r="N130" i="213"/>
  <c r="L130" i="213"/>
  <c r="K130" i="213"/>
  <c r="I130" i="213"/>
  <c r="H130" i="213"/>
  <c r="Q129" i="213"/>
  <c r="P129" i="213"/>
  <c r="O129" i="213"/>
  <c r="L129" i="213"/>
  <c r="K129" i="213"/>
  <c r="I129" i="213"/>
  <c r="H129" i="213"/>
  <c r="Q128" i="213"/>
  <c r="P128" i="213"/>
  <c r="O128" i="213"/>
  <c r="N128" i="213"/>
  <c r="L128" i="213"/>
  <c r="K128" i="213"/>
  <c r="I128" i="213"/>
  <c r="H128" i="213"/>
  <c r="Q127" i="213"/>
  <c r="P127" i="213"/>
  <c r="O127" i="213"/>
  <c r="N127" i="213"/>
  <c r="L127" i="213"/>
  <c r="K127" i="213"/>
  <c r="I127" i="213"/>
  <c r="H127" i="213"/>
  <c r="Q126" i="213"/>
  <c r="P126" i="213"/>
  <c r="O126" i="213"/>
  <c r="N126" i="213"/>
  <c r="L126" i="213"/>
  <c r="K126" i="213"/>
  <c r="I126" i="213"/>
  <c r="H126" i="213"/>
  <c r="Q123" i="213"/>
  <c r="P123" i="213"/>
  <c r="O123" i="213"/>
  <c r="N123" i="213"/>
  <c r="M123" i="213"/>
  <c r="L123" i="213"/>
  <c r="K123" i="213"/>
  <c r="J123" i="213"/>
  <c r="I123" i="213"/>
  <c r="H123" i="213"/>
  <c r="G123" i="213"/>
  <c r="F123" i="213"/>
  <c r="E123" i="213"/>
  <c r="P122" i="213"/>
  <c r="O122" i="213"/>
  <c r="L122" i="213"/>
  <c r="K122" i="213"/>
  <c r="I122" i="213"/>
  <c r="H122" i="213"/>
  <c r="P121" i="213"/>
  <c r="O121" i="213"/>
  <c r="L121" i="213"/>
  <c r="K121" i="213"/>
  <c r="I121" i="213"/>
  <c r="H121" i="213"/>
  <c r="Q118" i="213"/>
  <c r="P118" i="213"/>
  <c r="O118" i="213"/>
  <c r="N118" i="213"/>
  <c r="M118" i="213"/>
  <c r="L118" i="213"/>
  <c r="K118" i="213"/>
  <c r="J118" i="213"/>
  <c r="I118" i="213"/>
  <c r="H118" i="213"/>
  <c r="G118" i="213"/>
  <c r="F118" i="213"/>
  <c r="E118" i="213"/>
  <c r="Q117" i="213"/>
  <c r="P117" i="213"/>
  <c r="O117" i="213"/>
  <c r="N117" i="213"/>
  <c r="L117" i="213"/>
  <c r="K117" i="213"/>
  <c r="I117" i="213"/>
  <c r="H117" i="213"/>
  <c r="P116" i="213"/>
  <c r="O116" i="213"/>
  <c r="L116" i="213"/>
  <c r="K116" i="213"/>
  <c r="I116" i="213"/>
  <c r="H116" i="213"/>
  <c r="P115" i="213"/>
  <c r="O115" i="213"/>
  <c r="L115" i="213"/>
  <c r="K115" i="213"/>
  <c r="I115" i="213"/>
  <c r="H115" i="213"/>
  <c r="Q112" i="213"/>
  <c r="P112" i="213"/>
  <c r="O112" i="213"/>
  <c r="N112" i="213"/>
  <c r="M112" i="213"/>
  <c r="L112" i="213"/>
  <c r="K112" i="213"/>
  <c r="J112" i="213"/>
  <c r="I112" i="213"/>
  <c r="H112" i="213"/>
  <c r="G112" i="213"/>
  <c r="F112" i="213"/>
  <c r="E112" i="213"/>
  <c r="P111" i="213"/>
  <c r="O111" i="213"/>
  <c r="L111" i="213"/>
  <c r="K111" i="213"/>
  <c r="I111" i="213"/>
  <c r="H111" i="213"/>
  <c r="P110" i="213"/>
  <c r="O110" i="213"/>
  <c r="L110" i="213"/>
  <c r="K110" i="213"/>
  <c r="I110" i="213"/>
  <c r="H110" i="213"/>
  <c r="P109" i="213"/>
  <c r="O109" i="213"/>
  <c r="L109" i="213"/>
  <c r="K109" i="213"/>
  <c r="I109" i="213"/>
  <c r="H109" i="213"/>
  <c r="P108" i="213"/>
  <c r="O108" i="213"/>
  <c r="L108" i="213"/>
  <c r="K108" i="213"/>
  <c r="I108" i="213"/>
  <c r="H108" i="213"/>
  <c r="Q107" i="213"/>
  <c r="P107" i="213"/>
  <c r="O107" i="213"/>
  <c r="N107" i="213"/>
  <c r="L107" i="213"/>
  <c r="K107" i="213"/>
  <c r="I107" i="213"/>
  <c r="H107" i="213"/>
  <c r="Q106" i="213"/>
  <c r="P106" i="213"/>
  <c r="O106" i="213"/>
  <c r="N106" i="213"/>
  <c r="L106" i="213"/>
  <c r="K106" i="213"/>
  <c r="I106" i="213"/>
  <c r="H106" i="213"/>
  <c r="P105" i="213"/>
  <c r="O105" i="213"/>
  <c r="L105" i="213"/>
  <c r="K105" i="213"/>
  <c r="I105" i="213"/>
  <c r="H105" i="213"/>
  <c r="Q102" i="213"/>
  <c r="P102" i="213"/>
  <c r="O102" i="213"/>
  <c r="N102" i="213"/>
  <c r="M102" i="213"/>
  <c r="L102" i="213"/>
  <c r="K102" i="213"/>
  <c r="J102" i="213"/>
  <c r="I102" i="213"/>
  <c r="H102" i="213"/>
  <c r="G102" i="213"/>
  <c r="F102" i="213"/>
  <c r="E102" i="213"/>
  <c r="Q101" i="213"/>
  <c r="P101" i="213"/>
  <c r="O101" i="213"/>
  <c r="L101" i="213"/>
  <c r="K101" i="213"/>
  <c r="I101" i="213"/>
  <c r="H101" i="213"/>
  <c r="Q100" i="213"/>
  <c r="P100" i="213"/>
  <c r="O100" i="213"/>
  <c r="L100" i="213"/>
  <c r="K100" i="213"/>
  <c r="I100" i="213"/>
  <c r="H100" i="213"/>
  <c r="Q99" i="213"/>
  <c r="P99" i="213"/>
  <c r="O99" i="213"/>
  <c r="N99" i="213"/>
  <c r="L99" i="213"/>
  <c r="K99" i="213"/>
  <c r="I99" i="213"/>
  <c r="H99" i="213"/>
  <c r="Q98" i="213"/>
  <c r="P98" i="213"/>
  <c r="O98" i="213"/>
  <c r="L98" i="213"/>
  <c r="K98" i="213"/>
  <c r="I98" i="213"/>
  <c r="H98" i="213"/>
  <c r="Q97" i="213"/>
  <c r="P97" i="213"/>
  <c r="O97" i="213"/>
  <c r="N97" i="213"/>
  <c r="L97" i="213"/>
  <c r="K97" i="213"/>
  <c r="I97" i="213"/>
  <c r="H97" i="213"/>
  <c r="Q94" i="213"/>
  <c r="P94" i="213"/>
  <c r="O94" i="213"/>
  <c r="N94" i="213"/>
  <c r="M94" i="213"/>
  <c r="L94" i="213"/>
  <c r="K94" i="213"/>
  <c r="J94" i="213"/>
  <c r="I94" i="213"/>
  <c r="H94" i="213"/>
  <c r="G94" i="213"/>
  <c r="F94" i="213"/>
  <c r="E94" i="213"/>
  <c r="P93" i="213"/>
  <c r="O93" i="213"/>
  <c r="L93" i="213"/>
  <c r="K93" i="213"/>
  <c r="I93" i="213"/>
  <c r="H93" i="213"/>
  <c r="P92" i="213"/>
  <c r="O92" i="213"/>
  <c r="L92" i="213"/>
  <c r="K92" i="213"/>
  <c r="I92" i="213"/>
  <c r="H92" i="213"/>
  <c r="Q91" i="213"/>
  <c r="P91" i="213"/>
  <c r="O91" i="213"/>
  <c r="N91" i="213"/>
  <c r="L91" i="213"/>
  <c r="K91" i="213"/>
  <c r="I91" i="213"/>
  <c r="H91" i="213"/>
  <c r="P90" i="213"/>
  <c r="O90" i="213"/>
  <c r="L90" i="213"/>
  <c r="K90" i="213"/>
  <c r="I90" i="213"/>
  <c r="H90" i="213"/>
  <c r="P89" i="213"/>
  <c r="O89" i="213"/>
  <c r="L89" i="213"/>
  <c r="K89" i="213"/>
  <c r="I89" i="213"/>
  <c r="H89" i="213"/>
  <c r="P88" i="213"/>
  <c r="O88" i="213"/>
  <c r="L88" i="213"/>
  <c r="K88" i="213"/>
  <c r="I88" i="213"/>
  <c r="H88" i="213"/>
  <c r="P87" i="213"/>
  <c r="O87" i="213"/>
  <c r="L87" i="213"/>
  <c r="K87" i="213"/>
  <c r="I87" i="213"/>
  <c r="H87" i="213"/>
  <c r="P86" i="213"/>
  <c r="O86" i="213"/>
  <c r="L86" i="213"/>
  <c r="K86" i="213"/>
  <c r="I86" i="213"/>
  <c r="H86" i="213"/>
  <c r="P85" i="213"/>
  <c r="O85" i="213"/>
  <c r="L85" i="213"/>
  <c r="K85" i="213"/>
  <c r="I85" i="213"/>
  <c r="H85" i="213"/>
  <c r="Q84" i="213"/>
  <c r="P84" i="213"/>
  <c r="O84" i="213"/>
  <c r="N84" i="213"/>
  <c r="L84" i="213"/>
  <c r="K84" i="213"/>
  <c r="I84" i="213"/>
  <c r="H84" i="213"/>
  <c r="E84" i="213"/>
  <c r="Q81" i="213"/>
  <c r="P81" i="213"/>
  <c r="O81" i="213"/>
  <c r="N81" i="213"/>
  <c r="M81" i="213"/>
  <c r="L81" i="213"/>
  <c r="K81" i="213"/>
  <c r="J81" i="213"/>
  <c r="I81" i="213"/>
  <c r="H81" i="213"/>
  <c r="G81" i="213"/>
  <c r="F81" i="213"/>
  <c r="E81" i="213"/>
  <c r="P80" i="213"/>
  <c r="O80" i="213"/>
  <c r="L80" i="213"/>
  <c r="K80" i="213"/>
  <c r="I80" i="213"/>
  <c r="H80" i="213"/>
  <c r="P79" i="213"/>
  <c r="O79" i="213"/>
  <c r="L79" i="213"/>
  <c r="K79" i="213"/>
  <c r="I79" i="213"/>
  <c r="H79" i="213"/>
  <c r="P78" i="213"/>
  <c r="O78" i="213"/>
  <c r="L78" i="213"/>
  <c r="K78" i="213"/>
  <c r="I78" i="213"/>
  <c r="H78" i="213"/>
  <c r="Q77" i="213"/>
  <c r="P77" i="213"/>
  <c r="O77" i="213"/>
  <c r="N77" i="213"/>
  <c r="L77" i="213"/>
  <c r="K77" i="213"/>
  <c r="I77" i="213"/>
  <c r="H77" i="213"/>
  <c r="P76" i="213"/>
  <c r="O76" i="213"/>
  <c r="L76" i="213"/>
  <c r="K76" i="213"/>
  <c r="I76" i="213"/>
  <c r="H76" i="213"/>
  <c r="P75" i="213"/>
  <c r="O75" i="213"/>
  <c r="L75" i="213"/>
  <c r="K75" i="213"/>
  <c r="I75" i="213"/>
  <c r="H75" i="213"/>
  <c r="Q72" i="213"/>
  <c r="P72" i="213"/>
  <c r="O72" i="213"/>
  <c r="N72" i="213"/>
  <c r="M72" i="213"/>
  <c r="L72" i="213"/>
  <c r="K72" i="213"/>
  <c r="J72" i="213"/>
  <c r="I72" i="213"/>
  <c r="H72" i="213"/>
  <c r="G72" i="213"/>
  <c r="F72" i="213"/>
  <c r="E72" i="213"/>
  <c r="P71" i="213"/>
  <c r="O71" i="213"/>
  <c r="L71" i="213"/>
  <c r="K71" i="213"/>
  <c r="I71" i="213"/>
  <c r="H71" i="213"/>
  <c r="P70" i="213"/>
  <c r="O70" i="213"/>
  <c r="L70" i="213"/>
  <c r="K70" i="213"/>
  <c r="I70" i="213"/>
  <c r="H70" i="213"/>
  <c r="P69" i="213"/>
  <c r="O69" i="213"/>
  <c r="L69" i="213"/>
  <c r="K69" i="213"/>
  <c r="I69" i="213"/>
  <c r="H69" i="213"/>
  <c r="P68" i="213"/>
  <c r="O68" i="213"/>
  <c r="L68" i="213"/>
  <c r="K68" i="213"/>
  <c r="I68" i="213"/>
  <c r="H68" i="213"/>
  <c r="P67" i="213"/>
  <c r="O67" i="213"/>
  <c r="L67" i="213"/>
  <c r="K67" i="213"/>
  <c r="I67" i="213"/>
  <c r="H67" i="213"/>
  <c r="P66" i="213"/>
  <c r="O66" i="213"/>
  <c r="L66" i="213"/>
  <c r="K66" i="213"/>
  <c r="I66" i="213"/>
  <c r="H66" i="213"/>
  <c r="Q65" i="213"/>
  <c r="P65" i="213"/>
  <c r="O65" i="213"/>
  <c r="N65" i="213"/>
  <c r="L65" i="213"/>
  <c r="K65" i="213"/>
  <c r="I65" i="213"/>
  <c r="H65" i="213"/>
  <c r="Q62" i="213"/>
  <c r="P62" i="213"/>
  <c r="O62" i="213"/>
  <c r="N62" i="213"/>
  <c r="M62" i="213"/>
  <c r="L62" i="213"/>
  <c r="K62" i="213"/>
  <c r="J62" i="213"/>
  <c r="I62" i="213"/>
  <c r="H62" i="213"/>
  <c r="G62" i="213"/>
  <c r="F62" i="213"/>
  <c r="E62" i="213"/>
  <c r="P61" i="213"/>
  <c r="O61" i="213"/>
  <c r="L61" i="213"/>
  <c r="K61" i="213"/>
  <c r="I61" i="213"/>
  <c r="H61" i="213"/>
  <c r="P60" i="213"/>
  <c r="O60" i="213"/>
  <c r="L60" i="213"/>
  <c r="K60" i="213"/>
  <c r="I60" i="213"/>
  <c r="H60" i="213"/>
  <c r="Q57" i="213"/>
  <c r="P57" i="213"/>
  <c r="O57" i="213"/>
  <c r="N57" i="213"/>
  <c r="M57" i="213"/>
  <c r="L57" i="213"/>
  <c r="K57" i="213"/>
  <c r="J57" i="213"/>
  <c r="I57" i="213"/>
  <c r="H57" i="213"/>
  <c r="G57" i="213"/>
  <c r="F57" i="213"/>
  <c r="E57" i="213"/>
  <c r="P56" i="213"/>
  <c r="O56" i="213"/>
  <c r="L56" i="213"/>
  <c r="K56" i="213"/>
  <c r="I56" i="213"/>
  <c r="H56" i="213"/>
  <c r="P55" i="213"/>
  <c r="O55" i="213"/>
  <c r="L55" i="213"/>
  <c r="K55" i="213"/>
  <c r="I55" i="213"/>
  <c r="H55" i="213"/>
  <c r="P54" i="213"/>
  <c r="O54" i="213"/>
  <c r="L54" i="213"/>
  <c r="K54" i="213"/>
  <c r="I54" i="213"/>
  <c r="H54" i="213"/>
  <c r="P53" i="213"/>
  <c r="O53" i="213"/>
  <c r="L53" i="213"/>
  <c r="K53" i="213"/>
  <c r="I53" i="213"/>
  <c r="H53" i="213"/>
  <c r="P52" i="213"/>
  <c r="O52" i="213"/>
  <c r="L52" i="213"/>
  <c r="K52" i="213"/>
  <c r="I52" i="213"/>
  <c r="H52" i="213"/>
  <c r="Q51" i="213"/>
  <c r="P51" i="213"/>
  <c r="O51" i="213"/>
  <c r="N51" i="213"/>
  <c r="L51" i="213"/>
  <c r="K51" i="213"/>
  <c r="I51" i="213"/>
  <c r="H51" i="213"/>
  <c r="P50" i="213"/>
  <c r="O50" i="213"/>
  <c r="L50" i="213"/>
  <c r="K50" i="213"/>
  <c r="I50" i="213"/>
  <c r="H50" i="213"/>
  <c r="P49" i="213"/>
  <c r="O49" i="213"/>
  <c r="L49" i="213"/>
  <c r="K49" i="213"/>
  <c r="I49" i="213"/>
  <c r="H49" i="213"/>
  <c r="Q46" i="213"/>
  <c r="P46" i="213"/>
  <c r="O46" i="213"/>
  <c r="N46" i="213"/>
  <c r="M46" i="213"/>
  <c r="L46" i="213"/>
  <c r="K46" i="213"/>
  <c r="J46" i="213"/>
  <c r="I46" i="213"/>
  <c r="H46" i="213"/>
  <c r="G46" i="213"/>
  <c r="F46" i="213"/>
  <c r="E46" i="213"/>
  <c r="P45" i="213"/>
  <c r="O45" i="213"/>
  <c r="L45" i="213"/>
  <c r="K45" i="213"/>
  <c r="I45" i="213"/>
  <c r="H45" i="213"/>
  <c r="P44" i="213"/>
  <c r="O44" i="213"/>
  <c r="L44" i="213"/>
  <c r="K44" i="213"/>
  <c r="I44" i="213"/>
  <c r="H44" i="213"/>
  <c r="P43" i="213"/>
  <c r="O43" i="213"/>
  <c r="L43" i="213"/>
  <c r="K43" i="213"/>
  <c r="I43" i="213"/>
  <c r="H43" i="213"/>
  <c r="P42" i="213"/>
  <c r="O42" i="213"/>
  <c r="L42" i="213"/>
  <c r="K42" i="213"/>
  <c r="I42" i="213"/>
  <c r="H42" i="213"/>
  <c r="Q39" i="213"/>
  <c r="P39" i="213"/>
  <c r="O39" i="213"/>
  <c r="N39" i="213"/>
  <c r="M39" i="213"/>
  <c r="L39" i="213"/>
  <c r="K39" i="213"/>
  <c r="J39" i="213"/>
  <c r="I39" i="213"/>
  <c r="H39" i="213"/>
  <c r="G39" i="213"/>
  <c r="F39" i="213"/>
  <c r="E39" i="213"/>
  <c r="Q38" i="213"/>
  <c r="P38" i="213"/>
  <c r="O38" i="213"/>
  <c r="L38" i="213"/>
  <c r="K38" i="213"/>
  <c r="I38" i="213"/>
  <c r="H38" i="213"/>
  <c r="Q37" i="213"/>
  <c r="P37" i="213"/>
  <c r="O37" i="213"/>
  <c r="L37" i="213"/>
  <c r="K37" i="213"/>
  <c r="I37" i="213"/>
  <c r="H37" i="213"/>
  <c r="Q36" i="213"/>
  <c r="P36" i="213"/>
  <c r="O36" i="213"/>
  <c r="L36" i="213"/>
  <c r="K36" i="213"/>
  <c r="I36" i="213"/>
  <c r="H36" i="213"/>
  <c r="Q35" i="213"/>
  <c r="P35" i="213"/>
  <c r="O35" i="213"/>
  <c r="L35" i="213"/>
  <c r="K35" i="213"/>
  <c r="I35" i="213"/>
  <c r="H35" i="213"/>
  <c r="Q34" i="213"/>
  <c r="P34" i="213"/>
  <c r="O34" i="213"/>
  <c r="N34" i="213"/>
  <c r="L34" i="213"/>
  <c r="K34" i="213"/>
  <c r="I34" i="213"/>
  <c r="H34" i="213"/>
  <c r="Q33" i="213"/>
  <c r="P33" i="213"/>
  <c r="O33" i="213"/>
  <c r="L33" i="213"/>
  <c r="K33" i="213"/>
  <c r="I33" i="213"/>
  <c r="H33" i="213"/>
  <c r="Q32" i="213"/>
  <c r="P32" i="213"/>
  <c r="O32" i="213"/>
  <c r="L32" i="213"/>
  <c r="K32" i="213"/>
  <c r="I32" i="213"/>
  <c r="H32" i="213"/>
  <c r="Q31" i="213"/>
  <c r="P31" i="213"/>
  <c r="O31" i="213"/>
  <c r="L31" i="213"/>
  <c r="K31" i="213"/>
  <c r="I31" i="213"/>
  <c r="H31" i="213"/>
  <c r="Q30" i="213"/>
  <c r="P30" i="213"/>
  <c r="O30" i="213"/>
  <c r="L30" i="213"/>
  <c r="K30" i="213"/>
  <c r="I30" i="213"/>
  <c r="H30" i="213"/>
  <c r="Q29" i="213"/>
  <c r="P29" i="213"/>
  <c r="O29" i="213"/>
  <c r="L29" i="213"/>
  <c r="K29" i="213"/>
  <c r="I29" i="213"/>
  <c r="H29" i="213"/>
  <c r="Q28" i="213"/>
  <c r="P28" i="213"/>
  <c r="O28" i="213"/>
  <c r="L28" i="213"/>
  <c r="K28" i="213"/>
  <c r="I28" i="213"/>
  <c r="H28" i="213"/>
  <c r="Q27" i="213"/>
  <c r="P27" i="213"/>
  <c r="O27" i="213"/>
  <c r="L27" i="213"/>
  <c r="K27" i="213"/>
  <c r="I27" i="213"/>
  <c r="H27" i="213"/>
  <c r="Q26" i="213"/>
  <c r="P26" i="213"/>
  <c r="O26" i="213"/>
  <c r="L26" i="213"/>
  <c r="K26" i="213"/>
  <c r="I26" i="213"/>
  <c r="H26" i="213"/>
  <c r="Q25" i="213"/>
  <c r="P25" i="213"/>
  <c r="O25" i="213"/>
  <c r="L25" i="213"/>
  <c r="K25" i="213"/>
  <c r="I25" i="213"/>
  <c r="H25" i="213"/>
  <c r="Q24" i="213"/>
  <c r="P24" i="213"/>
  <c r="O24" i="213"/>
  <c r="L24" i="213"/>
  <c r="K24" i="213"/>
  <c r="I24" i="213"/>
  <c r="H24" i="213"/>
  <c r="Q23" i="213"/>
  <c r="P23" i="213"/>
  <c r="O23" i="213"/>
  <c r="L23" i="213"/>
  <c r="K23" i="213"/>
  <c r="I23" i="213"/>
  <c r="H23" i="213"/>
  <c r="Q22" i="213"/>
  <c r="P22" i="213"/>
  <c r="O22" i="213"/>
  <c r="N22" i="213"/>
  <c r="L22" i="213"/>
  <c r="K22" i="213"/>
  <c r="I22" i="213"/>
  <c r="H22" i="213"/>
  <c r="F22" i="213"/>
  <c r="Q21" i="213"/>
  <c r="P21" i="213"/>
  <c r="O21" i="213"/>
  <c r="L21" i="213"/>
  <c r="K21" i="213"/>
  <c r="I21" i="213"/>
  <c r="H21" i="213"/>
  <c r="Q20" i="213"/>
  <c r="P20" i="213"/>
  <c r="O20" i="213"/>
  <c r="N20" i="213"/>
  <c r="L20" i="213"/>
  <c r="K20" i="213"/>
  <c r="I20" i="213"/>
  <c r="H20" i="213"/>
  <c r="Q19" i="213"/>
  <c r="P19" i="213"/>
  <c r="O19" i="213"/>
  <c r="N19" i="213"/>
  <c r="L19" i="213"/>
  <c r="K19" i="213"/>
  <c r="I19" i="213"/>
  <c r="H19" i="213"/>
  <c r="Q18" i="213"/>
  <c r="P18" i="213"/>
  <c r="O18" i="213"/>
  <c r="L18" i="213"/>
  <c r="K18" i="213"/>
  <c r="I18" i="213"/>
  <c r="H18" i="213"/>
  <c r="Q17" i="213"/>
  <c r="P17" i="213"/>
  <c r="O17" i="213"/>
  <c r="L17" i="213"/>
  <c r="K17" i="213"/>
  <c r="I17" i="213"/>
  <c r="H17" i="213"/>
  <c r="Q16" i="213"/>
  <c r="P16" i="213"/>
  <c r="O16" i="213"/>
  <c r="L16" i="213"/>
  <c r="K16" i="213"/>
  <c r="I16" i="213"/>
  <c r="H16" i="213"/>
  <c r="Q15" i="213"/>
  <c r="P15" i="213"/>
  <c r="O15" i="213"/>
  <c r="L15" i="213"/>
  <c r="K15" i="213"/>
  <c r="I15" i="213"/>
  <c r="H15" i="213"/>
  <c r="F15" i="213"/>
  <c r="Q14" i="213"/>
  <c r="P14" i="213"/>
  <c r="O14" i="213"/>
  <c r="L14" i="213"/>
  <c r="K14" i="213"/>
  <c r="I14" i="213"/>
  <c r="H14" i="213"/>
  <c r="Q13" i="213"/>
  <c r="P13" i="213"/>
  <c r="O13" i="213"/>
  <c r="N13" i="213"/>
  <c r="L13" i="213"/>
  <c r="K13" i="213"/>
  <c r="I13" i="213"/>
  <c r="H13" i="213"/>
  <c r="Q12" i="213"/>
  <c r="P12" i="213"/>
  <c r="O12" i="213"/>
  <c r="N12" i="213"/>
  <c r="L12" i="213"/>
  <c r="K12" i="213"/>
  <c r="I12" i="213"/>
  <c r="H12" i="213"/>
  <c r="G12" i="213"/>
  <c r="F12" i="213"/>
  <c r="Q11" i="213"/>
  <c r="P11" i="213"/>
  <c r="O11" i="213"/>
  <c r="N11" i="213"/>
  <c r="L11" i="213"/>
  <c r="K11" i="213"/>
  <c r="I11" i="213"/>
  <c r="H11" i="213"/>
  <c r="Q10" i="213"/>
  <c r="P10" i="213"/>
  <c r="O10" i="213"/>
  <c r="L10" i="213"/>
  <c r="I10" i="213"/>
  <c r="H10" i="213"/>
  <c r="Q9" i="213"/>
  <c r="P9" i="213"/>
  <c r="O9" i="213"/>
  <c r="L9" i="213"/>
  <c r="K9" i="213"/>
  <c r="I9" i="213"/>
  <c r="H9" i="213"/>
  <c r="Q8" i="213"/>
  <c r="P8" i="213"/>
  <c r="O8" i="213"/>
  <c r="L8" i="213"/>
  <c r="I8" i="213"/>
  <c r="H8" i="213"/>
  <c r="E3" i="213"/>
  <c r="AB188" i="212"/>
  <c r="AA188" i="212"/>
  <c r="Z188" i="212"/>
  <c r="X188" i="212"/>
  <c r="AB187" i="212"/>
  <c r="Z187" i="212"/>
  <c r="X187" i="212"/>
  <c r="V187" i="212"/>
  <c r="T187" i="212"/>
  <c r="S187" i="212"/>
  <c r="R187" i="212"/>
  <c r="Q187" i="212"/>
  <c r="P187" i="212"/>
  <c r="O187" i="212"/>
  <c r="N187" i="212"/>
  <c r="M187" i="212"/>
  <c r="L187" i="212"/>
  <c r="I187" i="212"/>
  <c r="E187" i="212"/>
  <c r="AB186" i="212"/>
  <c r="Z186" i="212"/>
  <c r="X186" i="212"/>
  <c r="V186" i="212"/>
  <c r="T186" i="212"/>
  <c r="S186" i="212"/>
  <c r="R186" i="212"/>
  <c r="Q186" i="212"/>
  <c r="P186" i="212"/>
  <c r="O186" i="212"/>
  <c r="N186" i="212"/>
  <c r="M186" i="212"/>
  <c r="L186" i="212"/>
  <c r="I186" i="212"/>
  <c r="E186" i="212"/>
  <c r="AB185" i="212"/>
  <c r="Z185" i="212"/>
  <c r="X185" i="212"/>
  <c r="V185" i="212"/>
  <c r="T185" i="212"/>
  <c r="S185" i="212"/>
  <c r="R185" i="212"/>
  <c r="Q185" i="212"/>
  <c r="P185" i="212"/>
  <c r="O185" i="212"/>
  <c r="N185" i="212"/>
  <c r="M185" i="212"/>
  <c r="L185" i="212"/>
  <c r="I185" i="212"/>
  <c r="E185" i="212"/>
  <c r="AB184" i="212"/>
  <c r="Z184" i="212"/>
  <c r="X184" i="212"/>
  <c r="V184" i="212"/>
  <c r="T184" i="212"/>
  <c r="S184" i="212"/>
  <c r="R184" i="212"/>
  <c r="Q184" i="212"/>
  <c r="P184" i="212"/>
  <c r="O184" i="212"/>
  <c r="N184" i="212"/>
  <c r="M184" i="212"/>
  <c r="L184" i="212"/>
  <c r="I184" i="212"/>
  <c r="E184" i="212"/>
  <c r="AB183" i="212"/>
  <c r="Z183" i="212"/>
  <c r="X183" i="212"/>
  <c r="V183" i="212"/>
  <c r="T183" i="212"/>
  <c r="S183" i="212"/>
  <c r="R183" i="212"/>
  <c r="Q183" i="212"/>
  <c r="P183" i="212"/>
  <c r="O183" i="212"/>
  <c r="N183" i="212"/>
  <c r="M183" i="212"/>
  <c r="L183" i="212"/>
  <c r="I183" i="212"/>
  <c r="E183" i="212"/>
  <c r="AB182" i="212"/>
  <c r="Z182" i="212"/>
  <c r="X182" i="212"/>
  <c r="V182" i="212"/>
  <c r="T182" i="212"/>
  <c r="S182" i="212"/>
  <c r="R182" i="212"/>
  <c r="Q182" i="212"/>
  <c r="P182" i="212"/>
  <c r="O182" i="212"/>
  <c r="N182" i="212"/>
  <c r="M182" i="212"/>
  <c r="L182" i="212"/>
  <c r="I182" i="212"/>
  <c r="E182" i="212"/>
  <c r="AB181" i="212"/>
  <c r="Z181" i="212"/>
  <c r="X181" i="212"/>
  <c r="V181" i="212"/>
  <c r="T181" i="212"/>
  <c r="S181" i="212"/>
  <c r="R181" i="212"/>
  <c r="Q181" i="212"/>
  <c r="P181" i="212"/>
  <c r="O181" i="212"/>
  <c r="N181" i="212"/>
  <c r="M181" i="212"/>
  <c r="L181" i="212"/>
  <c r="I181" i="212"/>
  <c r="E181" i="212"/>
  <c r="AB180" i="212"/>
  <c r="Z180" i="212"/>
  <c r="X180" i="212"/>
  <c r="V180" i="212"/>
  <c r="T180" i="212"/>
  <c r="S180" i="212"/>
  <c r="R180" i="212"/>
  <c r="Q180" i="212"/>
  <c r="P180" i="212"/>
  <c r="O180" i="212"/>
  <c r="N180" i="212"/>
  <c r="M180" i="212"/>
  <c r="L180" i="212"/>
  <c r="I180" i="212"/>
  <c r="E180" i="212"/>
  <c r="AB179" i="212"/>
  <c r="Z179" i="212"/>
  <c r="X179" i="212"/>
  <c r="V179" i="212"/>
  <c r="T179" i="212"/>
  <c r="S179" i="212"/>
  <c r="R179" i="212"/>
  <c r="Q179" i="212"/>
  <c r="P179" i="212"/>
  <c r="O179" i="212"/>
  <c r="N179" i="212"/>
  <c r="M179" i="212"/>
  <c r="L179" i="212"/>
  <c r="I179" i="212"/>
  <c r="E179" i="212"/>
  <c r="Z178" i="212"/>
  <c r="X178" i="212"/>
  <c r="V178" i="212"/>
  <c r="T178" i="212"/>
  <c r="S178" i="212"/>
  <c r="R178" i="212"/>
  <c r="Q178" i="212"/>
  <c r="P178" i="212"/>
  <c r="O178" i="212"/>
  <c r="N178" i="212"/>
  <c r="AB177" i="212"/>
  <c r="Z177" i="212"/>
  <c r="X177" i="212"/>
  <c r="V177" i="212"/>
  <c r="T177" i="212"/>
  <c r="S177" i="212"/>
  <c r="R177" i="212"/>
  <c r="Q177" i="212"/>
  <c r="P177" i="212"/>
  <c r="O177" i="212"/>
  <c r="N177" i="212"/>
  <c r="M177" i="212"/>
  <c r="L177" i="212"/>
  <c r="I177" i="212"/>
  <c r="E177" i="212"/>
  <c r="AB176" i="212"/>
  <c r="Z176" i="212"/>
  <c r="X176" i="212"/>
  <c r="V176" i="212"/>
  <c r="T176" i="212"/>
  <c r="S176" i="212"/>
  <c r="R176" i="212"/>
  <c r="Q176" i="212"/>
  <c r="P176" i="212"/>
  <c r="O176" i="212"/>
  <c r="N176" i="212"/>
  <c r="M176" i="212"/>
  <c r="L176" i="212"/>
  <c r="I176" i="212"/>
  <c r="E176" i="212"/>
  <c r="AB175" i="212"/>
  <c r="Z175" i="212"/>
  <c r="X175" i="212"/>
  <c r="V175" i="212"/>
  <c r="T175" i="212"/>
  <c r="S175" i="212"/>
  <c r="R175" i="212"/>
  <c r="Q175" i="212"/>
  <c r="P175" i="212"/>
  <c r="O175" i="212"/>
  <c r="N175" i="212"/>
  <c r="M175" i="212"/>
  <c r="L175" i="212"/>
  <c r="I175" i="212"/>
  <c r="E175" i="212"/>
  <c r="AB174" i="212"/>
  <c r="Z174" i="212"/>
  <c r="X174" i="212"/>
  <c r="V174" i="212"/>
  <c r="T174" i="212"/>
  <c r="S174" i="212"/>
  <c r="R174" i="212"/>
  <c r="Q174" i="212"/>
  <c r="P174" i="212"/>
  <c r="O174" i="212"/>
  <c r="N174" i="212"/>
  <c r="M174" i="212"/>
  <c r="L174" i="212"/>
  <c r="I174" i="212"/>
  <c r="E174" i="212"/>
  <c r="AB173" i="212"/>
  <c r="Z173" i="212"/>
  <c r="X173" i="212"/>
  <c r="V173" i="212"/>
  <c r="T173" i="212"/>
  <c r="S173" i="212"/>
  <c r="R173" i="212"/>
  <c r="Q173" i="212"/>
  <c r="P173" i="212"/>
  <c r="O173" i="212"/>
  <c r="N173" i="212"/>
  <c r="M173" i="212"/>
  <c r="L173" i="212"/>
  <c r="I173" i="212"/>
  <c r="E173" i="212"/>
  <c r="AB172" i="212"/>
  <c r="Z172" i="212"/>
  <c r="X172" i="212"/>
  <c r="V172" i="212"/>
  <c r="T172" i="212"/>
  <c r="S172" i="212"/>
  <c r="R172" i="212"/>
  <c r="Q172" i="212"/>
  <c r="P172" i="212"/>
  <c r="O172" i="212"/>
  <c r="N172" i="212"/>
  <c r="M172" i="212"/>
  <c r="L172" i="212"/>
  <c r="I172" i="212"/>
  <c r="E172" i="212"/>
  <c r="AB171" i="212"/>
  <c r="Z171" i="212"/>
  <c r="X171" i="212"/>
  <c r="V171" i="212"/>
  <c r="T171" i="212"/>
  <c r="S171" i="212"/>
  <c r="R171" i="212"/>
  <c r="Q171" i="212"/>
  <c r="P171" i="212"/>
  <c r="O171" i="212"/>
  <c r="N171" i="212"/>
  <c r="M171" i="212"/>
  <c r="L171" i="212"/>
  <c r="I171" i="212"/>
  <c r="E171" i="212"/>
  <c r="AB170" i="212"/>
  <c r="Z170" i="212"/>
  <c r="X170" i="212"/>
  <c r="V170" i="212"/>
  <c r="T170" i="212"/>
  <c r="S170" i="212"/>
  <c r="R170" i="212"/>
  <c r="Q170" i="212"/>
  <c r="P170" i="212"/>
  <c r="O170" i="212"/>
  <c r="N170" i="212"/>
  <c r="M170" i="212"/>
  <c r="L170" i="212"/>
  <c r="I170" i="212"/>
  <c r="E170" i="212"/>
  <c r="AB169" i="212"/>
  <c r="Z169" i="212"/>
  <c r="X169" i="212"/>
  <c r="V169" i="212"/>
  <c r="T169" i="212"/>
  <c r="S169" i="212"/>
  <c r="R169" i="212"/>
  <c r="Q169" i="212"/>
  <c r="P169" i="212"/>
  <c r="O169" i="212"/>
  <c r="N169" i="212"/>
  <c r="M169" i="212"/>
  <c r="L169" i="212"/>
  <c r="I169" i="212"/>
  <c r="E169" i="212"/>
  <c r="AB168" i="212"/>
  <c r="Z168" i="212"/>
  <c r="X168" i="212"/>
  <c r="V168" i="212"/>
  <c r="T168" i="212"/>
  <c r="S168" i="212"/>
  <c r="R168" i="212"/>
  <c r="Q168" i="212"/>
  <c r="P168" i="212"/>
  <c r="O168" i="212"/>
  <c r="N168" i="212"/>
  <c r="M168" i="212"/>
  <c r="L168" i="212"/>
  <c r="I168" i="212"/>
  <c r="E168" i="212"/>
  <c r="AB167" i="212"/>
  <c r="Z167" i="212"/>
  <c r="X167" i="212"/>
  <c r="V167" i="212"/>
  <c r="T167" i="212"/>
  <c r="S167" i="212"/>
  <c r="R167" i="212"/>
  <c r="Q167" i="212"/>
  <c r="P167" i="212"/>
  <c r="O167" i="212"/>
  <c r="N167" i="212"/>
  <c r="M167" i="212"/>
  <c r="L167" i="212"/>
  <c r="I167" i="212"/>
  <c r="E167" i="212"/>
  <c r="AB166" i="212"/>
  <c r="Z166" i="212"/>
  <c r="X166" i="212"/>
  <c r="V166" i="212"/>
  <c r="T166" i="212"/>
  <c r="S166" i="212"/>
  <c r="R166" i="212"/>
  <c r="Q166" i="212"/>
  <c r="P166" i="212"/>
  <c r="O166" i="212"/>
  <c r="N166" i="212"/>
  <c r="M166" i="212"/>
  <c r="L166" i="212"/>
  <c r="I166" i="212"/>
  <c r="E166" i="212"/>
  <c r="AB165" i="212"/>
  <c r="Z165" i="212"/>
  <c r="X165" i="212"/>
  <c r="V165" i="212"/>
  <c r="T165" i="212"/>
  <c r="S165" i="212"/>
  <c r="R165" i="212"/>
  <c r="Q165" i="212"/>
  <c r="P165" i="212"/>
  <c r="O165" i="212"/>
  <c r="N165" i="212"/>
  <c r="M165" i="212"/>
  <c r="L165" i="212"/>
  <c r="I165" i="212"/>
  <c r="E165" i="212"/>
  <c r="AB164" i="212"/>
  <c r="Z164" i="212"/>
  <c r="X164" i="212"/>
  <c r="V164" i="212"/>
  <c r="T164" i="212"/>
  <c r="S164" i="212"/>
  <c r="R164" i="212"/>
  <c r="Q164" i="212"/>
  <c r="P164" i="212"/>
  <c r="O164" i="212"/>
  <c r="N164" i="212"/>
  <c r="M164" i="212"/>
  <c r="L164" i="212"/>
  <c r="I164" i="212"/>
  <c r="E164" i="212"/>
  <c r="AB163" i="212"/>
  <c r="Z163" i="212"/>
  <c r="X163" i="212"/>
  <c r="V163" i="212"/>
  <c r="T163" i="212"/>
  <c r="S163" i="212"/>
  <c r="R163" i="212"/>
  <c r="Q163" i="212"/>
  <c r="P163" i="212"/>
  <c r="O163" i="212"/>
  <c r="N163" i="212"/>
  <c r="M163" i="212"/>
  <c r="L163" i="212"/>
  <c r="I163" i="212"/>
  <c r="E163" i="212"/>
  <c r="AB162" i="212"/>
  <c r="Z162" i="212"/>
  <c r="X162" i="212"/>
  <c r="V162" i="212"/>
  <c r="T162" i="212"/>
  <c r="S162" i="212"/>
  <c r="R162" i="212"/>
  <c r="Q162" i="212"/>
  <c r="P162" i="212"/>
  <c r="O162" i="212"/>
  <c r="N162" i="212"/>
  <c r="M162" i="212"/>
  <c r="L162" i="212"/>
  <c r="I162" i="212"/>
  <c r="E162" i="212"/>
  <c r="AB161" i="212"/>
  <c r="Z161" i="212"/>
  <c r="X161" i="212"/>
  <c r="V161" i="212"/>
  <c r="T161" i="212"/>
  <c r="S161" i="212"/>
  <c r="R161" i="212"/>
  <c r="Q161" i="212"/>
  <c r="P161" i="212"/>
  <c r="O161" i="212"/>
  <c r="N161" i="212"/>
  <c r="M161" i="212"/>
  <c r="L161" i="212"/>
  <c r="I161" i="212"/>
  <c r="E161" i="212"/>
  <c r="AB160" i="212"/>
  <c r="Z160" i="212"/>
  <c r="X160" i="212"/>
  <c r="V160" i="212"/>
  <c r="T160" i="212"/>
  <c r="S160" i="212"/>
  <c r="R160" i="212"/>
  <c r="Q160" i="212"/>
  <c r="P160" i="212"/>
  <c r="O160" i="212"/>
  <c r="N160" i="212"/>
  <c r="M160" i="212"/>
  <c r="L160" i="212"/>
  <c r="I160" i="212"/>
  <c r="E160" i="212"/>
  <c r="AB159" i="212"/>
  <c r="Z159" i="212"/>
  <c r="X159" i="212"/>
  <c r="V159" i="212"/>
  <c r="T159" i="212"/>
  <c r="S159" i="212"/>
  <c r="R159" i="212"/>
  <c r="Q159" i="212"/>
  <c r="P159" i="212"/>
  <c r="O159" i="212"/>
  <c r="N159" i="212"/>
  <c r="M159" i="212"/>
  <c r="L159" i="212"/>
  <c r="I159" i="212"/>
  <c r="E159" i="212"/>
  <c r="AB158" i="212"/>
  <c r="Z158" i="212"/>
  <c r="X158" i="212"/>
  <c r="V158" i="212"/>
  <c r="T158" i="212"/>
  <c r="S158" i="212"/>
  <c r="R158" i="212"/>
  <c r="Q158" i="212"/>
  <c r="P158" i="212"/>
  <c r="O158" i="212"/>
  <c r="N158" i="212"/>
  <c r="M158" i="212"/>
  <c r="L158" i="212"/>
  <c r="I158" i="212"/>
  <c r="E158" i="212"/>
  <c r="AB157" i="212"/>
  <c r="Z157" i="212"/>
  <c r="X157" i="212"/>
  <c r="V157" i="212"/>
  <c r="T157" i="212"/>
  <c r="S157" i="212"/>
  <c r="R157" i="212"/>
  <c r="Q157" i="212"/>
  <c r="P157" i="212"/>
  <c r="O157" i="212"/>
  <c r="N157" i="212"/>
  <c r="M157" i="212"/>
  <c r="L157" i="212"/>
  <c r="I157" i="212"/>
  <c r="E157" i="212"/>
  <c r="AB156" i="212"/>
  <c r="Z156" i="212"/>
  <c r="X156" i="212"/>
  <c r="V156" i="212"/>
  <c r="T156" i="212"/>
  <c r="S156" i="212"/>
  <c r="R156" i="212"/>
  <c r="Q156" i="212"/>
  <c r="P156" i="212"/>
  <c r="O156" i="212"/>
  <c r="N156" i="212"/>
  <c r="M156" i="212"/>
  <c r="L156" i="212"/>
  <c r="I156" i="212"/>
  <c r="E156" i="212"/>
  <c r="AB155" i="212"/>
  <c r="Z155" i="212"/>
  <c r="X155" i="212"/>
  <c r="V155" i="212"/>
  <c r="T155" i="212"/>
  <c r="S155" i="212"/>
  <c r="R155" i="212"/>
  <c r="Q155" i="212"/>
  <c r="P155" i="212"/>
  <c r="O155" i="212"/>
  <c r="N155" i="212"/>
  <c r="M155" i="212"/>
  <c r="L155" i="212"/>
  <c r="I155" i="212"/>
  <c r="E155" i="212"/>
  <c r="AB154" i="212"/>
  <c r="Z154" i="212"/>
  <c r="X154" i="212"/>
  <c r="V154" i="212"/>
  <c r="T154" i="212"/>
  <c r="S154" i="212"/>
  <c r="R154" i="212"/>
  <c r="Q154" i="212"/>
  <c r="P154" i="212"/>
  <c r="O154" i="212"/>
  <c r="N154" i="212"/>
  <c r="M154" i="212"/>
  <c r="L154" i="212"/>
  <c r="I154" i="212"/>
  <c r="E154" i="212"/>
  <c r="AB153" i="212"/>
  <c r="Z153" i="212"/>
  <c r="X153" i="212"/>
  <c r="V153" i="212"/>
  <c r="T153" i="212"/>
  <c r="S153" i="212"/>
  <c r="R153" i="212"/>
  <c r="Q153" i="212"/>
  <c r="P153" i="212"/>
  <c r="O153" i="212"/>
  <c r="N153" i="212"/>
  <c r="M153" i="212"/>
  <c r="L153" i="212"/>
  <c r="I153" i="212"/>
  <c r="E153" i="212"/>
  <c r="AB152" i="212"/>
  <c r="Z152" i="212"/>
  <c r="X152" i="212"/>
  <c r="V152" i="212"/>
  <c r="T152" i="212"/>
  <c r="S152" i="212"/>
  <c r="R152" i="212"/>
  <c r="Q152" i="212"/>
  <c r="P152" i="212"/>
  <c r="O152" i="212"/>
  <c r="N152" i="212"/>
  <c r="M152" i="212"/>
  <c r="L152" i="212"/>
  <c r="I152" i="212"/>
  <c r="E152" i="212"/>
  <c r="AB151" i="212"/>
  <c r="Z151" i="212"/>
  <c r="X151" i="212"/>
  <c r="V151" i="212"/>
  <c r="T151" i="212"/>
  <c r="S151" i="212"/>
  <c r="R151" i="212"/>
  <c r="Q151" i="212"/>
  <c r="P151" i="212"/>
  <c r="O151" i="212"/>
  <c r="N151" i="212"/>
  <c r="M151" i="212"/>
  <c r="L151" i="212"/>
  <c r="I151" i="212"/>
  <c r="E151" i="212"/>
  <c r="AB150" i="212"/>
  <c r="Z150" i="212"/>
  <c r="X150" i="212"/>
  <c r="V150" i="212"/>
  <c r="T150" i="212"/>
  <c r="S150" i="212"/>
  <c r="R150" i="212"/>
  <c r="Q150" i="212"/>
  <c r="P150" i="212"/>
  <c r="O150" i="212"/>
  <c r="N150" i="212"/>
  <c r="M150" i="212"/>
  <c r="L150" i="212"/>
  <c r="I150" i="212"/>
  <c r="E150" i="212"/>
  <c r="AB149" i="212"/>
  <c r="Z149" i="212"/>
  <c r="X149" i="212"/>
  <c r="V149" i="212"/>
  <c r="T149" i="212"/>
  <c r="S149" i="212"/>
  <c r="R149" i="212"/>
  <c r="Q149" i="212"/>
  <c r="P149" i="212"/>
  <c r="O149" i="212"/>
  <c r="N149" i="212"/>
  <c r="M149" i="212"/>
  <c r="L149" i="212"/>
  <c r="I149" i="212"/>
  <c r="E149" i="212"/>
  <c r="AB148" i="212"/>
  <c r="Z148" i="212"/>
  <c r="X148" i="212"/>
  <c r="V148" i="212"/>
  <c r="U148" i="212"/>
  <c r="T148" i="212"/>
  <c r="S148" i="212"/>
  <c r="R148" i="212"/>
  <c r="Q148" i="212"/>
  <c r="P148" i="212"/>
  <c r="O148" i="212"/>
  <c r="N148" i="212"/>
  <c r="M148" i="212"/>
  <c r="L148" i="212"/>
  <c r="I148" i="212"/>
  <c r="E148" i="212"/>
  <c r="AB147" i="212"/>
  <c r="Z147" i="212"/>
  <c r="X147" i="212"/>
  <c r="V147" i="212"/>
  <c r="U147" i="212"/>
  <c r="T147" i="212"/>
  <c r="S147" i="212"/>
  <c r="R147" i="212"/>
  <c r="Q147" i="212"/>
  <c r="P147" i="212"/>
  <c r="O147" i="212"/>
  <c r="N147" i="212"/>
  <c r="M147" i="212"/>
  <c r="L147" i="212"/>
  <c r="I147" i="212"/>
  <c r="E147" i="212"/>
  <c r="AB146" i="212"/>
  <c r="Z146" i="212"/>
  <c r="X146" i="212"/>
  <c r="V146" i="212"/>
  <c r="U146" i="212"/>
  <c r="T146" i="212"/>
  <c r="S146" i="212"/>
  <c r="R146" i="212"/>
  <c r="Q146" i="212"/>
  <c r="P146" i="212"/>
  <c r="O146" i="212"/>
  <c r="N146" i="212"/>
  <c r="M146" i="212"/>
  <c r="L146" i="212"/>
  <c r="I146" i="212"/>
  <c r="E146" i="212"/>
  <c r="AB145" i="212"/>
  <c r="Z145" i="212"/>
  <c r="X145" i="212"/>
  <c r="V145" i="212"/>
  <c r="U145" i="212"/>
  <c r="T145" i="212"/>
  <c r="S145" i="212"/>
  <c r="R145" i="212"/>
  <c r="Q145" i="212"/>
  <c r="P145" i="212"/>
  <c r="O145" i="212"/>
  <c r="N145" i="212"/>
  <c r="M145" i="212"/>
  <c r="L145" i="212"/>
  <c r="I145" i="212"/>
  <c r="E145" i="212"/>
  <c r="AB144" i="212"/>
  <c r="Z144" i="212"/>
  <c r="X144" i="212"/>
  <c r="V144" i="212"/>
  <c r="U144" i="212"/>
  <c r="T144" i="212"/>
  <c r="S144" i="212"/>
  <c r="R144" i="212"/>
  <c r="Q144" i="212"/>
  <c r="P144" i="212"/>
  <c r="O144" i="212"/>
  <c r="N144" i="212"/>
  <c r="M144" i="212"/>
  <c r="L144" i="212"/>
  <c r="I144" i="212"/>
  <c r="E144" i="212"/>
  <c r="AB143" i="212"/>
  <c r="Z143" i="212"/>
  <c r="X143" i="212"/>
  <c r="V143" i="212"/>
  <c r="U143" i="212"/>
  <c r="T143" i="212"/>
  <c r="S143" i="212"/>
  <c r="R143" i="212"/>
  <c r="Q143" i="212"/>
  <c r="P143" i="212"/>
  <c r="O143" i="212"/>
  <c r="N143" i="212"/>
  <c r="M143" i="212"/>
  <c r="L143" i="212"/>
  <c r="I143" i="212"/>
  <c r="E143" i="212"/>
  <c r="AB142" i="212"/>
  <c r="Z142" i="212"/>
  <c r="X142" i="212"/>
  <c r="V142" i="212"/>
  <c r="U142" i="212"/>
  <c r="T142" i="212"/>
  <c r="S142" i="212"/>
  <c r="R142" i="212"/>
  <c r="Q142" i="212"/>
  <c r="P142" i="212"/>
  <c r="O142" i="212"/>
  <c r="N142" i="212"/>
  <c r="M142" i="212"/>
  <c r="L142" i="212"/>
  <c r="I142" i="212"/>
  <c r="E142" i="212"/>
  <c r="AB141" i="212"/>
  <c r="Z141" i="212"/>
  <c r="X141" i="212"/>
  <c r="V141" i="212"/>
  <c r="U141" i="212"/>
  <c r="T141" i="212"/>
  <c r="S141" i="212"/>
  <c r="R141" i="212"/>
  <c r="Q141" i="212"/>
  <c r="P141" i="212"/>
  <c r="O141" i="212"/>
  <c r="N141" i="212"/>
  <c r="M141" i="212"/>
  <c r="L141" i="212"/>
  <c r="I141" i="212"/>
  <c r="E141" i="212"/>
  <c r="AB140" i="212"/>
  <c r="Z140" i="212"/>
  <c r="X140" i="212"/>
  <c r="V140" i="212"/>
  <c r="U140" i="212"/>
  <c r="T140" i="212"/>
  <c r="S140" i="212"/>
  <c r="R140" i="212"/>
  <c r="Q140" i="212"/>
  <c r="P140" i="212"/>
  <c r="O140" i="212"/>
  <c r="N140" i="212"/>
  <c r="M140" i="212"/>
  <c r="L140" i="212"/>
  <c r="I140" i="212"/>
  <c r="E140" i="212"/>
  <c r="AB139" i="212"/>
  <c r="Z139" i="212"/>
  <c r="X139" i="212"/>
  <c r="V139" i="212"/>
  <c r="U139" i="212"/>
  <c r="T139" i="212"/>
  <c r="S139" i="212"/>
  <c r="R139" i="212"/>
  <c r="Q139" i="212"/>
  <c r="P139" i="212"/>
  <c r="O139" i="212"/>
  <c r="N139" i="212"/>
  <c r="M139" i="212"/>
  <c r="L139" i="212"/>
  <c r="I139" i="212"/>
  <c r="E139" i="212"/>
  <c r="AB138" i="212"/>
  <c r="Z138" i="212"/>
  <c r="X138" i="212"/>
  <c r="V138" i="212"/>
  <c r="U138" i="212"/>
  <c r="T138" i="212"/>
  <c r="S138" i="212"/>
  <c r="R138" i="212"/>
  <c r="Q138" i="212"/>
  <c r="P138" i="212"/>
  <c r="O138" i="212"/>
  <c r="N138" i="212"/>
  <c r="M138" i="212"/>
  <c r="L138" i="212"/>
  <c r="I138" i="212"/>
  <c r="E138" i="212"/>
  <c r="AB137" i="212"/>
  <c r="Z137" i="212"/>
  <c r="X137" i="212"/>
  <c r="V137" i="212"/>
  <c r="U137" i="212"/>
  <c r="T137" i="212"/>
  <c r="S137" i="212"/>
  <c r="R137" i="212"/>
  <c r="Q137" i="212"/>
  <c r="P137" i="212"/>
  <c r="O137" i="212"/>
  <c r="N137" i="212"/>
  <c r="M137" i="212"/>
  <c r="L137" i="212"/>
  <c r="I137" i="212"/>
  <c r="E137" i="212"/>
  <c r="AB136" i="212"/>
  <c r="Z136" i="212"/>
  <c r="X136" i="212"/>
  <c r="V136" i="212"/>
  <c r="U136" i="212"/>
  <c r="T136" i="212"/>
  <c r="S136" i="212"/>
  <c r="R136" i="212"/>
  <c r="Q136" i="212"/>
  <c r="P136" i="212"/>
  <c r="O136" i="212"/>
  <c r="N136" i="212"/>
  <c r="M136" i="212"/>
  <c r="L136" i="212"/>
  <c r="I136" i="212"/>
  <c r="E136" i="212"/>
  <c r="AB135" i="212"/>
  <c r="Z135" i="212"/>
  <c r="X135" i="212"/>
  <c r="V135" i="212"/>
  <c r="U135" i="212"/>
  <c r="T135" i="212"/>
  <c r="S135" i="212"/>
  <c r="R135" i="212"/>
  <c r="Q135" i="212"/>
  <c r="P135" i="212"/>
  <c r="O135" i="212"/>
  <c r="N135" i="212"/>
  <c r="M135" i="212"/>
  <c r="L135" i="212"/>
  <c r="I135" i="212"/>
  <c r="E135" i="212"/>
  <c r="AB134" i="212"/>
  <c r="Z134" i="212"/>
  <c r="X134" i="212"/>
  <c r="V134" i="212"/>
  <c r="U134" i="212"/>
  <c r="T134" i="212"/>
  <c r="S134" i="212"/>
  <c r="R134" i="212"/>
  <c r="Q134" i="212"/>
  <c r="P134" i="212"/>
  <c r="O134" i="212"/>
  <c r="N134" i="212"/>
  <c r="M134" i="212"/>
  <c r="L134" i="212"/>
  <c r="I134" i="212"/>
  <c r="E134" i="212"/>
  <c r="AB133" i="212"/>
  <c r="Z133" i="212"/>
  <c r="X133" i="212"/>
  <c r="V133" i="212"/>
  <c r="U133" i="212"/>
  <c r="T133" i="212"/>
  <c r="S133" i="212"/>
  <c r="R133" i="212"/>
  <c r="Q133" i="212"/>
  <c r="P133" i="212"/>
  <c r="O133" i="212"/>
  <c r="N133" i="212"/>
  <c r="M133" i="212"/>
  <c r="L133" i="212"/>
  <c r="I133" i="212"/>
  <c r="E133" i="212"/>
  <c r="AB132" i="212"/>
  <c r="Z132" i="212"/>
  <c r="X132" i="212"/>
  <c r="V132" i="212"/>
  <c r="U132" i="212"/>
  <c r="T132" i="212"/>
  <c r="S132" i="212"/>
  <c r="R132" i="212"/>
  <c r="Q132" i="212"/>
  <c r="P132" i="212"/>
  <c r="O132" i="212"/>
  <c r="N132" i="212"/>
  <c r="M132" i="212"/>
  <c r="L132" i="212"/>
  <c r="I132" i="212"/>
  <c r="E132" i="212"/>
  <c r="AB131" i="212"/>
  <c r="Z131" i="212"/>
  <c r="X131" i="212"/>
  <c r="V131" i="212"/>
  <c r="U131" i="212"/>
  <c r="T131" i="212"/>
  <c r="S131" i="212"/>
  <c r="R131" i="212"/>
  <c r="Q131" i="212"/>
  <c r="P131" i="212"/>
  <c r="O131" i="212"/>
  <c r="N131" i="212"/>
  <c r="M131" i="212"/>
  <c r="L131" i="212"/>
  <c r="I131" i="212"/>
  <c r="E131" i="212"/>
  <c r="AB130" i="212"/>
  <c r="Z130" i="212"/>
  <c r="X130" i="212"/>
  <c r="V130" i="212"/>
  <c r="U130" i="212"/>
  <c r="T130" i="212"/>
  <c r="S130" i="212"/>
  <c r="R130" i="212"/>
  <c r="Q130" i="212"/>
  <c r="P130" i="212"/>
  <c r="O130" i="212"/>
  <c r="N130" i="212"/>
  <c r="M130" i="212"/>
  <c r="L130" i="212"/>
  <c r="I130" i="212"/>
  <c r="E130" i="212"/>
  <c r="AB129" i="212"/>
  <c r="Z129" i="212"/>
  <c r="X129" i="212"/>
  <c r="V129" i="212"/>
  <c r="U129" i="212"/>
  <c r="T129" i="212"/>
  <c r="S129" i="212"/>
  <c r="R129" i="212"/>
  <c r="Q129" i="212"/>
  <c r="P129" i="212"/>
  <c r="O129" i="212"/>
  <c r="N129" i="212"/>
  <c r="M129" i="212"/>
  <c r="L129" i="212"/>
  <c r="I129" i="212"/>
  <c r="E129" i="212"/>
  <c r="AB128" i="212"/>
  <c r="Z128" i="212"/>
  <c r="X128" i="212"/>
  <c r="V128" i="212"/>
  <c r="U128" i="212"/>
  <c r="T128" i="212"/>
  <c r="S128" i="212"/>
  <c r="R128" i="212"/>
  <c r="Q128" i="212"/>
  <c r="P128" i="212"/>
  <c r="O128" i="212"/>
  <c r="N128" i="212"/>
  <c r="M128" i="212"/>
  <c r="L128" i="212"/>
  <c r="I128" i="212"/>
  <c r="E128" i="212"/>
  <c r="AB124" i="212"/>
  <c r="Z124" i="212"/>
  <c r="X124" i="212"/>
  <c r="V124" i="212"/>
  <c r="T124" i="212"/>
  <c r="S124" i="212"/>
  <c r="R124" i="212"/>
  <c r="Q124" i="212"/>
  <c r="P124" i="212"/>
  <c r="O124" i="212"/>
  <c r="N124" i="212"/>
  <c r="M124" i="212"/>
  <c r="L124" i="212"/>
  <c r="I124" i="212"/>
  <c r="E124" i="212"/>
  <c r="AB123" i="212"/>
  <c r="Z123" i="212"/>
  <c r="X123" i="212"/>
  <c r="V123" i="212"/>
  <c r="T123" i="212"/>
  <c r="S123" i="212"/>
  <c r="R123" i="212"/>
  <c r="Q123" i="212"/>
  <c r="P123" i="212"/>
  <c r="O123" i="212"/>
  <c r="N123" i="212"/>
  <c r="M123" i="212"/>
  <c r="L123" i="212"/>
  <c r="I123" i="212"/>
  <c r="E123" i="212"/>
  <c r="AB122" i="212"/>
  <c r="Z122" i="212"/>
  <c r="X122" i="212"/>
  <c r="V122" i="212"/>
  <c r="T122" i="212"/>
  <c r="S122" i="212"/>
  <c r="R122" i="212"/>
  <c r="Q122" i="212"/>
  <c r="P122" i="212"/>
  <c r="O122" i="212"/>
  <c r="N122" i="212"/>
  <c r="M122" i="212"/>
  <c r="L122" i="212"/>
  <c r="I122" i="212"/>
  <c r="E122" i="212"/>
  <c r="AB121" i="212"/>
  <c r="Z121" i="212"/>
  <c r="X121" i="212"/>
  <c r="V121" i="212"/>
  <c r="U121" i="212"/>
  <c r="T121" i="212"/>
  <c r="S121" i="212"/>
  <c r="R121" i="212"/>
  <c r="Q121" i="212"/>
  <c r="P121" i="212"/>
  <c r="O121" i="212"/>
  <c r="N121" i="212"/>
  <c r="M121" i="212"/>
  <c r="L121" i="212"/>
  <c r="I121" i="212"/>
  <c r="E121" i="212"/>
  <c r="AB120" i="212"/>
  <c r="Z120" i="212"/>
  <c r="X120" i="212"/>
  <c r="V120" i="212"/>
  <c r="U120" i="212"/>
  <c r="T120" i="212"/>
  <c r="S120" i="212"/>
  <c r="R120" i="212"/>
  <c r="Q120" i="212"/>
  <c r="P120" i="212"/>
  <c r="O120" i="212"/>
  <c r="N120" i="212"/>
  <c r="M120" i="212"/>
  <c r="L120" i="212"/>
  <c r="I120" i="212"/>
  <c r="E120" i="212"/>
  <c r="AB119" i="212"/>
  <c r="Z119" i="212"/>
  <c r="X119" i="212"/>
  <c r="V119" i="212"/>
  <c r="U119" i="212"/>
  <c r="T119" i="212"/>
  <c r="S119" i="212"/>
  <c r="R119" i="212"/>
  <c r="Q119" i="212"/>
  <c r="P119" i="212"/>
  <c r="O119" i="212"/>
  <c r="N119" i="212"/>
  <c r="M119" i="212"/>
  <c r="L119" i="212"/>
  <c r="I119" i="212"/>
  <c r="E119" i="212"/>
  <c r="AB118" i="212"/>
  <c r="Z118" i="212"/>
  <c r="X118" i="212"/>
  <c r="V118" i="212"/>
  <c r="U118" i="212"/>
  <c r="T118" i="212"/>
  <c r="S118" i="212"/>
  <c r="R118" i="212"/>
  <c r="Q118" i="212"/>
  <c r="P118" i="212"/>
  <c r="O118" i="212"/>
  <c r="N118" i="212"/>
  <c r="M118" i="212"/>
  <c r="L118" i="212"/>
  <c r="I118" i="212"/>
  <c r="E118" i="212"/>
  <c r="AB117" i="212"/>
  <c r="Z117" i="212"/>
  <c r="X117" i="212"/>
  <c r="V117" i="212"/>
  <c r="U117" i="212"/>
  <c r="T117" i="212"/>
  <c r="S117" i="212"/>
  <c r="R117" i="212"/>
  <c r="Q117" i="212"/>
  <c r="P117" i="212"/>
  <c r="O117" i="212"/>
  <c r="N117" i="212"/>
  <c r="M117" i="212"/>
  <c r="L117" i="212"/>
  <c r="I117" i="212"/>
  <c r="E117" i="212"/>
  <c r="AB116" i="212"/>
  <c r="Z116" i="212"/>
  <c r="X116" i="212"/>
  <c r="V116" i="212"/>
  <c r="U116" i="212"/>
  <c r="T116" i="212"/>
  <c r="S116" i="212"/>
  <c r="R116" i="212"/>
  <c r="Q116" i="212"/>
  <c r="P116" i="212"/>
  <c r="O116" i="212"/>
  <c r="N116" i="212"/>
  <c r="M116" i="212"/>
  <c r="L116" i="212"/>
  <c r="I116" i="212"/>
  <c r="E116" i="212"/>
  <c r="AB115" i="212"/>
  <c r="Z115" i="212"/>
  <c r="X115" i="212"/>
  <c r="V115" i="212"/>
  <c r="U115" i="212"/>
  <c r="T115" i="212"/>
  <c r="S115" i="212"/>
  <c r="R115" i="212"/>
  <c r="Q115" i="212"/>
  <c r="P115" i="212"/>
  <c r="O115" i="212"/>
  <c r="N115" i="212"/>
  <c r="M115" i="212"/>
  <c r="L115" i="212"/>
  <c r="I115" i="212"/>
  <c r="E115" i="212"/>
  <c r="AB111" i="212"/>
  <c r="Z111" i="212"/>
  <c r="X111" i="212"/>
  <c r="V111" i="212"/>
  <c r="T111" i="212"/>
  <c r="S111" i="212"/>
  <c r="R111" i="212"/>
  <c r="Q111" i="212"/>
  <c r="P111" i="212"/>
  <c r="O111" i="212"/>
  <c r="N111" i="212"/>
  <c r="M111" i="212"/>
  <c r="L111" i="212"/>
  <c r="I111" i="212"/>
  <c r="E111" i="212"/>
  <c r="AB110" i="212"/>
  <c r="Z110" i="212"/>
  <c r="X110" i="212"/>
  <c r="V110" i="212"/>
  <c r="T110" i="212"/>
  <c r="S110" i="212"/>
  <c r="R110" i="212"/>
  <c r="Q110" i="212"/>
  <c r="P110" i="212"/>
  <c r="O110" i="212"/>
  <c r="N110" i="212"/>
  <c r="M110" i="212"/>
  <c r="L110" i="212"/>
  <c r="I110" i="212"/>
  <c r="E110" i="212"/>
  <c r="AB107" i="212"/>
  <c r="Z107" i="212"/>
  <c r="X107" i="212"/>
  <c r="V107" i="212"/>
  <c r="U107" i="212"/>
  <c r="T107" i="212"/>
  <c r="S107" i="212"/>
  <c r="R107" i="212"/>
  <c r="Q107" i="212"/>
  <c r="P107" i="212"/>
  <c r="O107" i="212"/>
  <c r="N107" i="212"/>
  <c r="M107" i="212"/>
  <c r="L107" i="212"/>
  <c r="I107" i="212"/>
  <c r="E107" i="212"/>
  <c r="AB106" i="212"/>
  <c r="Z106" i="212"/>
  <c r="X106" i="212"/>
  <c r="V106" i="212"/>
  <c r="U106" i="212"/>
  <c r="T106" i="212"/>
  <c r="S106" i="212"/>
  <c r="R106" i="212"/>
  <c r="Q106" i="212"/>
  <c r="P106" i="212"/>
  <c r="O106" i="212"/>
  <c r="N106" i="212"/>
  <c r="M106" i="212"/>
  <c r="L106" i="212"/>
  <c r="I106" i="212"/>
  <c r="E106" i="212"/>
  <c r="AB105" i="212"/>
  <c r="Z105" i="212"/>
  <c r="X105" i="212"/>
  <c r="V105" i="212"/>
  <c r="U105" i="212"/>
  <c r="T105" i="212"/>
  <c r="S105" i="212"/>
  <c r="R105" i="212"/>
  <c r="Q105" i="212"/>
  <c r="P105" i="212"/>
  <c r="O105" i="212"/>
  <c r="N105" i="212"/>
  <c r="M105" i="212"/>
  <c r="L105" i="212"/>
  <c r="I105" i="212"/>
  <c r="E105" i="212"/>
  <c r="AB102" i="212"/>
  <c r="Z102" i="212"/>
  <c r="X102" i="212"/>
  <c r="V102" i="212"/>
  <c r="U102" i="212"/>
  <c r="T102" i="212"/>
  <c r="S102" i="212"/>
  <c r="R102" i="212"/>
  <c r="Q102" i="212"/>
  <c r="P102" i="212"/>
  <c r="O102" i="212"/>
  <c r="N102" i="212"/>
  <c r="M102" i="212"/>
  <c r="L102" i="212"/>
  <c r="I102" i="212"/>
  <c r="E102" i="212"/>
  <c r="AB101" i="212"/>
  <c r="Z101" i="212"/>
  <c r="X101" i="212"/>
  <c r="V101" i="212"/>
  <c r="U101" i="212"/>
  <c r="T101" i="212"/>
  <c r="S101" i="212"/>
  <c r="R101" i="212"/>
  <c r="Q101" i="212"/>
  <c r="P101" i="212"/>
  <c r="O101" i="212"/>
  <c r="N101" i="212"/>
  <c r="M101" i="212"/>
  <c r="L101" i="212"/>
  <c r="I101" i="212"/>
  <c r="E101" i="212"/>
  <c r="AB100" i="212"/>
  <c r="Z100" i="212"/>
  <c r="X100" i="212"/>
  <c r="V100" i="212"/>
  <c r="U100" i="212"/>
  <c r="T100" i="212"/>
  <c r="S100" i="212"/>
  <c r="R100" i="212"/>
  <c r="Q100" i="212"/>
  <c r="P100" i="212"/>
  <c r="O100" i="212"/>
  <c r="N100" i="212"/>
  <c r="M100" i="212"/>
  <c r="L100" i="212"/>
  <c r="I100" i="212"/>
  <c r="E100" i="212"/>
  <c r="AB99" i="212"/>
  <c r="Z99" i="212"/>
  <c r="X99" i="212"/>
  <c r="V99" i="212"/>
  <c r="U99" i="212"/>
  <c r="T99" i="212"/>
  <c r="S99" i="212"/>
  <c r="R99" i="212"/>
  <c r="Q99" i="212"/>
  <c r="P99" i="212"/>
  <c r="O99" i="212"/>
  <c r="N99" i="212"/>
  <c r="M99" i="212"/>
  <c r="L99" i="212"/>
  <c r="I99" i="212"/>
  <c r="E99" i="212"/>
  <c r="AB98" i="212"/>
  <c r="Z98" i="212"/>
  <c r="X98" i="212"/>
  <c r="V98" i="212"/>
  <c r="U98" i="212"/>
  <c r="T98" i="212"/>
  <c r="S98" i="212"/>
  <c r="R98" i="212"/>
  <c r="Q98" i="212"/>
  <c r="P98" i="212"/>
  <c r="O98" i="212"/>
  <c r="N98" i="212"/>
  <c r="M98" i="212"/>
  <c r="L98" i="212"/>
  <c r="I98" i="212"/>
  <c r="E98" i="212"/>
  <c r="AB97" i="212"/>
  <c r="Z97" i="212"/>
  <c r="X97" i="212"/>
  <c r="V97" i="212"/>
  <c r="U97" i="212"/>
  <c r="T97" i="212"/>
  <c r="S97" i="212"/>
  <c r="R97" i="212"/>
  <c r="Q97" i="212"/>
  <c r="P97" i="212"/>
  <c r="O97" i="212"/>
  <c r="N97" i="212"/>
  <c r="M97" i="212"/>
  <c r="L97" i="212"/>
  <c r="I97" i="212"/>
  <c r="E97" i="212"/>
  <c r="AB96" i="212"/>
  <c r="Z96" i="212"/>
  <c r="X96" i="212"/>
  <c r="V96" i="212"/>
  <c r="U96" i="212"/>
  <c r="T96" i="212"/>
  <c r="S96" i="212"/>
  <c r="R96" i="212"/>
  <c r="Q96" i="212"/>
  <c r="P96" i="212"/>
  <c r="O96" i="212"/>
  <c r="N96" i="212"/>
  <c r="M96" i="212"/>
  <c r="L96" i="212"/>
  <c r="I96" i="212"/>
  <c r="E96" i="212"/>
  <c r="AB93" i="212"/>
  <c r="Z93" i="212"/>
  <c r="X93" i="212"/>
  <c r="V93" i="212"/>
  <c r="U93" i="212"/>
  <c r="T93" i="212"/>
  <c r="S93" i="212"/>
  <c r="R93" i="212"/>
  <c r="Q93" i="212"/>
  <c r="P93" i="212"/>
  <c r="O93" i="212"/>
  <c r="N93" i="212"/>
  <c r="M93" i="212"/>
  <c r="L93" i="212"/>
  <c r="I93" i="212"/>
  <c r="E93" i="212"/>
  <c r="AB92" i="212"/>
  <c r="Z92" i="212"/>
  <c r="X92" i="212"/>
  <c r="V92" i="212"/>
  <c r="U92" i="212"/>
  <c r="T92" i="212"/>
  <c r="S92" i="212"/>
  <c r="R92" i="212"/>
  <c r="Q92" i="212"/>
  <c r="P92" i="212"/>
  <c r="O92" i="212"/>
  <c r="N92" i="212"/>
  <c r="M92" i="212"/>
  <c r="L92" i="212"/>
  <c r="I92" i="212"/>
  <c r="E92" i="212"/>
  <c r="AB91" i="212"/>
  <c r="Z91" i="212"/>
  <c r="X91" i="212"/>
  <c r="V91" i="212"/>
  <c r="U91" i="212"/>
  <c r="T91" i="212"/>
  <c r="S91" i="212"/>
  <c r="R91" i="212"/>
  <c r="Q91" i="212"/>
  <c r="P91" i="212"/>
  <c r="O91" i="212"/>
  <c r="N91" i="212"/>
  <c r="M91" i="212"/>
  <c r="L91" i="212"/>
  <c r="I91" i="212"/>
  <c r="E91" i="212"/>
  <c r="AB90" i="212"/>
  <c r="Z90" i="212"/>
  <c r="X90" i="212"/>
  <c r="V90" i="212"/>
  <c r="U90" i="212"/>
  <c r="T90" i="212"/>
  <c r="S90" i="212"/>
  <c r="R90" i="212"/>
  <c r="Q90" i="212"/>
  <c r="P90" i="212"/>
  <c r="O90" i="212"/>
  <c r="N90" i="212"/>
  <c r="M90" i="212"/>
  <c r="L90" i="212"/>
  <c r="I90" i="212"/>
  <c r="E90" i="212"/>
  <c r="AB89" i="212"/>
  <c r="Z89" i="212"/>
  <c r="X89" i="212"/>
  <c r="V89" i="212"/>
  <c r="U89" i="212"/>
  <c r="T89" i="212"/>
  <c r="S89" i="212"/>
  <c r="R89" i="212"/>
  <c r="Q89" i="212"/>
  <c r="P89" i="212"/>
  <c r="O89" i="212"/>
  <c r="N89" i="212"/>
  <c r="M89" i="212"/>
  <c r="L89" i="212"/>
  <c r="I89" i="212"/>
  <c r="E89" i="212"/>
  <c r="AB85" i="212"/>
  <c r="Z85" i="212"/>
  <c r="X85" i="212"/>
  <c r="V85" i="212"/>
  <c r="U85" i="212"/>
  <c r="T85" i="212"/>
  <c r="S85" i="212"/>
  <c r="R85" i="212"/>
  <c r="Q85" i="212"/>
  <c r="P85" i="212"/>
  <c r="O85" i="212"/>
  <c r="N85" i="212"/>
  <c r="M85" i="212"/>
  <c r="L85" i="212"/>
  <c r="I85" i="212"/>
  <c r="E85" i="212"/>
  <c r="AB84" i="212"/>
  <c r="Z84" i="212"/>
  <c r="X84" i="212"/>
  <c r="V84" i="212"/>
  <c r="U84" i="212"/>
  <c r="T84" i="212"/>
  <c r="S84" i="212"/>
  <c r="R84" i="212"/>
  <c r="Q84" i="212"/>
  <c r="P84" i="212"/>
  <c r="O84" i="212"/>
  <c r="N84" i="212"/>
  <c r="M84" i="212"/>
  <c r="L84" i="212"/>
  <c r="I84" i="212"/>
  <c r="E84" i="212"/>
  <c r="AB83" i="212"/>
  <c r="Z83" i="212"/>
  <c r="X83" i="212"/>
  <c r="V83" i="212"/>
  <c r="U83" i="212"/>
  <c r="T83" i="212"/>
  <c r="S83" i="212"/>
  <c r="R83" i="212"/>
  <c r="Q83" i="212"/>
  <c r="P83" i="212"/>
  <c r="O83" i="212"/>
  <c r="N83" i="212"/>
  <c r="M83" i="212"/>
  <c r="L83" i="212"/>
  <c r="I83" i="212"/>
  <c r="E83" i="212"/>
  <c r="AB82" i="212"/>
  <c r="Z82" i="212"/>
  <c r="X82" i="212"/>
  <c r="V82" i="212"/>
  <c r="U82" i="212"/>
  <c r="T82" i="212"/>
  <c r="S82" i="212"/>
  <c r="R82" i="212"/>
  <c r="Q82" i="212"/>
  <c r="P82" i="212"/>
  <c r="O82" i="212"/>
  <c r="N82" i="212"/>
  <c r="M82" i="212"/>
  <c r="L82" i="212"/>
  <c r="I82" i="212"/>
  <c r="E82" i="212"/>
  <c r="AB81" i="212"/>
  <c r="Z81" i="212"/>
  <c r="X81" i="212"/>
  <c r="V81" i="212"/>
  <c r="U81" i="212"/>
  <c r="T81" i="212"/>
  <c r="S81" i="212"/>
  <c r="R81" i="212"/>
  <c r="Q81" i="212"/>
  <c r="P81" i="212"/>
  <c r="O81" i="212"/>
  <c r="N81" i="212"/>
  <c r="M81" i="212"/>
  <c r="L81" i="212"/>
  <c r="I81" i="212"/>
  <c r="E81" i="212"/>
  <c r="AB80" i="212"/>
  <c r="Z80" i="212"/>
  <c r="X80" i="212"/>
  <c r="V80" i="212"/>
  <c r="U80" i="212"/>
  <c r="T80" i="212"/>
  <c r="S80" i="212"/>
  <c r="R80" i="212"/>
  <c r="Q80" i="212"/>
  <c r="P80" i="212"/>
  <c r="O80" i="212"/>
  <c r="N80" i="212"/>
  <c r="M80" i="212"/>
  <c r="L80" i="212"/>
  <c r="I80" i="212"/>
  <c r="E80" i="212"/>
  <c r="AB79" i="212"/>
  <c r="Z79" i="212"/>
  <c r="X79" i="212"/>
  <c r="V79" i="212"/>
  <c r="U79" i="212"/>
  <c r="T79" i="212"/>
  <c r="S79" i="212"/>
  <c r="R79" i="212"/>
  <c r="Q79" i="212"/>
  <c r="P79" i="212"/>
  <c r="O79" i="212"/>
  <c r="N79" i="212"/>
  <c r="M79" i="212"/>
  <c r="L79" i="212"/>
  <c r="I79" i="212"/>
  <c r="E79" i="212"/>
  <c r="AB78" i="212"/>
  <c r="Z78" i="212"/>
  <c r="X78" i="212"/>
  <c r="V78" i="212"/>
  <c r="U78" i="212"/>
  <c r="T78" i="212"/>
  <c r="S78" i="212"/>
  <c r="R78" i="212"/>
  <c r="Q78" i="212"/>
  <c r="P78" i="212"/>
  <c r="O78" i="212"/>
  <c r="N78" i="212"/>
  <c r="M78" i="212"/>
  <c r="L78" i="212"/>
  <c r="I78" i="212"/>
  <c r="E78" i="212"/>
  <c r="AB77" i="212"/>
  <c r="Z77" i="212"/>
  <c r="X77" i="212"/>
  <c r="V77" i="212"/>
  <c r="U77" i="212"/>
  <c r="T77" i="212"/>
  <c r="S77" i="212"/>
  <c r="R77" i="212"/>
  <c r="Q77" i="212"/>
  <c r="P77" i="212"/>
  <c r="O77" i="212"/>
  <c r="N77" i="212"/>
  <c r="M77" i="212"/>
  <c r="L77" i="212"/>
  <c r="I77" i="212"/>
  <c r="E77" i="212"/>
  <c r="AB76" i="212"/>
  <c r="Z76" i="212"/>
  <c r="X76" i="212"/>
  <c r="V76" i="212"/>
  <c r="U76" i="212"/>
  <c r="T76" i="212"/>
  <c r="S76" i="212"/>
  <c r="R76" i="212"/>
  <c r="Q76" i="212"/>
  <c r="P76" i="212"/>
  <c r="O76" i="212"/>
  <c r="N76" i="212"/>
  <c r="M76" i="212"/>
  <c r="L76" i="212"/>
  <c r="I76" i="212"/>
  <c r="E76" i="212"/>
  <c r="AB73" i="212"/>
  <c r="Z73" i="212"/>
  <c r="X73" i="212"/>
  <c r="V73" i="212"/>
  <c r="U73" i="212"/>
  <c r="T73" i="212"/>
  <c r="S73" i="212"/>
  <c r="R73" i="212"/>
  <c r="Q73" i="212"/>
  <c r="P73" i="212"/>
  <c r="O73" i="212"/>
  <c r="N73" i="212"/>
  <c r="M73" i="212"/>
  <c r="L73" i="212"/>
  <c r="I73" i="212"/>
  <c r="E73" i="212"/>
  <c r="AB72" i="212"/>
  <c r="Z72" i="212"/>
  <c r="X72" i="212"/>
  <c r="V72" i="212"/>
  <c r="U72" i="212"/>
  <c r="T72" i="212"/>
  <c r="S72" i="212"/>
  <c r="R72" i="212"/>
  <c r="Q72" i="212"/>
  <c r="P72" i="212"/>
  <c r="O72" i="212"/>
  <c r="N72" i="212"/>
  <c r="M72" i="212"/>
  <c r="L72" i="212"/>
  <c r="I72" i="212"/>
  <c r="E72" i="212"/>
  <c r="AB71" i="212"/>
  <c r="Z71" i="212"/>
  <c r="X71" i="212"/>
  <c r="V71" i="212"/>
  <c r="U71" i="212"/>
  <c r="T71" i="212"/>
  <c r="S71" i="212"/>
  <c r="R71" i="212"/>
  <c r="Q71" i="212"/>
  <c r="P71" i="212"/>
  <c r="O71" i="212"/>
  <c r="N71" i="212"/>
  <c r="M71" i="212"/>
  <c r="L71" i="212"/>
  <c r="I71" i="212"/>
  <c r="E71" i="212"/>
  <c r="AB70" i="212"/>
  <c r="Z70" i="212"/>
  <c r="X70" i="212"/>
  <c r="V70" i="212"/>
  <c r="U70" i="212"/>
  <c r="T70" i="212"/>
  <c r="S70" i="212"/>
  <c r="R70" i="212"/>
  <c r="Q70" i="212"/>
  <c r="P70" i="212"/>
  <c r="O70" i="212"/>
  <c r="N70" i="212"/>
  <c r="M70" i="212"/>
  <c r="L70" i="212"/>
  <c r="I70" i="212"/>
  <c r="E70" i="212"/>
  <c r="AB69" i="212"/>
  <c r="Z69" i="212"/>
  <c r="X69" i="212"/>
  <c r="V69" i="212"/>
  <c r="U69" i="212"/>
  <c r="T69" i="212"/>
  <c r="S69" i="212"/>
  <c r="R69" i="212"/>
  <c r="Q69" i="212"/>
  <c r="P69" i="212"/>
  <c r="O69" i="212"/>
  <c r="N69" i="212"/>
  <c r="M69" i="212"/>
  <c r="L69" i="212"/>
  <c r="I69" i="212"/>
  <c r="E69" i="212"/>
  <c r="AB68" i="212"/>
  <c r="Z68" i="212"/>
  <c r="X68" i="212"/>
  <c r="V68" i="212"/>
  <c r="U68" i="212"/>
  <c r="T68" i="212"/>
  <c r="S68" i="212"/>
  <c r="R68" i="212"/>
  <c r="Q68" i="212"/>
  <c r="P68" i="212"/>
  <c r="O68" i="212"/>
  <c r="N68" i="212"/>
  <c r="M68" i="212"/>
  <c r="L68" i="212"/>
  <c r="I68" i="212"/>
  <c r="E68" i="212"/>
  <c r="AB65" i="212"/>
  <c r="Z65" i="212"/>
  <c r="X65" i="212"/>
  <c r="V65" i="212"/>
  <c r="U65" i="212"/>
  <c r="T65" i="212"/>
  <c r="S65" i="212"/>
  <c r="R65" i="212"/>
  <c r="Q65" i="212"/>
  <c r="P65" i="212"/>
  <c r="O65" i="212"/>
  <c r="N65" i="212"/>
  <c r="M65" i="212"/>
  <c r="L65" i="212"/>
  <c r="I65" i="212"/>
  <c r="E65" i="212"/>
  <c r="AB64" i="212"/>
  <c r="Z64" i="212"/>
  <c r="X64" i="212"/>
  <c r="V64" i="212"/>
  <c r="U64" i="212"/>
  <c r="T64" i="212"/>
  <c r="S64" i="212"/>
  <c r="R64" i="212"/>
  <c r="Q64" i="212"/>
  <c r="P64" i="212"/>
  <c r="O64" i="212"/>
  <c r="N64" i="212"/>
  <c r="M64" i="212"/>
  <c r="L64" i="212"/>
  <c r="I64" i="212"/>
  <c r="E64" i="212"/>
  <c r="AB63" i="212"/>
  <c r="Z63" i="212"/>
  <c r="X63" i="212"/>
  <c r="V63" i="212"/>
  <c r="U63" i="212"/>
  <c r="T63" i="212"/>
  <c r="S63" i="212"/>
  <c r="R63" i="212"/>
  <c r="Q63" i="212"/>
  <c r="P63" i="212"/>
  <c r="O63" i="212"/>
  <c r="N63" i="212"/>
  <c r="M63" i="212"/>
  <c r="L63" i="212"/>
  <c r="I63" i="212"/>
  <c r="E63" i="212"/>
  <c r="AB62" i="212"/>
  <c r="Z62" i="212"/>
  <c r="X62" i="212"/>
  <c r="V62" i="212"/>
  <c r="U62" i="212"/>
  <c r="T62" i="212"/>
  <c r="S62" i="212"/>
  <c r="R62" i="212"/>
  <c r="Q62" i="212"/>
  <c r="P62" i="212"/>
  <c r="O62" i="212"/>
  <c r="N62" i="212"/>
  <c r="M62" i="212"/>
  <c r="L62" i="212"/>
  <c r="I62" i="212"/>
  <c r="E62" i="212"/>
  <c r="AB61" i="212"/>
  <c r="Z61" i="212"/>
  <c r="X61" i="212"/>
  <c r="V61" i="212"/>
  <c r="U61" i="212"/>
  <c r="T61" i="212"/>
  <c r="S61" i="212"/>
  <c r="R61" i="212"/>
  <c r="Q61" i="212"/>
  <c r="P61" i="212"/>
  <c r="O61" i="212"/>
  <c r="N61" i="212"/>
  <c r="M61" i="212"/>
  <c r="L61" i="212"/>
  <c r="I61" i="212"/>
  <c r="E61" i="212"/>
  <c r="AB60" i="212"/>
  <c r="Z60" i="212"/>
  <c r="X60" i="212"/>
  <c r="V60" i="212"/>
  <c r="U60" i="212"/>
  <c r="T60" i="212"/>
  <c r="S60" i="212"/>
  <c r="R60" i="212"/>
  <c r="Q60" i="212"/>
  <c r="P60" i="212"/>
  <c r="O60" i="212"/>
  <c r="N60" i="212"/>
  <c r="M60" i="212"/>
  <c r="L60" i="212"/>
  <c r="I60" i="212"/>
  <c r="E60" i="212"/>
  <c r="AB59" i="212"/>
  <c r="Z59" i="212"/>
  <c r="X59" i="212"/>
  <c r="V59" i="212"/>
  <c r="U59" i="212"/>
  <c r="T59" i="212"/>
  <c r="S59" i="212"/>
  <c r="R59" i="212"/>
  <c r="Q59" i="212"/>
  <c r="P59" i="212"/>
  <c r="O59" i="212"/>
  <c r="N59" i="212"/>
  <c r="M59" i="212"/>
  <c r="L59" i="212"/>
  <c r="I59" i="212"/>
  <c r="E59" i="212"/>
  <c r="AB56" i="212"/>
  <c r="Z56" i="212"/>
  <c r="X56" i="212"/>
  <c r="V56" i="212"/>
  <c r="U56" i="212"/>
  <c r="T56" i="212"/>
  <c r="S56" i="212"/>
  <c r="R56" i="212"/>
  <c r="Q56" i="212"/>
  <c r="P56" i="212"/>
  <c r="O56" i="212"/>
  <c r="N56" i="212"/>
  <c r="M56" i="212"/>
  <c r="L56" i="212"/>
  <c r="I56" i="212"/>
  <c r="E56" i="212"/>
  <c r="AB55" i="212"/>
  <c r="Z55" i="212"/>
  <c r="X55" i="212"/>
  <c r="V55" i="212"/>
  <c r="U55" i="212"/>
  <c r="T55" i="212"/>
  <c r="S55" i="212"/>
  <c r="R55" i="212"/>
  <c r="Q55" i="212"/>
  <c r="P55" i="212"/>
  <c r="O55" i="212"/>
  <c r="N55" i="212"/>
  <c r="M55" i="212"/>
  <c r="L55" i="212"/>
  <c r="I55" i="212"/>
  <c r="E55" i="212"/>
  <c r="AB52" i="212"/>
  <c r="Z52" i="212"/>
  <c r="X52" i="212"/>
  <c r="V52" i="212"/>
  <c r="U52" i="212"/>
  <c r="T52" i="212"/>
  <c r="S52" i="212"/>
  <c r="R52" i="212"/>
  <c r="Q52" i="212"/>
  <c r="P52" i="212"/>
  <c r="O52" i="212"/>
  <c r="N52" i="212"/>
  <c r="M52" i="212"/>
  <c r="L52" i="212"/>
  <c r="I52" i="212"/>
  <c r="E52" i="212"/>
  <c r="AB51" i="212"/>
  <c r="Z51" i="212"/>
  <c r="X51" i="212"/>
  <c r="V51" i="212"/>
  <c r="U51" i="212"/>
  <c r="T51" i="212"/>
  <c r="S51" i="212"/>
  <c r="R51" i="212"/>
  <c r="Q51" i="212"/>
  <c r="P51" i="212"/>
  <c r="O51" i="212"/>
  <c r="N51" i="212"/>
  <c r="M51" i="212"/>
  <c r="L51" i="212"/>
  <c r="I51" i="212"/>
  <c r="E51" i="212"/>
  <c r="AB50" i="212"/>
  <c r="Z50" i="212"/>
  <c r="X50" i="212"/>
  <c r="V50" i="212"/>
  <c r="U50" i="212"/>
  <c r="T50" i="212"/>
  <c r="S50" i="212"/>
  <c r="R50" i="212"/>
  <c r="Q50" i="212"/>
  <c r="P50" i="212"/>
  <c r="O50" i="212"/>
  <c r="N50" i="212"/>
  <c r="M50" i="212"/>
  <c r="L50" i="212"/>
  <c r="I50" i="212"/>
  <c r="E50" i="212"/>
  <c r="AB49" i="212"/>
  <c r="Z49" i="212"/>
  <c r="X49" i="212"/>
  <c r="V49" i="212"/>
  <c r="U49" i="212"/>
  <c r="T49" i="212"/>
  <c r="S49" i="212"/>
  <c r="R49" i="212"/>
  <c r="Q49" i="212"/>
  <c r="P49" i="212"/>
  <c r="O49" i="212"/>
  <c r="N49" i="212"/>
  <c r="M49" i="212"/>
  <c r="L49" i="212"/>
  <c r="I49" i="212"/>
  <c r="E49" i="212"/>
  <c r="AB48" i="212"/>
  <c r="Z48" i="212"/>
  <c r="X48" i="212"/>
  <c r="V48" i="212"/>
  <c r="U48" i="212"/>
  <c r="T48" i="212"/>
  <c r="S48" i="212"/>
  <c r="R48" i="212"/>
  <c r="Q48" i="212"/>
  <c r="P48" i="212"/>
  <c r="O48" i="212"/>
  <c r="N48" i="212"/>
  <c r="M48" i="212"/>
  <c r="L48" i="212"/>
  <c r="I48" i="212"/>
  <c r="E48" i="212"/>
  <c r="AB47" i="212"/>
  <c r="Z47" i="212"/>
  <c r="X47" i="212"/>
  <c r="V47" i="212"/>
  <c r="U47" i="212"/>
  <c r="T47" i="212"/>
  <c r="S47" i="212"/>
  <c r="R47" i="212"/>
  <c r="Q47" i="212"/>
  <c r="P47" i="212"/>
  <c r="O47" i="212"/>
  <c r="N47" i="212"/>
  <c r="M47" i="212"/>
  <c r="L47" i="212"/>
  <c r="I47" i="212"/>
  <c r="E47" i="212"/>
  <c r="AB46" i="212"/>
  <c r="Z46" i="212"/>
  <c r="X46" i="212"/>
  <c r="V46" i="212"/>
  <c r="U46" i="212"/>
  <c r="T46" i="212"/>
  <c r="S46" i="212"/>
  <c r="R46" i="212"/>
  <c r="Q46" i="212"/>
  <c r="P46" i="212"/>
  <c r="O46" i="212"/>
  <c r="N46" i="212"/>
  <c r="M46" i="212"/>
  <c r="L46" i="212"/>
  <c r="I46" i="212"/>
  <c r="E46" i="212"/>
  <c r="AB45" i="212"/>
  <c r="Z45" i="212"/>
  <c r="X45" i="212"/>
  <c r="V45" i="212"/>
  <c r="U45" i="212"/>
  <c r="T45" i="212"/>
  <c r="S45" i="212"/>
  <c r="R45" i="212"/>
  <c r="Q45" i="212"/>
  <c r="P45" i="212"/>
  <c r="O45" i="212"/>
  <c r="N45" i="212"/>
  <c r="M45" i="212"/>
  <c r="L45" i="212"/>
  <c r="I45" i="212"/>
  <c r="E45" i="212"/>
  <c r="AB42" i="212"/>
  <c r="Z42" i="212"/>
  <c r="X42" i="212"/>
  <c r="V42" i="212"/>
  <c r="U42" i="212"/>
  <c r="T42" i="212"/>
  <c r="S42" i="212"/>
  <c r="R42" i="212"/>
  <c r="Q42" i="212"/>
  <c r="P42" i="212"/>
  <c r="O42" i="212"/>
  <c r="N42" i="212"/>
  <c r="M42" i="212"/>
  <c r="L42" i="212"/>
  <c r="I42" i="212"/>
  <c r="E42" i="212"/>
  <c r="AB41" i="212"/>
  <c r="Z41" i="212"/>
  <c r="X41" i="212"/>
  <c r="V41" i="212"/>
  <c r="U41" i="212"/>
  <c r="T41" i="212"/>
  <c r="S41" i="212"/>
  <c r="R41" i="212"/>
  <c r="Q41" i="212"/>
  <c r="P41" i="212"/>
  <c r="O41" i="212"/>
  <c r="N41" i="212"/>
  <c r="M41" i="212"/>
  <c r="L41" i="212"/>
  <c r="I41" i="212"/>
  <c r="E41" i="212"/>
  <c r="AB40" i="212"/>
  <c r="Z40" i="212"/>
  <c r="X40" i="212"/>
  <c r="V40" i="212"/>
  <c r="U40" i="212"/>
  <c r="T40" i="212"/>
  <c r="S40" i="212"/>
  <c r="R40" i="212"/>
  <c r="Q40" i="212"/>
  <c r="P40" i="212"/>
  <c r="O40" i="212"/>
  <c r="N40" i="212"/>
  <c r="M40" i="212"/>
  <c r="L40" i="212"/>
  <c r="I40" i="212"/>
  <c r="E40" i="212"/>
  <c r="AB39" i="212"/>
  <c r="Z39" i="212"/>
  <c r="X39" i="212"/>
  <c r="V39" i="212"/>
  <c r="U39" i="212"/>
  <c r="T39" i="212"/>
  <c r="S39" i="212"/>
  <c r="R39" i="212"/>
  <c r="Q39" i="212"/>
  <c r="P39" i="212"/>
  <c r="O39" i="212"/>
  <c r="N39" i="212"/>
  <c r="M39" i="212"/>
  <c r="L39" i="212"/>
  <c r="I39" i="212"/>
  <c r="E39" i="212"/>
  <c r="AB36" i="212"/>
  <c r="Z36" i="212"/>
  <c r="X36" i="212"/>
  <c r="V36" i="212"/>
  <c r="T36" i="212"/>
  <c r="S36" i="212"/>
  <c r="R36" i="212"/>
  <c r="Q36" i="212"/>
  <c r="P36" i="212"/>
  <c r="O36" i="212"/>
  <c r="N36" i="212"/>
  <c r="M36" i="212"/>
  <c r="L36" i="212"/>
  <c r="I36" i="212"/>
  <c r="E36" i="212"/>
  <c r="AB35" i="212"/>
  <c r="Z35" i="212"/>
  <c r="X35" i="212"/>
  <c r="V35" i="212"/>
  <c r="T35" i="212"/>
  <c r="S35" i="212"/>
  <c r="R35" i="212"/>
  <c r="Q35" i="212"/>
  <c r="P35" i="212"/>
  <c r="O35" i="212"/>
  <c r="N35" i="212"/>
  <c r="M35" i="212"/>
  <c r="L35" i="212"/>
  <c r="I35" i="212"/>
  <c r="E35" i="212"/>
  <c r="AB34" i="212"/>
  <c r="Z34" i="212"/>
  <c r="X34" i="212"/>
  <c r="V34" i="212"/>
  <c r="U34" i="212"/>
  <c r="T34" i="212"/>
  <c r="S34" i="212"/>
  <c r="R34" i="212"/>
  <c r="Q34" i="212"/>
  <c r="P34" i="212"/>
  <c r="O34" i="212"/>
  <c r="N34" i="212"/>
  <c r="M34" i="212"/>
  <c r="L34" i="212"/>
  <c r="I34" i="212"/>
  <c r="E34" i="212"/>
  <c r="AB33" i="212"/>
  <c r="Z33" i="212"/>
  <c r="X33" i="212"/>
  <c r="V33" i="212"/>
  <c r="U33" i="212"/>
  <c r="T33" i="212"/>
  <c r="S33" i="212"/>
  <c r="R33" i="212"/>
  <c r="Q33" i="212"/>
  <c r="P33" i="212"/>
  <c r="O33" i="212"/>
  <c r="N33" i="212"/>
  <c r="M33" i="212"/>
  <c r="L33" i="212"/>
  <c r="I33" i="212"/>
  <c r="E33" i="212"/>
  <c r="AB32" i="212"/>
  <c r="Z32" i="212"/>
  <c r="X32" i="212"/>
  <c r="V32" i="212"/>
  <c r="U32" i="212"/>
  <c r="T32" i="212"/>
  <c r="S32" i="212"/>
  <c r="R32" i="212"/>
  <c r="Q32" i="212"/>
  <c r="P32" i="212"/>
  <c r="O32" i="212"/>
  <c r="N32" i="212"/>
  <c r="M32" i="212"/>
  <c r="L32" i="212"/>
  <c r="I32" i="212"/>
  <c r="E32" i="212"/>
  <c r="AB31" i="212"/>
  <c r="Z31" i="212"/>
  <c r="X31" i="212"/>
  <c r="V31" i="212"/>
  <c r="U31" i="212"/>
  <c r="T31" i="212"/>
  <c r="S31" i="212"/>
  <c r="R31" i="212"/>
  <c r="Q31" i="212"/>
  <c r="P31" i="212"/>
  <c r="O31" i="212"/>
  <c r="N31" i="212"/>
  <c r="M31" i="212"/>
  <c r="L31" i="212"/>
  <c r="I31" i="212"/>
  <c r="E31" i="212"/>
  <c r="AB30" i="212"/>
  <c r="Z30" i="212"/>
  <c r="X30" i="212"/>
  <c r="V30" i="212"/>
  <c r="U30" i="212"/>
  <c r="T30" i="212"/>
  <c r="S30" i="212"/>
  <c r="R30" i="212"/>
  <c r="Q30" i="212"/>
  <c r="P30" i="212"/>
  <c r="O30" i="212"/>
  <c r="N30" i="212"/>
  <c r="M30" i="212"/>
  <c r="L30" i="212"/>
  <c r="I30" i="212"/>
  <c r="E30" i="212"/>
  <c r="AB29" i="212"/>
  <c r="Z29" i="212"/>
  <c r="X29" i="212"/>
  <c r="V29" i="212"/>
  <c r="U29" i="212"/>
  <c r="T29" i="212"/>
  <c r="S29" i="212"/>
  <c r="R29" i="212"/>
  <c r="Q29" i="212"/>
  <c r="P29" i="212"/>
  <c r="O29" i="212"/>
  <c r="N29" i="212"/>
  <c r="M29" i="212"/>
  <c r="L29" i="212"/>
  <c r="I29" i="212"/>
  <c r="E29" i="212"/>
  <c r="AB28" i="212"/>
  <c r="Z28" i="212"/>
  <c r="X28" i="212"/>
  <c r="V28" i="212"/>
  <c r="U28" i="212"/>
  <c r="T28" i="212"/>
  <c r="S28" i="212"/>
  <c r="R28" i="212"/>
  <c r="Q28" i="212"/>
  <c r="P28" i="212"/>
  <c r="O28" i="212"/>
  <c r="N28" i="212"/>
  <c r="M28" i="212"/>
  <c r="L28" i="212"/>
  <c r="I28" i="212"/>
  <c r="E28" i="212"/>
  <c r="AB27" i="212"/>
  <c r="Z27" i="212"/>
  <c r="X27" i="212"/>
  <c r="V27" i="212"/>
  <c r="U27" i="212"/>
  <c r="T27" i="212"/>
  <c r="S27" i="212"/>
  <c r="R27" i="212"/>
  <c r="Q27" i="212"/>
  <c r="P27" i="212"/>
  <c r="O27" i="212"/>
  <c r="N27" i="212"/>
  <c r="M27" i="212"/>
  <c r="L27" i="212"/>
  <c r="I27" i="212"/>
  <c r="E27" i="212"/>
  <c r="AB26" i="212"/>
  <c r="Z26" i="212"/>
  <c r="X26" i="212"/>
  <c r="V26" i="212"/>
  <c r="U26" i="212"/>
  <c r="T26" i="212"/>
  <c r="S26" i="212"/>
  <c r="R26" i="212"/>
  <c r="Q26" i="212"/>
  <c r="P26" i="212"/>
  <c r="O26" i="212"/>
  <c r="N26" i="212"/>
  <c r="M26" i="212"/>
  <c r="L26" i="212"/>
  <c r="I26" i="212"/>
  <c r="E26" i="212"/>
  <c r="AB25" i="212"/>
  <c r="Z25" i="212"/>
  <c r="X25" i="212"/>
  <c r="V25" i="212"/>
  <c r="U25" i="212"/>
  <c r="T25" i="212"/>
  <c r="S25" i="212"/>
  <c r="R25" i="212"/>
  <c r="Q25" i="212"/>
  <c r="P25" i="212"/>
  <c r="O25" i="212"/>
  <c r="N25" i="212"/>
  <c r="M25" i="212"/>
  <c r="L25" i="212"/>
  <c r="I25" i="212"/>
  <c r="E25" i="212"/>
  <c r="AB24" i="212"/>
  <c r="Z24" i="212"/>
  <c r="X24" i="212"/>
  <c r="V24" i="212"/>
  <c r="U24" i="212"/>
  <c r="T24" i="212"/>
  <c r="S24" i="212"/>
  <c r="R24" i="212"/>
  <c r="Q24" i="212"/>
  <c r="P24" i="212"/>
  <c r="O24" i="212"/>
  <c r="N24" i="212"/>
  <c r="M24" i="212"/>
  <c r="L24" i="212"/>
  <c r="I24" i="212"/>
  <c r="E24" i="212"/>
  <c r="AB23" i="212"/>
  <c r="Z23" i="212"/>
  <c r="X23" i="212"/>
  <c r="V23" i="212"/>
  <c r="U23" i="212"/>
  <c r="T23" i="212"/>
  <c r="S23" i="212"/>
  <c r="R23" i="212"/>
  <c r="Q23" i="212"/>
  <c r="P23" i="212"/>
  <c r="O23" i="212"/>
  <c r="N23" i="212"/>
  <c r="M23" i="212"/>
  <c r="L23" i="212"/>
  <c r="I23" i="212"/>
  <c r="E23" i="212"/>
  <c r="AB22" i="212"/>
  <c r="Z22" i="212"/>
  <c r="X22" i="212"/>
  <c r="V22" i="212"/>
  <c r="U22" i="212"/>
  <c r="T22" i="212"/>
  <c r="S22" i="212"/>
  <c r="R22" i="212"/>
  <c r="Q22" i="212"/>
  <c r="P22" i="212"/>
  <c r="O22" i="212"/>
  <c r="N22" i="212"/>
  <c r="M22" i="212"/>
  <c r="L22" i="212"/>
  <c r="I22" i="212"/>
  <c r="E22" i="212"/>
  <c r="AB21" i="212"/>
  <c r="Z21" i="212"/>
  <c r="X21" i="212"/>
  <c r="V21" i="212"/>
  <c r="U21" i="212"/>
  <c r="T21" i="212"/>
  <c r="S21" i="212"/>
  <c r="R21" i="212"/>
  <c r="Q21" i="212"/>
  <c r="P21" i="212"/>
  <c r="O21" i="212"/>
  <c r="N21" i="212"/>
  <c r="M21" i="212"/>
  <c r="L21" i="212"/>
  <c r="I21" i="212"/>
  <c r="E21" i="212"/>
  <c r="AB20" i="212"/>
  <c r="Z20" i="212"/>
  <c r="X20" i="212"/>
  <c r="V20" i="212"/>
  <c r="U20" i="212"/>
  <c r="T20" i="212"/>
  <c r="S20" i="212"/>
  <c r="R20" i="212"/>
  <c r="Q20" i="212"/>
  <c r="P20" i="212"/>
  <c r="O20" i="212"/>
  <c r="N20" i="212"/>
  <c r="M20" i="212"/>
  <c r="L20" i="212"/>
  <c r="I20" i="212"/>
  <c r="E20" i="212"/>
  <c r="AB19" i="212"/>
  <c r="Z19" i="212"/>
  <c r="X19" i="212"/>
  <c r="V19" i="212"/>
  <c r="U19" i="212"/>
  <c r="T19" i="212"/>
  <c r="S19" i="212"/>
  <c r="R19" i="212"/>
  <c r="Q19" i="212"/>
  <c r="P19" i="212"/>
  <c r="O19" i="212"/>
  <c r="N19" i="212"/>
  <c r="M19" i="212"/>
  <c r="L19" i="212"/>
  <c r="I19" i="212"/>
  <c r="E19" i="212"/>
  <c r="AB18" i="212"/>
  <c r="Z18" i="212"/>
  <c r="X18" i="212"/>
  <c r="V18" i="212"/>
  <c r="U18" i="212"/>
  <c r="T18" i="212"/>
  <c r="S18" i="212"/>
  <c r="R18" i="212"/>
  <c r="Q18" i="212"/>
  <c r="P18" i="212"/>
  <c r="O18" i="212"/>
  <c r="N18" i="212"/>
  <c r="M18" i="212"/>
  <c r="L18" i="212"/>
  <c r="I18" i="212"/>
  <c r="E18" i="212"/>
  <c r="AB17" i="212"/>
  <c r="Z17" i="212"/>
  <c r="X17" i="212"/>
  <c r="V17" i="212"/>
  <c r="U17" i="212"/>
  <c r="T17" i="212"/>
  <c r="S17" i="212"/>
  <c r="R17" i="212"/>
  <c r="Q17" i="212"/>
  <c r="P17" i="212"/>
  <c r="O17" i="212"/>
  <c r="N17" i="212"/>
  <c r="M17" i="212"/>
  <c r="L17" i="212"/>
  <c r="I17" i="212"/>
  <c r="E17" i="212"/>
  <c r="AB16" i="212"/>
  <c r="Z16" i="212"/>
  <c r="X16" i="212"/>
  <c r="V16" i="212"/>
  <c r="U16" i="212"/>
  <c r="T16" i="212"/>
  <c r="S16" i="212"/>
  <c r="R16" i="212"/>
  <c r="Q16" i="212"/>
  <c r="P16" i="212"/>
  <c r="O16" i="212"/>
  <c r="N16" i="212"/>
  <c r="M16" i="212"/>
  <c r="L16" i="212"/>
  <c r="I16" i="212"/>
  <c r="E16" i="212"/>
  <c r="AB15" i="212"/>
  <c r="Z15" i="212"/>
  <c r="X15" i="212"/>
  <c r="V15" i="212"/>
  <c r="U15" i="212"/>
  <c r="T15" i="212"/>
  <c r="S15" i="212"/>
  <c r="R15" i="212"/>
  <c r="Q15" i="212"/>
  <c r="P15" i="212"/>
  <c r="O15" i="212"/>
  <c r="N15" i="212"/>
  <c r="M15" i="212"/>
  <c r="L15" i="212"/>
  <c r="I15" i="212"/>
  <c r="E15" i="212"/>
  <c r="AB14" i="212"/>
  <c r="Z14" i="212"/>
  <c r="X14" i="212"/>
  <c r="V14" i="212"/>
  <c r="U14" i="212"/>
  <c r="T14" i="212"/>
  <c r="S14" i="212"/>
  <c r="R14" i="212"/>
  <c r="Q14" i="212"/>
  <c r="P14" i="212"/>
  <c r="O14" i="212"/>
  <c r="N14" i="212"/>
  <c r="M14" i="212"/>
  <c r="L14" i="212"/>
  <c r="I14" i="212"/>
  <c r="E14" i="212"/>
  <c r="AB13" i="212"/>
  <c r="Z13" i="212"/>
  <c r="X13" i="212"/>
  <c r="V13" i="212"/>
  <c r="U13" i="212"/>
  <c r="T13" i="212"/>
  <c r="S13" i="212"/>
  <c r="R13" i="212"/>
  <c r="Q13" i="212"/>
  <c r="P13" i="212"/>
  <c r="O13" i="212"/>
  <c r="N13" i="212"/>
  <c r="M13" i="212"/>
  <c r="L13" i="212"/>
  <c r="I13" i="212"/>
  <c r="E13" i="212"/>
  <c r="AB12" i="212"/>
  <c r="Z12" i="212"/>
  <c r="X12" i="212"/>
  <c r="V12" i="212"/>
  <c r="U12" i="212"/>
  <c r="T12" i="212"/>
  <c r="S12" i="212"/>
  <c r="R12" i="212"/>
  <c r="Q12" i="212"/>
  <c r="P12" i="212"/>
  <c r="O12" i="212"/>
  <c r="N12" i="212"/>
  <c r="M12" i="212"/>
  <c r="L12" i="212"/>
  <c r="I12" i="212"/>
  <c r="E12" i="212"/>
  <c r="AB11" i="212"/>
  <c r="Z11" i="212"/>
  <c r="X11" i="212"/>
  <c r="V11" i="212"/>
  <c r="U11" i="212"/>
  <c r="T11" i="212"/>
  <c r="S11" i="212"/>
  <c r="R11" i="212"/>
  <c r="Q11" i="212"/>
  <c r="P11" i="212"/>
  <c r="O11" i="212"/>
  <c r="N11" i="212"/>
  <c r="M11" i="212"/>
  <c r="L11" i="212"/>
  <c r="I11" i="212"/>
  <c r="E11" i="212"/>
  <c r="AB10" i="212"/>
  <c r="Z10" i="212"/>
  <c r="X10" i="212"/>
  <c r="V10" i="212"/>
  <c r="U10" i="212"/>
  <c r="T10" i="212"/>
  <c r="S10" i="212"/>
  <c r="R10" i="212"/>
  <c r="Q10" i="212"/>
  <c r="P10" i="212"/>
  <c r="O10" i="212"/>
  <c r="N10" i="212"/>
  <c r="M10" i="212"/>
  <c r="L10" i="212"/>
  <c r="I10" i="212"/>
  <c r="E10" i="212"/>
  <c r="AB9" i="212"/>
  <c r="Z9" i="212"/>
  <c r="X9" i="212"/>
  <c r="V9" i="212"/>
  <c r="U9" i="212"/>
  <c r="T9" i="212"/>
  <c r="S9" i="212"/>
  <c r="R9" i="212"/>
  <c r="Q9" i="212"/>
  <c r="P9" i="212"/>
  <c r="O9" i="212"/>
  <c r="N9" i="212"/>
  <c r="M9" i="212"/>
  <c r="L9" i="212"/>
  <c r="I9" i="212"/>
  <c r="E9" i="212"/>
  <c r="AB8" i="212"/>
  <c r="Z8" i="212"/>
  <c r="X8" i="212"/>
  <c r="V8" i="212"/>
  <c r="U8" i="212"/>
  <c r="T8" i="212"/>
  <c r="S8" i="212"/>
  <c r="R8" i="212"/>
  <c r="Q8" i="212"/>
  <c r="P8" i="212"/>
  <c r="O8" i="212"/>
  <c r="N8" i="212"/>
  <c r="M8" i="212"/>
  <c r="L8" i="212"/>
  <c r="I8" i="212"/>
  <c r="E8" i="212"/>
  <c r="AB7" i="212"/>
  <c r="Z7" i="212"/>
  <c r="X7" i="212"/>
  <c r="V7" i="212"/>
  <c r="U7" i="212"/>
  <c r="T7" i="212"/>
  <c r="S7" i="212"/>
  <c r="R7" i="212"/>
  <c r="Q7" i="212"/>
  <c r="P7" i="212"/>
  <c r="O7" i="212"/>
  <c r="N7" i="212"/>
  <c r="M7" i="212"/>
  <c r="L7" i="212"/>
  <c r="I7" i="212"/>
  <c r="E7" i="212"/>
  <c r="AB6" i="212"/>
  <c r="Z6" i="212"/>
  <c r="X6" i="212"/>
  <c r="V6" i="212"/>
  <c r="U6" i="212"/>
  <c r="T6" i="212"/>
  <c r="S6" i="212"/>
  <c r="R6" i="212"/>
  <c r="Q6" i="212"/>
  <c r="P6" i="212"/>
  <c r="O6" i="212"/>
  <c r="N6" i="212"/>
  <c r="M6" i="212"/>
  <c r="L6" i="212"/>
  <c r="I6" i="212"/>
  <c r="E6" i="212"/>
  <c r="J202" i="211"/>
  <c r="I202" i="211"/>
  <c r="H202" i="211"/>
  <c r="G202" i="211"/>
  <c r="F202" i="211"/>
  <c r="E202" i="211"/>
  <c r="C202" i="211"/>
  <c r="J200" i="211"/>
  <c r="I200" i="211"/>
  <c r="H200" i="211"/>
  <c r="G200" i="211"/>
  <c r="F200" i="211"/>
  <c r="E200" i="211"/>
  <c r="C200" i="211"/>
  <c r="J199" i="211"/>
  <c r="I199" i="211"/>
  <c r="H199" i="211"/>
  <c r="G199" i="211"/>
  <c r="F199" i="211"/>
  <c r="E199" i="211"/>
  <c r="J198" i="211"/>
  <c r="I198" i="211"/>
  <c r="J197" i="211"/>
  <c r="I197" i="211"/>
  <c r="J196" i="211"/>
  <c r="I196" i="211"/>
  <c r="J195" i="211"/>
  <c r="I195" i="211"/>
  <c r="J194" i="211"/>
  <c r="I194" i="211"/>
  <c r="J193" i="211"/>
  <c r="I193" i="211"/>
  <c r="J192" i="211"/>
  <c r="I192" i="211"/>
  <c r="J191" i="211"/>
  <c r="I191" i="211"/>
  <c r="J190" i="211"/>
  <c r="I190" i="211"/>
  <c r="J189" i="211"/>
  <c r="I189" i="211"/>
  <c r="J188" i="211"/>
  <c r="I188" i="211"/>
  <c r="J187" i="211"/>
  <c r="I187" i="211"/>
  <c r="J186" i="211"/>
  <c r="I186" i="211"/>
  <c r="J185" i="211"/>
  <c r="I185" i="211"/>
  <c r="J184" i="211"/>
  <c r="I184" i="211"/>
  <c r="J183" i="211"/>
  <c r="I183" i="211"/>
  <c r="J182" i="211"/>
  <c r="I182" i="211"/>
  <c r="J181" i="211"/>
  <c r="I181" i="211"/>
  <c r="J180" i="211"/>
  <c r="I180" i="211"/>
  <c r="J179" i="211"/>
  <c r="I179" i="211"/>
  <c r="J178" i="211"/>
  <c r="I178" i="211"/>
  <c r="J177" i="211"/>
  <c r="I177" i="211"/>
  <c r="J176" i="211"/>
  <c r="I176" i="211"/>
  <c r="J175" i="211"/>
  <c r="I175" i="211"/>
  <c r="J174" i="211"/>
  <c r="I174" i="211"/>
  <c r="J173" i="211"/>
  <c r="I173" i="211"/>
  <c r="J172" i="211"/>
  <c r="I172" i="211"/>
  <c r="J171" i="211"/>
  <c r="I171" i="211"/>
  <c r="J170" i="211"/>
  <c r="I170" i="211"/>
  <c r="J169" i="211"/>
  <c r="I169" i="211"/>
  <c r="J168" i="211"/>
  <c r="I168" i="211"/>
  <c r="J167" i="211"/>
  <c r="I167" i="211"/>
  <c r="H167" i="211"/>
  <c r="J166" i="211"/>
  <c r="I166" i="211"/>
  <c r="J165" i="211"/>
  <c r="I165" i="211"/>
  <c r="J164" i="211"/>
  <c r="I164" i="211"/>
  <c r="J163" i="211"/>
  <c r="I163" i="211"/>
  <c r="J162" i="211"/>
  <c r="I162" i="211"/>
  <c r="J161" i="211"/>
  <c r="I161" i="211"/>
  <c r="J160" i="211"/>
  <c r="I160" i="211"/>
  <c r="J159" i="211"/>
  <c r="I159" i="211"/>
  <c r="J158" i="211"/>
  <c r="I158" i="211"/>
  <c r="J157" i="211"/>
  <c r="I157" i="211"/>
  <c r="J156" i="211"/>
  <c r="I156" i="211"/>
  <c r="H156" i="211"/>
  <c r="J155" i="211"/>
  <c r="I155" i="211"/>
  <c r="J154" i="211"/>
  <c r="I154" i="211"/>
  <c r="J153" i="211"/>
  <c r="I153" i="211"/>
  <c r="J152" i="211"/>
  <c r="I152" i="211"/>
  <c r="J151" i="211"/>
  <c r="I151" i="211"/>
  <c r="J150" i="211"/>
  <c r="I150" i="211"/>
  <c r="H150" i="211"/>
  <c r="J149" i="211"/>
  <c r="I149" i="211"/>
  <c r="J148" i="211"/>
  <c r="I148" i="211"/>
  <c r="J147" i="211"/>
  <c r="I147" i="211"/>
  <c r="H147" i="211"/>
  <c r="J146" i="211"/>
  <c r="I146" i="211"/>
  <c r="J145" i="211"/>
  <c r="I145" i="211"/>
  <c r="J144" i="211"/>
  <c r="I144" i="211"/>
  <c r="J143" i="211"/>
  <c r="I143" i="211"/>
  <c r="H143" i="211"/>
  <c r="J142" i="211"/>
  <c r="I142" i="211"/>
  <c r="H142" i="211"/>
  <c r="J141" i="211"/>
  <c r="I141" i="211"/>
  <c r="H141" i="211"/>
  <c r="J140" i="211"/>
  <c r="I140" i="211"/>
  <c r="H140" i="211"/>
  <c r="J139" i="211"/>
  <c r="I139" i="211"/>
  <c r="H139" i="211"/>
  <c r="E139" i="211"/>
  <c r="J136" i="211"/>
  <c r="I136" i="211"/>
  <c r="H136" i="211"/>
  <c r="G136" i="211"/>
  <c r="F136" i="211"/>
  <c r="E136" i="211"/>
  <c r="J135" i="211"/>
  <c r="I135" i="211"/>
  <c r="J134" i="211"/>
  <c r="I134" i="211"/>
  <c r="J133" i="211"/>
  <c r="I133" i="211"/>
  <c r="J132" i="211"/>
  <c r="I132" i="211"/>
  <c r="J131" i="211"/>
  <c r="I131" i="211"/>
  <c r="H131" i="211"/>
  <c r="J130" i="211"/>
  <c r="I130" i="211"/>
  <c r="H130" i="211"/>
  <c r="J129" i="211"/>
  <c r="I129" i="211"/>
  <c r="J128" i="211"/>
  <c r="I128" i="211"/>
  <c r="H128" i="211"/>
  <c r="J127" i="211"/>
  <c r="I127" i="211"/>
  <c r="H127" i="211"/>
  <c r="J126" i="211"/>
  <c r="I126" i="211"/>
  <c r="H126" i="211"/>
  <c r="J123" i="211"/>
  <c r="I123" i="211"/>
  <c r="H123" i="211"/>
  <c r="G123" i="211"/>
  <c r="F123" i="211"/>
  <c r="E123" i="211"/>
  <c r="I122" i="211"/>
  <c r="I121" i="211"/>
  <c r="J118" i="211"/>
  <c r="I118" i="211"/>
  <c r="H118" i="211"/>
  <c r="G118" i="211"/>
  <c r="F118" i="211"/>
  <c r="E118" i="211"/>
  <c r="J117" i="211"/>
  <c r="I117" i="211"/>
  <c r="H117" i="211"/>
  <c r="I116" i="211"/>
  <c r="I115" i="211"/>
  <c r="J112" i="211"/>
  <c r="I112" i="211"/>
  <c r="H112" i="211"/>
  <c r="G112" i="211"/>
  <c r="F112" i="211"/>
  <c r="E112" i="211"/>
  <c r="I111" i="211"/>
  <c r="I110" i="211"/>
  <c r="I109" i="211"/>
  <c r="I108" i="211"/>
  <c r="J107" i="211"/>
  <c r="I107" i="211"/>
  <c r="H107" i="211"/>
  <c r="J106" i="211"/>
  <c r="I106" i="211"/>
  <c r="H106" i="211"/>
  <c r="I105" i="211"/>
  <c r="J102" i="211"/>
  <c r="I102" i="211"/>
  <c r="H102" i="211"/>
  <c r="G102" i="211"/>
  <c r="F102" i="211"/>
  <c r="E102" i="211"/>
  <c r="J101" i="211"/>
  <c r="I101" i="211"/>
  <c r="J100" i="211"/>
  <c r="I100" i="211"/>
  <c r="J99" i="211"/>
  <c r="I99" i="211"/>
  <c r="H99" i="211"/>
  <c r="J98" i="211"/>
  <c r="I98" i="211"/>
  <c r="J97" i="211"/>
  <c r="I97" i="211"/>
  <c r="H97" i="211"/>
  <c r="J94" i="211"/>
  <c r="I94" i="211"/>
  <c r="H94" i="211"/>
  <c r="G94" i="211"/>
  <c r="F94" i="211"/>
  <c r="E94" i="211"/>
  <c r="I93" i="211"/>
  <c r="I92" i="211"/>
  <c r="J91" i="211"/>
  <c r="I91" i="211"/>
  <c r="H91" i="211"/>
  <c r="I90" i="211"/>
  <c r="I89" i="211"/>
  <c r="I88" i="211"/>
  <c r="I87" i="211"/>
  <c r="I86" i="211"/>
  <c r="I85" i="211"/>
  <c r="J84" i="211"/>
  <c r="I84" i="211"/>
  <c r="H84" i="211"/>
  <c r="E84" i="211"/>
  <c r="J81" i="211"/>
  <c r="I81" i="211"/>
  <c r="H81" i="211"/>
  <c r="G81" i="211"/>
  <c r="F81" i="211"/>
  <c r="E81" i="211"/>
  <c r="I80" i="211"/>
  <c r="I79" i="211"/>
  <c r="I78" i="211"/>
  <c r="J77" i="211"/>
  <c r="I77" i="211"/>
  <c r="H77" i="211"/>
  <c r="I76" i="211"/>
  <c r="I75" i="211"/>
  <c r="J72" i="211"/>
  <c r="I72" i="211"/>
  <c r="H72" i="211"/>
  <c r="G72" i="211"/>
  <c r="F72" i="211"/>
  <c r="E72" i="211"/>
  <c r="I71" i="211"/>
  <c r="I70" i="211"/>
  <c r="I69" i="211"/>
  <c r="I68" i="211"/>
  <c r="I67" i="211"/>
  <c r="I66" i="211"/>
  <c r="J65" i="211"/>
  <c r="I65" i="211"/>
  <c r="H65" i="211"/>
  <c r="J62" i="211"/>
  <c r="I62" i="211"/>
  <c r="H62" i="211"/>
  <c r="G62" i="211"/>
  <c r="F62" i="211"/>
  <c r="E62" i="211"/>
  <c r="I61" i="211"/>
  <c r="I60" i="211"/>
  <c r="J57" i="211"/>
  <c r="I57" i="211"/>
  <c r="H57" i="211"/>
  <c r="G57" i="211"/>
  <c r="F57" i="211"/>
  <c r="E57" i="211"/>
  <c r="I56" i="211"/>
  <c r="I55" i="211"/>
  <c r="I54" i="211"/>
  <c r="I53" i="211"/>
  <c r="I52" i="211"/>
  <c r="J51" i="211"/>
  <c r="I51" i="211"/>
  <c r="H51" i="211"/>
  <c r="I50" i="211"/>
  <c r="I49" i="211"/>
  <c r="J46" i="211"/>
  <c r="I46" i="211"/>
  <c r="H46" i="211"/>
  <c r="G46" i="211"/>
  <c r="F46" i="211"/>
  <c r="E46" i="211"/>
  <c r="I45" i="211"/>
  <c r="I44" i="211"/>
  <c r="I43" i="211"/>
  <c r="I42" i="211"/>
  <c r="J39" i="211"/>
  <c r="I39" i="211"/>
  <c r="H39" i="211"/>
  <c r="G39" i="211"/>
  <c r="F39" i="211"/>
  <c r="E39" i="211"/>
  <c r="J38" i="211"/>
  <c r="I38" i="211"/>
  <c r="J37" i="211"/>
  <c r="I37" i="211"/>
  <c r="J36" i="211"/>
  <c r="I36" i="211"/>
  <c r="J35" i="211"/>
  <c r="I35" i="211"/>
  <c r="J34" i="211"/>
  <c r="I34" i="211"/>
  <c r="H34" i="211"/>
  <c r="J33" i="211"/>
  <c r="I33" i="211"/>
  <c r="J32" i="211"/>
  <c r="I32" i="211"/>
  <c r="J31" i="211"/>
  <c r="I31" i="211"/>
  <c r="J30" i="211"/>
  <c r="I30" i="211"/>
  <c r="J29" i="211"/>
  <c r="I29" i="211"/>
  <c r="J28" i="211"/>
  <c r="I28" i="211"/>
  <c r="J27" i="211"/>
  <c r="I27" i="211"/>
  <c r="J26" i="211"/>
  <c r="I26" i="211"/>
  <c r="J25" i="211"/>
  <c r="I25" i="211"/>
  <c r="J24" i="211"/>
  <c r="I24" i="211"/>
  <c r="J23" i="211"/>
  <c r="I23" i="211"/>
  <c r="J22" i="211"/>
  <c r="I22" i="211"/>
  <c r="H22" i="211"/>
  <c r="F22" i="211"/>
  <c r="J21" i="211"/>
  <c r="I21" i="211"/>
  <c r="J20" i="211"/>
  <c r="I20" i="211"/>
  <c r="H20" i="211"/>
  <c r="J19" i="211"/>
  <c r="I19" i="211"/>
  <c r="H19" i="211"/>
  <c r="J18" i="211"/>
  <c r="I18" i="211"/>
  <c r="J17" i="211"/>
  <c r="I17" i="211"/>
  <c r="J16" i="211"/>
  <c r="I16" i="211"/>
  <c r="J15" i="211"/>
  <c r="I15" i="211"/>
  <c r="F15" i="211"/>
  <c r="J14" i="211"/>
  <c r="I14" i="211"/>
  <c r="J13" i="211"/>
  <c r="I13" i="211"/>
  <c r="H13" i="211"/>
  <c r="J12" i="211"/>
  <c r="I12" i="211"/>
  <c r="H12" i="211"/>
  <c r="F12" i="211"/>
  <c r="J11" i="211"/>
  <c r="I11" i="211"/>
  <c r="H11" i="211"/>
  <c r="J10" i="211"/>
  <c r="I10" i="211"/>
  <c r="J9" i="211"/>
  <c r="I9" i="211"/>
  <c r="J8" i="211"/>
  <c r="I8" i="211"/>
  <c r="E3" i="211"/>
  <c r="AB188" i="209"/>
  <c r="AA188" i="209"/>
  <c r="Z188" i="209"/>
  <c r="X188" i="209"/>
  <c r="AB187" i="209"/>
  <c r="Z187" i="209"/>
  <c r="X187" i="209"/>
  <c r="V187" i="209"/>
  <c r="T187" i="209"/>
  <c r="S187" i="209"/>
  <c r="R187" i="209"/>
  <c r="Q187" i="209"/>
  <c r="P187" i="209"/>
  <c r="O187" i="209"/>
  <c r="N187" i="209"/>
  <c r="M187" i="209"/>
  <c r="L187" i="209"/>
  <c r="I187" i="209"/>
  <c r="E187" i="209"/>
  <c r="AB186" i="209"/>
  <c r="Z186" i="209"/>
  <c r="X186" i="209"/>
  <c r="V186" i="209"/>
  <c r="T186" i="209"/>
  <c r="S186" i="209"/>
  <c r="R186" i="209"/>
  <c r="Q186" i="209"/>
  <c r="P186" i="209"/>
  <c r="O186" i="209"/>
  <c r="N186" i="209"/>
  <c r="M186" i="209"/>
  <c r="L186" i="209"/>
  <c r="I186" i="209"/>
  <c r="E186" i="209"/>
  <c r="AB185" i="209"/>
  <c r="Z185" i="209"/>
  <c r="X185" i="209"/>
  <c r="V185" i="209"/>
  <c r="T185" i="209"/>
  <c r="S185" i="209"/>
  <c r="R185" i="209"/>
  <c r="Q185" i="209"/>
  <c r="P185" i="209"/>
  <c r="O185" i="209"/>
  <c r="N185" i="209"/>
  <c r="M185" i="209"/>
  <c r="L185" i="209"/>
  <c r="I185" i="209"/>
  <c r="E185" i="209"/>
  <c r="AB184" i="209"/>
  <c r="Z184" i="209"/>
  <c r="X184" i="209"/>
  <c r="V184" i="209"/>
  <c r="T184" i="209"/>
  <c r="S184" i="209"/>
  <c r="R184" i="209"/>
  <c r="Q184" i="209"/>
  <c r="P184" i="209"/>
  <c r="O184" i="209"/>
  <c r="N184" i="209"/>
  <c r="M184" i="209"/>
  <c r="L184" i="209"/>
  <c r="I184" i="209"/>
  <c r="E184" i="209"/>
  <c r="AB183" i="209"/>
  <c r="Z183" i="209"/>
  <c r="X183" i="209"/>
  <c r="V183" i="209"/>
  <c r="T183" i="209"/>
  <c r="S183" i="209"/>
  <c r="R183" i="209"/>
  <c r="Q183" i="209"/>
  <c r="P183" i="209"/>
  <c r="O183" i="209"/>
  <c r="N183" i="209"/>
  <c r="M183" i="209"/>
  <c r="L183" i="209"/>
  <c r="I183" i="209"/>
  <c r="E183" i="209"/>
  <c r="AB182" i="209"/>
  <c r="Z182" i="209"/>
  <c r="X182" i="209"/>
  <c r="V182" i="209"/>
  <c r="T182" i="209"/>
  <c r="S182" i="209"/>
  <c r="R182" i="209"/>
  <c r="Q182" i="209"/>
  <c r="P182" i="209"/>
  <c r="O182" i="209"/>
  <c r="N182" i="209"/>
  <c r="M182" i="209"/>
  <c r="L182" i="209"/>
  <c r="I182" i="209"/>
  <c r="E182" i="209"/>
  <c r="AB181" i="209"/>
  <c r="Z181" i="209"/>
  <c r="X181" i="209"/>
  <c r="V181" i="209"/>
  <c r="T181" i="209"/>
  <c r="S181" i="209"/>
  <c r="R181" i="209"/>
  <c r="Q181" i="209"/>
  <c r="P181" i="209"/>
  <c r="O181" i="209"/>
  <c r="N181" i="209"/>
  <c r="M181" i="209"/>
  <c r="L181" i="209"/>
  <c r="I181" i="209"/>
  <c r="E181" i="209"/>
  <c r="AB180" i="209"/>
  <c r="Z180" i="209"/>
  <c r="X180" i="209"/>
  <c r="V180" i="209"/>
  <c r="T180" i="209"/>
  <c r="S180" i="209"/>
  <c r="R180" i="209"/>
  <c r="Q180" i="209"/>
  <c r="P180" i="209"/>
  <c r="O180" i="209"/>
  <c r="N180" i="209"/>
  <c r="M180" i="209"/>
  <c r="L180" i="209"/>
  <c r="I180" i="209"/>
  <c r="E180" i="209"/>
  <c r="AB179" i="209"/>
  <c r="Z179" i="209"/>
  <c r="X179" i="209"/>
  <c r="V179" i="209"/>
  <c r="T179" i="209"/>
  <c r="S179" i="209"/>
  <c r="R179" i="209"/>
  <c r="Q179" i="209"/>
  <c r="P179" i="209"/>
  <c r="O179" i="209"/>
  <c r="N179" i="209"/>
  <c r="M179" i="209"/>
  <c r="L179" i="209"/>
  <c r="I179" i="209"/>
  <c r="E179" i="209"/>
  <c r="Z178" i="209"/>
  <c r="X178" i="209"/>
  <c r="V178" i="209"/>
  <c r="T178" i="209"/>
  <c r="S178" i="209"/>
  <c r="R178" i="209"/>
  <c r="Q178" i="209"/>
  <c r="P178" i="209"/>
  <c r="O178" i="209"/>
  <c r="N178" i="209"/>
  <c r="AB177" i="209"/>
  <c r="Z177" i="209"/>
  <c r="X177" i="209"/>
  <c r="V177" i="209"/>
  <c r="T177" i="209"/>
  <c r="S177" i="209"/>
  <c r="R177" i="209"/>
  <c r="Q177" i="209"/>
  <c r="P177" i="209"/>
  <c r="O177" i="209"/>
  <c r="N177" i="209"/>
  <c r="M177" i="209"/>
  <c r="L177" i="209"/>
  <c r="I177" i="209"/>
  <c r="E177" i="209"/>
  <c r="AB176" i="209"/>
  <c r="Z176" i="209"/>
  <c r="X176" i="209"/>
  <c r="V176" i="209"/>
  <c r="T176" i="209"/>
  <c r="S176" i="209"/>
  <c r="R176" i="209"/>
  <c r="Q176" i="209"/>
  <c r="P176" i="209"/>
  <c r="O176" i="209"/>
  <c r="N176" i="209"/>
  <c r="M176" i="209"/>
  <c r="L176" i="209"/>
  <c r="I176" i="209"/>
  <c r="E176" i="209"/>
  <c r="AB175" i="209"/>
  <c r="Z175" i="209"/>
  <c r="X175" i="209"/>
  <c r="V175" i="209"/>
  <c r="T175" i="209"/>
  <c r="S175" i="209"/>
  <c r="R175" i="209"/>
  <c r="Q175" i="209"/>
  <c r="P175" i="209"/>
  <c r="O175" i="209"/>
  <c r="N175" i="209"/>
  <c r="M175" i="209"/>
  <c r="L175" i="209"/>
  <c r="I175" i="209"/>
  <c r="E175" i="209"/>
  <c r="AB174" i="209"/>
  <c r="Z174" i="209"/>
  <c r="X174" i="209"/>
  <c r="V174" i="209"/>
  <c r="T174" i="209"/>
  <c r="S174" i="209"/>
  <c r="R174" i="209"/>
  <c r="Q174" i="209"/>
  <c r="P174" i="209"/>
  <c r="O174" i="209"/>
  <c r="N174" i="209"/>
  <c r="M174" i="209"/>
  <c r="L174" i="209"/>
  <c r="I174" i="209"/>
  <c r="E174" i="209"/>
  <c r="AB173" i="209"/>
  <c r="Z173" i="209"/>
  <c r="X173" i="209"/>
  <c r="V173" i="209"/>
  <c r="T173" i="209"/>
  <c r="S173" i="209"/>
  <c r="R173" i="209"/>
  <c r="Q173" i="209"/>
  <c r="P173" i="209"/>
  <c r="O173" i="209"/>
  <c r="N173" i="209"/>
  <c r="M173" i="209"/>
  <c r="L173" i="209"/>
  <c r="I173" i="209"/>
  <c r="E173" i="209"/>
  <c r="AB172" i="209"/>
  <c r="Z172" i="209"/>
  <c r="X172" i="209"/>
  <c r="V172" i="209"/>
  <c r="T172" i="209"/>
  <c r="S172" i="209"/>
  <c r="R172" i="209"/>
  <c r="Q172" i="209"/>
  <c r="P172" i="209"/>
  <c r="O172" i="209"/>
  <c r="N172" i="209"/>
  <c r="M172" i="209"/>
  <c r="L172" i="209"/>
  <c r="I172" i="209"/>
  <c r="E172" i="209"/>
  <c r="AB171" i="209"/>
  <c r="Z171" i="209"/>
  <c r="X171" i="209"/>
  <c r="V171" i="209"/>
  <c r="T171" i="209"/>
  <c r="S171" i="209"/>
  <c r="R171" i="209"/>
  <c r="Q171" i="209"/>
  <c r="P171" i="209"/>
  <c r="O171" i="209"/>
  <c r="N171" i="209"/>
  <c r="M171" i="209"/>
  <c r="L171" i="209"/>
  <c r="I171" i="209"/>
  <c r="E171" i="209"/>
  <c r="AB170" i="209"/>
  <c r="Z170" i="209"/>
  <c r="X170" i="209"/>
  <c r="V170" i="209"/>
  <c r="T170" i="209"/>
  <c r="S170" i="209"/>
  <c r="R170" i="209"/>
  <c r="Q170" i="209"/>
  <c r="P170" i="209"/>
  <c r="O170" i="209"/>
  <c r="N170" i="209"/>
  <c r="M170" i="209"/>
  <c r="L170" i="209"/>
  <c r="I170" i="209"/>
  <c r="E170" i="209"/>
  <c r="AB169" i="209"/>
  <c r="Z169" i="209"/>
  <c r="X169" i="209"/>
  <c r="V169" i="209"/>
  <c r="T169" i="209"/>
  <c r="S169" i="209"/>
  <c r="R169" i="209"/>
  <c r="Q169" i="209"/>
  <c r="P169" i="209"/>
  <c r="O169" i="209"/>
  <c r="N169" i="209"/>
  <c r="M169" i="209"/>
  <c r="L169" i="209"/>
  <c r="I169" i="209"/>
  <c r="E169" i="209"/>
  <c r="AB168" i="209"/>
  <c r="Z168" i="209"/>
  <c r="X168" i="209"/>
  <c r="V168" i="209"/>
  <c r="T168" i="209"/>
  <c r="S168" i="209"/>
  <c r="R168" i="209"/>
  <c r="Q168" i="209"/>
  <c r="P168" i="209"/>
  <c r="O168" i="209"/>
  <c r="N168" i="209"/>
  <c r="M168" i="209"/>
  <c r="L168" i="209"/>
  <c r="I168" i="209"/>
  <c r="E168" i="209"/>
  <c r="AB167" i="209"/>
  <c r="Z167" i="209"/>
  <c r="X167" i="209"/>
  <c r="V167" i="209"/>
  <c r="T167" i="209"/>
  <c r="S167" i="209"/>
  <c r="R167" i="209"/>
  <c r="Q167" i="209"/>
  <c r="P167" i="209"/>
  <c r="O167" i="209"/>
  <c r="N167" i="209"/>
  <c r="M167" i="209"/>
  <c r="L167" i="209"/>
  <c r="I167" i="209"/>
  <c r="E167" i="209"/>
  <c r="AB166" i="209"/>
  <c r="Z166" i="209"/>
  <c r="X166" i="209"/>
  <c r="V166" i="209"/>
  <c r="T166" i="209"/>
  <c r="S166" i="209"/>
  <c r="R166" i="209"/>
  <c r="Q166" i="209"/>
  <c r="P166" i="209"/>
  <c r="O166" i="209"/>
  <c r="N166" i="209"/>
  <c r="M166" i="209"/>
  <c r="L166" i="209"/>
  <c r="I166" i="209"/>
  <c r="E166" i="209"/>
  <c r="AB165" i="209"/>
  <c r="Z165" i="209"/>
  <c r="X165" i="209"/>
  <c r="V165" i="209"/>
  <c r="T165" i="209"/>
  <c r="S165" i="209"/>
  <c r="R165" i="209"/>
  <c r="Q165" i="209"/>
  <c r="P165" i="209"/>
  <c r="O165" i="209"/>
  <c r="N165" i="209"/>
  <c r="M165" i="209"/>
  <c r="L165" i="209"/>
  <c r="I165" i="209"/>
  <c r="E165" i="209"/>
  <c r="AB164" i="209"/>
  <c r="Z164" i="209"/>
  <c r="X164" i="209"/>
  <c r="V164" i="209"/>
  <c r="T164" i="209"/>
  <c r="S164" i="209"/>
  <c r="R164" i="209"/>
  <c r="Q164" i="209"/>
  <c r="P164" i="209"/>
  <c r="O164" i="209"/>
  <c r="N164" i="209"/>
  <c r="M164" i="209"/>
  <c r="L164" i="209"/>
  <c r="I164" i="209"/>
  <c r="E164" i="209"/>
  <c r="AB163" i="209"/>
  <c r="Z163" i="209"/>
  <c r="X163" i="209"/>
  <c r="V163" i="209"/>
  <c r="T163" i="209"/>
  <c r="S163" i="209"/>
  <c r="R163" i="209"/>
  <c r="Q163" i="209"/>
  <c r="P163" i="209"/>
  <c r="O163" i="209"/>
  <c r="N163" i="209"/>
  <c r="M163" i="209"/>
  <c r="L163" i="209"/>
  <c r="I163" i="209"/>
  <c r="E163" i="209"/>
  <c r="AB162" i="209"/>
  <c r="Z162" i="209"/>
  <c r="X162" i="209"/>
  <c r="V162" i="209"/>
  <c r="T162" i="209"/>
  <c r="S162" i="209"/>
  <c r="R162" i="209"/>
  <c r="Q162" i="209"/>
  <c r="P162" i="209"/>
  <c r="O162" i="209"/>
  <c r="N162" i="209"/>
  <c r="M162" i="209"/>
  <c r="L162" i="209"/>
  <c r="I162" i="209"/>
  <c r="E162" i="209"/>
  <c r="AB161" i="209"/>
  <c r="Z161" i="209"/>
  <c r="X161" i="209"/>
  <c r="V161" i="209"/>
  <c r="T161" i="209"/>
  <c r="S161" i="209"/>
  <c r="R161" i="209"/>
  <c r="Q161" i="209"/>
  <c r="P161" i="209"/>
  <c r="O161" i="209"/>
  <c r="N161" i="209"/>
  <c r="M161" i="209"/>
  <c r="L161" i="209"/>
  <c r="I161" i="209"/>
  <c r="E161" i="209"/>
  <c r="AB160" i="209"/>
  <c r="Z160" i="209"/>
  <c r="X160" i="209"/>
  <c r="V160" i="209"/>
  <c r="T160" i="209"/>
  <c r="S160" i="209"/>
  <c r="R160" i="209"/>
  <c r="Q160" i="209"/>
  <c r="P160" i="209"/>
  <c r="O160" i="209"/>
  <c r="N160" i="209"/>
  <c r="M160" i="209"/>
  <c r="L160" i="209"/>
  <c r="I160" i="209"/>
  <c r="E160" i="209"/>
  <c r="AB159" i="209"/>
  <c r="Z159" i="209"/>
  <c r="X159" i="209"/>
  <c r="V159" i="209"/>
  <c r="T159" i="209"/>
  <c r="S159" i="209"/>
  <c r="R159" i="209"/>
  <c r="Q159" i="209"/>
  <c r="P159" i="209"/>
  <c r="O159" i="209"/>
  <c r="N159" i="209"/>
  <c r="M159" i="209"/>
  <c r="L159" i="209"/>
  <c r="I159" i="209"/>
  <c r="E159" i="209"/>
  <c r="AB158" i="209"/>
  <c r="Z158" i="209"/>
  <c r="X158" i="209"/>
  <c r="V158" i="209"/>
  <c r="T158" i="209"/>
  <c r="S158" i="209"/>
  <c r="R158" i="209"/>
  <c r="Q158" i="209"/>
  <c r="P158" i="209"/>
  <c r="O158" i="209"/>
  <c r="N158" i="209"/>
  <c r="M158" i="209"/>
  <c r="L158" i="209"/>
  <c r="I158" i="209"/>
  <c r="E158" i="209"/>
  <c r="AB157" i="209"/>
  <c r="Z157" i="209"/>
  <c r="X157" i="209"/>
  <c r="V157" i="209"/>
  <c r="T157" i="209"/>
  <c r="S157" i="209"/>
  <c r="R157" i="209"/>
  <c r="Q157" i="209"/>
  <c r="P157" i="209"/>
  <c r="O157" i="209"/>
  <c r="N157" i="209"/>
  <c r="M157" i="209"/>
  <c r="L157" i="209"/>
  <c r="I157" i="209"/>
  <c r="E157" i="209"/>
  <c r="AB156" i="209"/>
  <c r="Z156" i="209"/>
  <c r="X156" i="209"/>
  <c r="V156" i="209"/>
  <c r="T156" i="209"/>
  <c r="S156" i="209"/>
  <c r="R156" i="209"/>
  <c r="Q156" i="209"/>
  <c r="P156" i="209"/>
  <c r="O156" i="209"/>
  <c r="N156" i="209"/>
  <c r="M156" i="209"/>
  <c r="L156" i="209"/>
  <c r="I156" i="209"/>
  <c r="E156" i="209"/>
  <c r="AB155" i="209"/>
  <c r="Z155" i="209"/>
  <c r="X155" i="209"/>
  <c r="V155" i="209"/>
  <c r="T155" i="209"/>
  <c r="S155" i="209"/>
  <c r="R155" i="209"/>
  <c r="Q155" i="209"/>
  <c r="P155" i="209"/>
  <c r="O155" i="209"/>
  <c r="N155" i="209"/>
  <c r="M155" i="209"/>
  <c r="L155" i="209"/>
  <c r="I155" i="209"/>
  <c r="E155" i="209"/>
  <c r="AB154" i="209"/>
  <c r="Z154" i="209"/>
  <c r="X154" i="209"/>
  <c r="V154" i="209"/>
  <c r="T154" i="209"/>
  <c r="S154" i="209"/>
  <c r="R154" i="209"/>
  <c r="Q154" i="209"/>
  <c r="P154" i="209"/>
  <c r="O154" i="209"/>
  <c r="N154" i="209"/>
  <c r="M154" i="209"/>
  <c r="L154" i="209"/>
  <c r="I154" i="209"/>
  <c r="E154" i="209"/>
  <c r="AB153" i="209"/>
  <c r="Z153" i="209"/>
  <c r="X153" i="209"/>
  <c r="V153" i="209"/>
  <c r="T153" i="209"/>
  <c r="S153" i="209"/>
  <c r="R153" i="209"/>
  <c r="Q153" i="209"/>
  <c r="P153" i="209"/>
  <c r="O153" i="209"/>
  <c r="N153" i="209"/>
  <c r="M153" i="209"/>
  <c r="L153" i="209"/>
  <c r="I153" i="209"/>
  <c r="E153" i="209"/>
  <c r="AB152" i="209"/>
  <c r="Z152" i="209"/>
  <c r="X152" i="209"/>
  <c r="V152" i="209"/>
  <c r="T152" i="209"/>
  <c r="S152" i="209"/>
  <c r="R152" i="209"/>
  <c r="Q152" i="209"/>
  <c r="P152" i="209"/>
  <c r="O152" i="209"/>
  <c r="N152" i="209"/>
  <c r="M152" i="209"/>
  <c r="L152" i="209"/>
  <c r="I152" i="209"/>
  <c r="E152" i="209"/>
  <c r="AB151" i="209"/>
  <c r="Z151" i="209"/>
  <c r="X151" i="209"/>
  <c r="V151" i="209"/>
  <c r="T151" i="209"/>
  <c r="S151" i="209"/>
  <c r="R151" i="209"/>
  <c r="Q151" i="209"/>
  <c r="P151" i="209"/>
  <c r="O151" i="209"/>
  <c r="N151" i="209"/>
  <c r="M151" i="209"/>
  <c r="L151" i="209"/>
  <c r="I151" i="209"/>
  <c r="E151" i="209"/>
  <c r="AB150" i="209"/>
  <c r="Z150" i="209"/>
  <c r="X150" i="209"/>
  <c r="V150" i="209"/>
  <c r="T150" i="209"/>
  <c r="S150" i="209"/>
  <c r="R150" i="209"/>
  <c r="Q150" i="209"/>
  <c r="P150" i="209"/>
  <c r="O150" i="209"/>
  <c r="N150" i="209"/>
  <c r="M150" i="209"/>
  <c r="L150" i="209"/>
  <c r="I150" i="209"/>
  <c r="E150" i="209"/>
  <c r="AB149" i="209"/>
  <c r="Z149" i="209"/>
  <c r="X149" i="209"/>
  <c r="V149" i="209"/>
  <c r="T149" i="209"/>
  <c r="S149" i="209"/>
  <c r="R149" i="209"/>
  <c r="Q149" i="209"/>
  <c r="P149" i="209"/>
  <c r="O149" i="209"/>
  <c r="N149" i="209"/>
  <c r="M149" i="209"/>
  <c r="L149" i="209"/>
  <c r="I149" i="209"/>
  <c r="E149" i="209"/>
  <c r="AB148" i="209"/>
  <c r="Z148" i="209"/>
  <c r="X148" i="209"/>
  <c r="V148" i="209"/>
  <c r="U148" i="209"/>
  <c r="T148" i="209"/>
  <c r="S148" i="209"/>
  <c r="R148" i="209"/>
  <c r="Q148" i="209"/>
  <c r="P148" i="209"/>
  <c r="O148" i="209"/>
  <c r="N148" i="209"/>
  <c r="M148" i="209"/>
  <c r="L148" i="209"/>
  <c r="I148" i="209"/>
  <c r="E148" i="209"/>
  <c r="AB147" i="209"/>
  <c r="Z147" i="209"/>
  <c r="X147" i="209"/>
  <c r="V147" i="209"/>
  <c r="U147" i="209"/>
  <c r="T147" i="209"/>
  <c r="S147" i="209"/>
  <c r="R147" i="209"/>
  <c r="Q147" i="209"/>
  <c r="P147" i="209"/>
  <c r="O147" i="209"/>
  <c r="N147" i="209"/>
  <c r="M147" i="209"/>
  <c r="L147" i="209"/>
  <c r="I147" i="209"/>
  <c r="E147" i="209"/>
  <c r="AB146" i="209"/>
  <c r="Z146" i="209"/>
  <c r="X146" i="209"/>
  <c r="V146" i="209"/>
  <c r="U146" i="209"/>
  <c r="T146" i="209"/>
  <c r="S146" i="209"/>
  <c r="R146" i="209"/>
  <c r="Q146" i="209"/>
  <c r="P146" i="209"/>
  <c r="O146" i="209"/>
  <c r="N146" i="209"/>
  <c r="M146" i="209"/>
  <c r="L146" i="209"/>
  <c r="I146" i="209"/>
  <c r="E146" i="209"/>
  <c r="AB145" i="209"/>
  <c r="Z145" i="209"/>
  <c r="X145" i="209"/>
  <c r="V145" i="209"/>
  <c r="U145" i="209"/>
  <c r="T145" i="209"/>
  <c r="S145" i="209"/>
  <c r="R145" i="209"/>
  <c r="Q145" i="209"/>
  <c r="P145" i="209"/>
  <c r="O145" i="209"/>
  <c r="N145" i="209"/>
  <c r="M145" i="209"/>
  <c r="L145" i="209"/>
  <c r="I145" i="209"/>
  <c r="E145" i="209"/>
  <c r="AB144" i="209"/>
  <c r="Z144" i="209"/>
  <c r="X144" i="209"/>
  <c r="V144" i="209"/>
  <c r="U144" i="209"/>
  <c r="T144" i="209"/>
  <c r="S144" i="209"/>
  <c r="R144" i="209"/>
  <c r="Q144" i="209"/>
  <c r="P144" i="209"/>
  <c r="O144" i="209"/>
  <c r="N144" i="209"/>
  <c r="M144" i="209"/>
  <c r="L144" i="209"/>
  <c r="I144" i="209"/>
  <c r="E144" i="209"/>
  <c r="AB143" i="209"/>
  <c r="Z143" i="209"/>
  <c r="X143" i="209"/>
  <c r="V143" i="209"/>
  <c r="U143" i="209"/>
  <c r="T143" i="209"/>
  <c r="S143" i="209"/>
  <c r="R143" i="209"/>
  <c r="Q143" i="209"/>
  <c r="P143" i="209"/>
  <c r="O143" i="209"/>
  <c r="N143" i="209"/>
  <c r="M143" i="209"/>
  <c r="L143" i="209"/>
  <c r="I143" i="209"/>
  <c r="E143" i="209"/>
  <c r="AB142" i="209"/>
  <c r="Z142" i="209"/>
  <c r="X142" i="209"/>
  <c r="V142" i="209"/>
  <c r="U142" i="209"/>
  <c r="T142" i="209"/>
  <c r="S142" i="209"/>
  <c r="R142" i="209"/>
  <c r="Q142" i="209"/>
  <c r="P142" i="209"/>
  <c r="O142" i="209"/>
  <c r="N142" i="209"/>
  <c r="M142" i="209"/>
  <c r="L142" i="209"/>
  <c r="I142" i="209"/>
  <c r="E142" i="209"/>
  <c r="AB141" i="209"/>
  <c r="Z141" i="209"/>
  <c r="X141" i="209"/>
  <c r="V141" i="209"/>
  <c r="U141" i="209"/>
  <c r="T141" i="209"/>
  <c r="S141" i="209"/>
  <c r="R141" i="209"/>
  <c r="Q141" i="209"/>
  <c r="P141" i="209"/>
  <c r="O141" i="209"/>
  <c r="N141" i="209"/>
  <c r="M141" i="209"/>
  <c r="L141" i="209"/>
  <c r="I141" i="209"/>
  <c r="E141" i="209"/>
  <c r="AB140" i="209"/>
  <c r="Z140" i="209"/>
  <c r="X140" i="209"/>
  <c r="V140" i="209"/>
  <c r="U140" i="209"/>
  <c r="T140" i="209"/>
  <c r="S140" i="209"/>
  <c r="R140" i="209"/>
  <c r="Q140" i="209"/>
  <c r="P140" i="209"/>
  <c r="O140" i="209"/>
  <c r="N140" i="209"/>
  <c r="M140" i="209"/>
  <c r="L140" i="209"/>
  <c r="I140" i="209"/>
  <c r="E140" i="209"/>
  <c r="AB139" i="209"/>
  <c r="Z139" i="209"/>
  <c r="X139" i="209"/>
  <c r="V139" i="209"/>
  <c r="U139" i="209"/>
  <c r="T139" i="209"/>
  <c r="S139" i="209"/>
  <c r="R139" i="209"/>
  <c r="Q139" i="209"/>
  <c r="P139" i="209"/>
  <c r="O139" i="209"/>
  <c r="N139" i="209"/>
  <c r="M139" i="209"/>
  <c r="L139" i="209"/>
  <c r="I139" i="209"/>
  <c r="E139" i="209"/>
  <c r="AB138" i="209"/>
  <c r="Z138" i="209"/>
  <c r="X138" i="209"/>
  <c r="V138" i="209"/>
  <c r="U138" i="209"/>
  <c r="T138" i="209"/>
  <c r="S138" i="209"/>
  <c r="R138" i="209"/>
  <c r="Q138" i="209"/>
  <c r="P138" i="209"/>
  <c r="O138" i="209"/>
  <c r="N138" i="209"/>
  <c r="M138" i="209"/>
  <c r="L138" i="209"/>
  <c r="I138" i="209"/>
  <c r="E138" i="209"/>
  <c r="AB137" i="209"/>
  <c r="Z137" i="209"/>
  <c r="X137" i="209"/>
  <c r="V137" i="209"/>
  <c r="U137" i="209"/>
  <c r="T137" i="209"/>
  <c r="S137" i="209"/>
  <c r="R137" i="209"/>
  <c r="Q137" i="209"/>
  <c r="P137" i="209"/>
  <c r="O137" i="209"/>
  <c r="N137" i="209"/>
  <c r="M137" i="209"/>
  <c r="L137" i="209"/>
  <c r="I137" i="209"/>
  <c r="E137" i="209"/>
  <c r="AB136" i="209"/>
  <c r="Z136" i="209"/>
  <c r="X136" i="209"/>
  <c r="V136" i="209"/>
  <c r="U136" i="209"/>
  <c r="T136" i="209"/>
  <c r="S136" i="209"/>
  <c r="R136" i="209"/>
  <c r="Q136" i="209"/>
  <c r="P136" i="209"/>
  <c r="O136" i="209"/>
  <c r="N136" i="209"/>
  <c r="M136" i="209"/>
  <c r="L136" i="209"/>
  <c r="I136" i="209"/>
  <c r="E136" i="209"/>
  <c r="AB135" i="209"/>
  <c r="Z135" i="209"/>
  <c r="X135" i="209"/>
  <c r="V135" i="209"/>
  <c r="U135" i="209"/>
  <c r="T135" i="209"/>
  <c r="S135" i="209"/>
  <c r="R135" i="209"/>
  <c r="Q135" i="209"/>
  <c r="P135" i="209"/>
  <c r="O135" i="209"/>
  <c r="N135" i="209"/>
  <c r="M135" i="209"/>
  <c r="L135" i="209"/>
  <c r="I135" i="209"/>
  <c r="E135" i="209"/>
  <c r="AB134" i="209"/>
  <c r="Z134" i="209"/>
  <c r="X134" i="209"/>
  <c r="V134" i="209"/>
  <c r="U134" i="209"/>
  <c r="T134" i="209"/>
  <c r="S134" i="209"/>
  <c r="R134" i="209"/>
  <c r="Q134" i="209"/>
  <c r="P134" i="209"/>
  <c r="O134" i="209"/>
  <c r="N134" i="209"/>
  <c r="M134" i="209"/>
  <c r="L134" i="209"/>
  <c r="I134" i="209"/>
  <c r="E134" i="209"/>
  <c r="AB133" i="209"/>
  <c r="Z133" i="209"/>
  <c r="X133" i="209"/>
  <c r="V133" i="209"/>
  <c r="U133" i="209"/>
  <c r="T133" i="209"/>
  <c r="S133" i="209"/>
  <c r="R133" i="209"/>
  <c r="Q133" i="209"/>
  <c r="P133" i="209"/>
  <c r="O133" i="209"/>
  <c r="N133" i="209"/>
  <c r="M133" i="209"/>
  <c r="L133" i="209"/>
  <c r="I133" i="209"/>
  <c r="E133" i="209"/>
  <c r="AB132" i="209"/>
  <c r="Z132" i="209"/>
  <c r="X132" i="209"/>
  <c r="V132" i="209"/>
  <c r="U132" i="209"/>
  <c r="T132" i="209"/>
  <c r="S132" i="209"/>
  <c r="R132" i="209"/>
  <c r="Q132" i="209"/>
  <c r="P132" i="209"/>
  <c r="O132" i="209"/>
  <c r="N132" i="209"/>
  <c r="M132" i="209"/>
  <c r="L132" i="209"/>
  <c r="I132" i="209"/>
  <c r="E132" i="209"/>
  <c r="AB131" i="209"/>
  <c r="Z131" i="209"/>
  <c r="X131" i="209"/>
  <c r="V131" i="209"/>
  <c r="U131" i="209"/>
  <c r="T131" i="209"/>
  <c r="S131" i="209"/>
  <c r="R131" i="209"/>
  <c r="Q131" i="209"/>
  <c r="P131" i="209"/>
  <c r="O131" i="209"/>
  <c r="N131" i="209"/>
  <c r="M131" i="209"/>
  <c r="L131" i="209"/>
  <c r="I131" i="209"/>
  <c r="E131" i="209"/>
  <c r="AB130" i="209"/>
  <c r="Z130" i="209"/>
  <c r="X130" i="209"/>
  <c r="V130" i="209"/>
  <c r="U130" i="209"/>
  <c r="T130" i="209"/>
  <c r="S130" i="209"/>
  <c r="R130" i="209"/>
  <c r="Q130" i="209"/>
  <c r="P130" i="209"/>
  <c r="O130" i="209"/>
  <c r="N130" i="209"/>
  <c r="M130" i="209"/>
  <c r="L130" i="209"/>
  <c r="I130" i="209"/>
  <c r="E130" i="209"/>
  <c r="AB129" i="209"/>
  <c r="Z129" i="209"/>
  <c r="X129" i="209"/>
  <c r="V129" i="209"/>
  <c r="U129" i="209"/>
  <c r="T129" i="209"/>
  <c r="S129" i="209"/>
  <c r="R129" i="209"/>
  <c r="Q129" i="209"/>
  <c r="P129" i="209"/>
  <c r="O129" i="209"/>
  <c r="N129" i="209"/>
  <c r="M129" i="209"/>
  <c r="L129" i="209"/>
  <c r="I129" i="209"/>
  <c r="E129" i="209"/>
  <c r="AB128" i="209"/>
  <c r="Z128" i="209"/>
  <c r="X128" i="209"/>
  <c r="V128" i="209"/>
  <c r="U128" i="209"/>
  <c r="T128" i="209"/>
  <c r="S128" i="209"/>
  <c r="R128" i="209"/>
  <c r="Q128" i="209"/>
  <c r="P128" i="209"/>
  <c r="O128" i="209"/>
  <c r="N128" i="209"/>
  <c r="M128" i="209"/>
  <c r="L128" i="209"/>
  <c r="I128" i="209"/>
  <c r="E128" i="209"/>
  <c r="AB124" i="209"/>
  <c r="Z124" i="209"/>
  <c r="X124" i="209"/>
  <c r="V124" i="209"/>
  <c r="T124" i="209"/>
  <c r="S124" i="209"/>
  <c r="R124" i="209"/>
  <c r="Q124" i="209"/>
  <c r="P124" i="209"/>
  <c r="O124" i="209"/>
  <c r="N124" i="209"/>
  <c r="M124" i="209"/>
  <c r="L124" i="209"/>
  <c r="I124" i="209"/>
  <c r="E124" i="209"/>
  <c r="AB123" i="209"/>
  <c r="Z123" i="209"/>
  <c r="X123" i="209"/>
  <c r="V123" i="209"/>
  <c r="T123" i="209"/>
  <c r="S123" i="209"/>
  <c r="R123" i="209"/>
  <c r="Q123" i="209"/>
  <c r="P123" i="209"/>
  <c r="O123" i="209"/>
  <c r="N123" i="209"/>
  <c r="M123" i="209"/>
  <c r="L123" i="209"/>
  <c r="I123" i="209"/>
  <c r="E123" i="209"/>
  <c r="AB122" i="209"/>
  <c r="Z122" i="209"/>
  <c r="X122" i="209"/>
  <c r="V122" i="209"/>
  <c r="T122" i="209"/>
  <c r="S122" i="209"/>
  <c r="R122" i="209"/>
  <c r="Q122" i="209"/>
  <c r="P122" i="209"/>
  <c r="O122" i="209"/>
  <c r="N122" i="209"/>
  <c r="M122" i="209"/>
  <c r="L122" i="209"/>
  <c r="I122" i="209"/>
  <c r="E122" i="209"/>
  <c r="AB121" i="209"/>
  <c r="Z121" i="209"/>
  <c r="X121" i="209"/>
  <c r="V121" i="209"/>
  <c r="U121" i="209"/>
  <c r="T121" i="209"/>
  <c r="S121" i="209"/>
  <c r="R121" i="209"/>
  <c r="Q121" i="209"/>
  <c r="P121" i="209"/>
  <c r="O121" i="209"/>
  <c r="N121" i="209"/>
  <c r="M121" i="209"/>
  <c r="L121" i="209"/>
  <c r="I121" i="209"/>
  <c r="E121" i="209"/>
  <c r="AB120" i="209"/>
  <c r="Z120" i="209"/>
  <c r="X120" i="209"/>
  <c r="V120" i="209"/>
  <c r="U120" i="209"/>
  <c r="T120" i="209"/>
  <c r="S120" i="209"/>
  <c r="R120" i="209"/>
  <c r="Q120" i="209"/>
  <c r="P120" i="209"/>
  <c r="O120" i="209"/>
  <c r="N120" i="209"/>
  <c r="M120" i="209"/>
  <c r="L120" i="209"/>
  <c r="I120" i="209"/>
  <c r="E120" i="209"/>
  <c r="AB119" i="209"/>
  <c r="Z119" i="209"/>
  <c r="X119" i="209"/>
  <c r="V119" i="209"/>
  <c r="U119" i="209"/>
  <c r="T119" i="209"/>
  <c r="S119" i="209"/>
  <c r="R119" i="209"/>
  <c r="Q119" i="209"/>
  <c r="P119" i="209"/>
  <c r="O119" i="209"/>
  <c r="N119" i="209"/>
  <c r="M119" i="209"/>
  <c r="L119" i="209"/>
  <c r="I119" i="209"/>
  <c r="E119" i="209"/>
  <c r="AB118" i="209"/>
  <c r="Z118" i="209"/>
  <c r="X118" i="209"/>
  <c r="V118" i="209"/>
  <c r="U118" i="209"/>
  <c r="T118" i="209"/>
  <c r="S118" i="209"/>
  <c r="R118" i="209"/>
  <c r="Q118" i="209"/>
  <c r="P118" i="209"/>
  <c r="O118" i="209"/>
  <c r="N118" i="209"/>
  <c r="M118" i="209"/>
  <c r="L118" i="209"/>
  <c r="I118" i="209"/>
  <c r="E118" i="209"/>
  <c r="AB117" i="209"/>
  <c r="Z117" i="209"/>
  <c r="X117" i="209"/>
  <c r="V117" i="209"/>
  <c r="U117" i="209"/>
  <c r="T117" i="209"/>
  <c r="S117" i="209"/>
  <c r="R117" i="209"/>
  <c r="Q117" i="209"/>
  <c r="P117" i="209"/>
  <c r="O117" i="209"/>
  <c r="N117" i="209"/>
  <c r="M117" i="209"/>
  <c r="L117" i="209"/>
  <c r="I117" i="209"/>
  <c r="E117" i="209"/>
  <c r="AB116" i="209"/>
  <c r="Z116" i="209"/>
  <c r="X116" i="209"/>
  <c r="V116" i="209"/>
  <c r="U116" i="209"/>
  <c r="T116" i="209"/>
  <c r="S116" i="209"/>
  <c r="R116" i="209"/>
  <c r="Q116" i="209"/>
  <c r="P116" i="209"/>
  <c r="O116" i="209"/>
  <c r="N116" i="209"/>
  <c r="M116" i="209"/>
  <c r="L116" i="209"/>
  <c r="I116" i="209"/>
  <c r="E116" i="209"/>
  <c r="AB115" i="209"/>
  <c r="Z115" i="209"/>
  <c r="X115" i="209"/>
  <c r="V115" i="209"/>
  <c r="U115" i="209"/>
  <c r="T115" i="209"/>
  <c r="S115" i="209"/>
  <c r="R115" i="209"/>
  <c r="Q115" i="209"/>
  <c r="P115" i="209"/>
  <c r="O115" i="209"/>
  <c r="N115" i="209"/>
  <c r="M115" i="209"/>
  <c r="L115" i="209"/>
  <c r="I115" i="209"/>
  <c r="E115" i="209"/>
  <c r="AB111" i="209"/>
  <c r="Z111" i="209"/>
  <c r="X111" i="209"/>
  <c r="V111" i="209"/>
  <c r="T111" i="209"/>
  <c r="S111" i="209"/>
  <c r="R111" i="209"/>
  <c r="Q111" i="209"/>
  <c r="P111" i="209"/>
  <c r="O111" i="209"/>
  <c r="N111" i="209"/>
  <c r="M111" i="209"/>
  <c r="L111" i="209"/>
  <c r="I111" i="209"/>
  <c r="E111" i="209"/>
  <c r="AB110" i="209"/>
  <c r="Z110" i="209"/>
  <c r="X110" i="209"/>
  <c r="V110" i="209"/>
  <c r="T110" i="209"/>
  <c r="S110" i="209"/>
  <c r="R110" i="209"/>
  <c r="Q110" i="209"/>
  <c r="P110" i="209"/>
  <c r="O110" i="209"/>
  <c r="N110" i="209"/>
  <c r="M110" i="209"/>
  <c r="L110" i="209"/>
  <c r="I110" i="209"/>
  <c r="E110" i="209"/>
  <c r="AB107" i="209"/>
  <c r="Z107" i="209"/>
  <c r="X107" i="209"/>
  <c r="V107" i="209"/>
  <c r="U107" i="209"/>
  <c r="T107" i="209"/>
  <c r="S107" i="209"/>
  <c r="R107" i="209"/>
  <c r="Q107" i="209"/>
  <c r="P107" i="209"/>
  <c r="O107" i="209"/>
  <c r="N107" i="209"/>
  <c r="M107" i="209"/>
  <c r="L107" i="209"/>
  <c r="I107" i="209"/>
  <c r="E107" i="209"/>
  <c r="AB106" i="209"/>
  <c r="Z106" i="209"/>
  <c r="X106" i="209"/>
  <c r="V106" i="209"/>
  <c r="U106" i="209"/>
  <c r="T106" i="209"/>
  <c r="S106" i="209"/>
  <c r="R106" i="209"/>
  <c r="Q106" i="209"/>
  <c r="P106" i="209"/>
  <c r="O106" i="209"/>
  <c r="N106" i="209"/>
  <c r="M106" i="209"/>
  <c r="L106" i="209"/>
  <c r="I106" i="209"/>
  <c r="E106" i="209"/>
  <c r="AB105" i="209"/>
  <c r="Z105" i="209"/>
  <c r="X105" i="209"/>
  <c r="V105" i="209"/>
  <c r="U105" i="209"/>
  <c r="T105" i="209"/>
  <c r="S105" i="209"/>
  <c r="R105" i="209"/>
  <c r="Q105" i="209"/>
  <c r="P105" i="209"/>
  <c r="O105" i="209"/>
  <c r="N105" i="209"/>
  <c r="M105" i="209"/>
  <c r="L105" i="209"/>
  <c r="I105" i="209"/>
  <c r="E105" i="209"/>
  <c r="AB102" i="209"/>
  <c r="Z102" i="209"/>
  <c r="X102" i="209"/>
  <c r="V102" i="209"/>
  <c r="U102" i="209"/>
  <c r="T102" i="209"/>
  <c r="S102" i="209"/>
  <c r="R102" i="209"/>
  <c r="Q102" i="209"/>
  <c r="P102" i="209"/>
  <c r="O102" i="209"/>
  <c r="N102" i="209"/>
  <c r="M102" i="209"/>
  <c r="L102" i="209"/>
  <c r="I102" i="209"/>
  <c r="E102" i="209"/>
  <c r="AB101" i="209"/>
  <c r="Z101" i="209"/>
  <c r="X101" i="209"/>
  <c r="V101" i="209"/>
  <c r="U101" i="209"/>
  <c r="T101" i="209"/>
  <c r="S101" i="209"/>
  <c r="R101" i="209"/>
  <c r="Q101" i="209"/>
  <c r="P101" i="209"/>
  <c r="O101" i="209"/>
  <c r="N101" i="209"/>
  <c r="M101" i="209"/>
  <c r="L101" i="209"/>
  <c r="I101" i="209"/>
  <c r="E101" i="209"/>
  <c r="AB100" i="209"/>
  <c r="Z100" i="209"/>
  <c r="X100" i="209"/>
  <c r="V100" i="209"/>
  <c r="U100" i="209"/>
  <c r="T100" i="209"/>
  <c r="S100" i="209"/>
  <c r="R100" i="209"/>
  <c r="Q100" i="209"/>
  <c r="P100" i="209"/>
  <c r="O100" i="209"/>
  <c r="N100" i="209"/>
  <c r="M100" i="209"/>
  <c r="L100" i="209"/>
  <c r="I100" i="209"/>
  <c r="E100" i="209"/>
  <c r="AB99" i="209"/>
  <c r="Z99" i="209"/>
  <c r="X99" i="209"/>
  <c r="V99" i="209"/>
  <c r="U99" i="209"/>
  <c r="T99" i="209"/>
  <c r="S99" i="209"/>
  <c r="R99" i="209"/>
  <c r="Q99" i="209"/>
  <c r="P99" i="209"/>
  <c r="O99" i="209"/>
  <c r="N99" i="209"/>
  <c r="M99" i="209"/>
  <c r="L99" i="209"/>
  <c r="I99" i="209"/>
  <c r="E99" i="209"/>
  <c r="AB98" i="209"/>
  <c r="Z98" i="209"/>
  <c r="X98" i="209"/>
  <c r="V98" i="209"/>
  <c r="U98" i="209"/>
  <c r="T98" i="209"/>
  <c r="S98" i="209"/>
  <c r="R98" i="209"/>
  <c r="Q98" i="209"/>
  <c r="P98" i="209"/>
  <c r="O98" i="209"/>
  <c r="N98" i="209"/>
  <c r="M98" i="209"/>
  <c r="L98" i="209"/>
  <c r="I98" i="209"/>
  <c r="E98" i="209"/>
  <c r="AB97" i="209"/>
  <c r="Z97" i="209"/>
  <c r="X97" i="209"/>
  <c r="V97" i="209"/>
  <c r="U97" i="209"/>
  <c r="T97" i="209"/>
  <c r="S97" i="209"/>
  <c r="R97" i="209"/>
  <c r="Q97" i="209"/>
  <c r="P97" i="209"/>
  <c r="O97" i="209"/>
  <c r="N97" i="209"/>
  <c r="M97" i="209"/>
  <c r="L97" i="209"/>
  <c r="I97" i="209"/>
  <c r="E97" i="209"/>
  <c r="AB96" i="209"/>
  <c r="Z96" i="209"/>
  <c r="X96" i="209"/>
  <c r="V96" i="209"/>
  <c r="U96" i="209"/>
  <c r="T96" i="209"/>
  <c r="S96" i="209"/>
  <c r="R96" i="209"/>
  <c r="Q96" i="209"/>
  <c r="P96" i="209"/>
  <c r="O96" i="209"/>
  <c r="N96" i="209"/>
  <c r="M96" i="209"/>
  <c r="L96" i="209"/>
  <c r="I96" i="209"/>
  <c r="E96" i="209"/>
  <c r="AB93" i="209"/>
  <c r="Z93" i="209"/>
  <c r="X93" i="209"/>
  <c r="V93" i="209"/>
  <c r="U93" i="209"/>
  <c r="T93" i="209"/>
  <c r="S93" i="209"/>
  <c r="R93" i="209"/>
  <c r="Q93" i="209"/>
  <c r="P93" i="209"/>
  <c r="O93" i="209"/>
  <c r="N93" i="209"/>
  <c r="M93" i="209"/>
  <c r="L93" i="209"/>
  <c r="I93" i="209"/>
  <c r="E93" i="209"/>
  <c r="AB92" i="209"/>
  <c r="Z92" i="209"/>
  <c r="X92" i="209"/>
  <c r="V92" i="209"/>
  <c r="U92" i="209"/>
  <c r="T92" i="209"/>
  <c r="S92" i="209"/>
  <c r="R92" i="209"/>
  <c r="Q92" i="209"/>
  <c r="P92" i="209"/>
  <c r="O92" i="209"/>
  <c r="N92" i="209"/>
  <c r="M92" i="209"/>
  <c r="L92" i="209"/>
  <c r="I92" i="209"/>
  <c r="E92" i="209"/>
  <c r="AB91" i="209"/>
  <c r="Z91" i="209"/>
  <c r="X91" i="209"/>
  <c r="V91" i="209"/>
  <c r="U91" i="209"/>
  <c r="T91" i="209"/>
  <c r="S91" i="209"/>
  <c r="R91" i="209"/>
  <c r="Q91" i="209"/>
  <c r="P91" i="209"/>
  <c r="O91" i="209"/>
  <c r="N91" i="209"/>
  <c r="M91" i="209"/>
  <c r="L91" i="209"/>
  <c r="I91" i="209"/>
  <c r="E91" i="209"/>
  <c r="AB90" i="209"/>
  <c r="Z90" i="209"/>
  <c r="X90" i="209"/>
  <c r="V90" i="209"/>
  <c r="U90" i="209"/>
  <c r="T90" i="209"/>
  <c r="S90" i="209"/>
  <c r="R90" i="209"/>
  <c r="Q90" i="209"/>
  <c r="P90" i="209"/>
  <c r="O90" i="209"/>
  <c r="N90" i="209"/>
  <c r="M90" i="209"/>
  <c r="L90" i="209"/>
  <c r="I90" i="209"/>
  <c r="E90" i="209"/>
  <c r="AB89" i="209"/>
  <c r="Z89" i="209"/>
  <c r="X89" i="209"/>
  <c r="V89" i="209"/>
  <c r="U89" i="209"/>
  <c r="T89" i="209"/>
  <c r="S89" i="209"/>
  <c r="R89" i="209"/>
  <c r="Q89" i="209"/>
  <c r="P89" i="209"/>
  <c r="O89" i="209"/>
  <c r="N89" i="209"/>
  <c r="M89" i="209"/>
  <c r="L89" i="209"/>
  <c r="I89" i="209"/>
  <c r="E89" i="209"/>
  <c r="AB85" i="209"/>
  <c r="Z85" i="209"/>
  <c r="X85" i="209"/>
  <c r="V85" i="209"/>
  <c r="U85" i="209"/>
  <c r="T85" i="209"/>
  <c r="S85" i="209"/>
  <c r="R85" i="209"/>
  <c r="Q85" i="209"/>
  <c r="P85" i="209"/>
  <c r="O85" i="209"/>
  <c r="N85" i="209"/>
  <c r="M85" i="209"/>
  <c r="L85" i="209"/>
  <c r="I85" i="209"/>
  <c r="E85" i="209"/>
  <c r="AB84" i="209"/>
  <c r="Z84" i="209"/>
  <c r="X84" i="209"/>
  <c r="V84" i="209"/>
  <c r="U84" i="209"/>
  <c r="T84" i="209"/>
  <c r="S84" i="209"/>
  <c r="R84" i="209"/>
  <c r="Q84" i="209"/>
  <c r="P84" i="209"/>
  <c r="O84" i="209"/>
  <c r="N84" i="209"/>
  <c r="M84" i="209"/>
  <c r="L84" i="209"/>
  <c r="I84" i="209"/>
  <c r="E84" i="209"/>
  <c r="AB83" i="209"/>
  <c r="Z83" i="209"/>
  <c r="X83" i="209"/>
  <c r="V83" i="209"/>
  <c r="U83" i="209"/>
  <c r="T83" i="209"/>
  <c r="S83" i="209"/>
  <c r="R83" i="209"/>
  <c r="Q83" i="209"/>
  <c r="P83" i="209"/>
  <c r="O83" i="209"/>
  <c r="N83" i="209"/>
  <c r="M83" i="209"/>
  <c r="L83" i="209"/>
  <c r="I83" i="209"/>
  <c r="E83" i="209"/>
  <c r="AB82" i="209"/>
  <c r="Z82" i="209"/>
  <c r="X82" i="209"/>
  <c r="V82" i="209"/>
  <c r="U82" i="209"/>
  <c r="T82" i="209"/>
  <c r="S82" i="209"/>
  <c r="R82" i="209"/>
  <c r="Q82" i="209"/>
  <c r="P82" i="209"/>
  <c r="O82" i="209"/>
  <c r="N82" i="209"/>
  <c r="M82" i="209"/>
  <c r="L82" i="209"/>
  <c r="I82" i="209"/>
  <c r="E82" i="209"/>
  <c r="AB81" i="209"/>
  <c r="Z81" i="209"/>
  <c r="X81" i="209"/>
  <c r="V81" i="209"/>
  <c r="U81" i="209"/>
  <c r="T81" i="209"/>
  <c r="S81" i="209"/>
  <c r="R81" i="209"/>
  <c r="Q81" i="209"/>
  <c r="P81" i="209"/>
  <c r="O81" i="209"/>
  <c r="N81" i="209"/>
  <c r="M81" i="209"/>
  <c r="L81" i="209"/>
  <c r="I81" i="209"/>
  <c r="E81" i="209"/>
  <c r="AB80" i="209"/>
  <c r="Z80" i="209"/>
  <c r="X80" i="209"/>
  <c r="V80" i="209"/>
  <c r="U80" i="209"/>
  <c r="T80" i="209"/>
  <c r="S80" i="209"/>
  <c r="R80" i="209"/>
  <c r="Q80" i="209"/>
  <c r="P80" i="209"/>
  <c r="O80" i="209"/>
  <c r="N80" i="209"/>
  <c r="M80" i="209"/>
  <c r="L80" i="209"/>
  <c r="I80" i="209"/>
  <c r="E80" i="209"/>
  <c r="AB79" i="209"/>
  <c r="Z79" i="209"/>
  <c r="X79" i="209"/>
  <c r="V79" i="209"/>
  <c r="U79" i="209"/>
  <c r="T79" i="209"/>
  <c r="S79" i="209"/>
  <c r="R79" i="209"/>
  <c r="Q79" i="209"/>
  <c r="P79" i="209"/>
  <c r="O79" i="209"/>
  <c r="N79" i="209"/>
  <c r="M79" i="209"/>
  <c r="L79" i="209"/>
  <c r="I79" i="209"/>
  <c r="E79" i="209"/>
  <c r="AB78" i="209"/>
  <c r="Z78" i="209"/>
  <c r="X78" i="209"/>
  <c r="V78" i="209"/>
  <c r="U78" i="209"/>
  <c r="T78" i="209"/>
  <c r="S78" i="209"/>
  <c r="R78" i="209"/>
  <c r="Q78" i="209"/>
  <c r="P78" i="209"/>
  <c r="O78" i="209"/>
  <c r="N78" i="209"/>
  <c r="M78" i="209"/>
  <c r="L78" i="209"/>
  <c r="I78" i="209"/>
  <c r="E78" i="209"/>
  <c r="AB77" i="209"/>
  <c r="Z77" i="209"/>
  <c r="X77" i="209"/>
  <c r="V77" i="209"/>
  <c r="U77" i="209"/>
  <c r="T77" i="209"/>
  <c r="S77" i="209"/>
  <c r="R77" i="209"/>
  <c r="Q77" i="209"/>
  <c r="P77" i="209"/>
  <c r="O77" i="209"/>
  <c r="N77" i="209"/>
  <c r="M77" i="209"/>
  <c r="L77" i="209"/>
  <c r="I77" i="209"/>
  <c r="E77" i="209"/>
  <c r="AB76" i="209"/>
  <c r="Z76" i="209"/>
  <c r="X76" i="209"/>
  <c r="V76" i="209"/>
  <c r="U76" i="209"/>
  <c r="T76" i="209"/>
  <c r="S76" i="209"/>
  <c r="R76" i="209"/>
  <c r="Q76" i="209"/>
  <c r="P76" i="209"/>
  <c r="O76" i="209"/>
  <c r="N76" i="209"/>
  <c r="M76" i="209"/>
  <c r="L76" i="209"/>
  <c r="I76" i="209"/>
  <c r="E76" i="209"/>
  <c r="AB73" i="209"/>
  <c r="Z73" i="209"/>
  <c r="X73" i="209"/>
  <c r="V73" i="209"/>
  <c r="U73" i="209"/>
  <c r="T73" i="209"/>
  <c r="S73" i="209"/>
  <c r="R73" i="209"/>
  <c r="Q73" i="209"/>
  <c r="P73" i="209"/>
  <c r="O73" i="209"/>
  <c r="N73" i="209"/>
  <c r="M73" i="209"/>
  <c r="L73" i="209"/>
  <c r="I73" i="209"/>
  <c r="E73" i="209"/>
  <c r="AB72" i="209"/>
  <c r="Z72" i="209"/>
  <c r="X72" i="209"/>
  <c r="V72" i="209"/>
  <c r="U72" i="209"/>
  <c r="T72" i="209"/>
  <c r="S72" i="209"/>
  <c r="R72" i="209"/>
  <c r="Q72" i="209"/>
  <c r="P72" i="209"/>
  <c r="O72" i="209"/>
  <c r="N72" i="209"/>
  <c r="M72" i="209"/>
  <c r="L72" i="209"/>
  <c r="I72" i="209"/>
  <c r="E72" i="209"/>
  <c r="AB71" i="209"/>
  <c r="Z71" i="209"/>
  <c r="X71" i="209"/>
  <c r="V71" i="209"/>
  <c r="U71" i="209"/>
  <c r="T71" i="209"/>
  <c r="S71" i="209"/>
  <c r="R71" i="209"/>
  <c r="Q71" i="209"/>
  <c r="P71" i="209"/>
  <c r="O71" i="209"/>
  <c r="N71" i="209"/>
  <c r="M71" i="209"/>
  <c r="L71" i="209"/>
  <c r="I71" i="209"/>
  <c r="E71" i="209"/>
  <c r="AB70" i="209"/>
  <c r="Z70" i="209"/>
  <c r="X70" i="209"/>
  <c r="V70" i="209"/>
  <c r="U70" i="209"/>
  <c r="T70" i="209"/>
  <c r="S70" i="209"/>
  <c r="R70" i="209"/>
  <c r="Q70" i="209"/>
  <c r="P70" i="209"/>
  <c r="O70" i="209"/>
  <c r="N70" i="209"/>
  <c r="M70" i="209"/>
  <c r="L70" i="209"/>
  <c r="I70" i="209"/>
  <c r="E70" i="209"/>
  <c r="AB69" i="209"/>
  <c r="Z69" i="209"/>
  <c r="X69" i="209"/>
  <c r="V69" i="209"/>
  <c r="U69" i="209"/>
  <c r="T69" i="209"/>
  <c r="S69" i="209"/>
  <c r="R69" i="209"/>
  <c r="Q69" i="209"/>
  <c r="P69" i="209"/>
  <c r="O69" i="209"/>
  <c r="N69" i="209"/>
  <c r="M69" i="209"/>
  <c r="L69" i="209"/>
  <c r="I69" i="209"/>
  <c r="E69" i="209"/>
  <c r="AB68" i="209"/>
  <c r="Z68" i="209"/>
  <c r="X68" i="209"/>
  <c r="V68" i="209"/>
  <c r="U68" i="209"/>
  <c r="T68" i="209"/>
  <c r="S68" i="209"/>
  <c r="R68" i="209"/>
  <c r="Q68" i="209"/>
  <c r="P68" i="209"/>
  <c r="O68" i="209"/>
  <c r="N68" i="209"/>
  <c r="M68" i="209"/>
  <c r="L68" i="209"/>
  <c r="I68" i="209"/>
  <c r="E68" i="209"/>
  <c r="AB65" i="209"/>
  <c r="Z65" i="209"/>
  <c r="X65" i="209"/>
  <c r="V65" i="209"/>
  <c r="U65" i="209"/>
  <c r="T65" i="209"/>
  <c r="S65" i="209"/>
  <c r="R65" i="209"/>
  <c r="Q65" i="209"/>
  <c r="P65" i="209"/>
  <c r="O65" i="209"/>
  <c r="N65" i="209"/>
  <c r="M65" i="209"/>
  <c r="L65" i="209"/>
  <c r="I65" i="209"/>
  <c r="F65" i="209"/>
  <c r="E65" i="209"/>
  <c r="AB64" i="209"/>
  <c r="Z64" i="209"/>
  <c r="X64" i="209"/>
  <c r="V64" i="209"/>
  <c r="U64" i="209"/>
  <c r="T64" i="209"/>
  <c r="S64" i="209"/>
  <c r="R64" i="209"/>
  <c r="Q64" i="209"/>
  <c r="P64" i="209"/>
  <c r="O64" i="209"/>
  <c r="N64" i="209"/>
  <c r="M64" i="209"/>
  <c r="L64" i="209"/>
  <c r="I64" i="209"/>
  <c r="E64" i="209"/>
  <c r="AB63" i="209"/>
  <c r="Z63" i="209"/>
  <c r="X63" i="209"/>
  <c r="V63" i="209"/>
  <c r="U63" i="209"/>
  <c r="T63" i="209"/>
  <c r="S63" i="209"/>
  <c r="R63" i="209"/>
  <c r="Q63" i="209"/>
  <c r="P63" i="209"/>
  <c r="O63" i="209"/>
  <c r="N63" i="209"/>
  <c r="M63" i="209"/>
  <c r="L63" i="209"/>
  <c r="I63" i="209"/>
  <c r="E63" i="209"/>
  <c r="AB62" i="209"/>
  <c r="Z62" i="209"/>
  <c r="X62" i="209"/>
  <c r="V62" i="209"/>
  <c r="U62" i="209"/>
  <c r="T62" i="209"/>
  <c r="S62" i="209"/>
  <c r="R62" i="209"/>
  <c r="Q62" i="209"/>
  <c r="P62" i="209"/>
  <c r="O62" i="209"/>
  <c r="N62" i="209"/>
  <c r="M62" i="209"/>
  <c r="L62" i="209"/>
  <c r="I62" i="209"/>
  <c r="E62" i="209"/>
  <c r="AB61" i="209"/>
  <c r="Z61" i="209"/>
  <c r="X61" i="209"/>
  <c r="V61" i="209"/>
  <c r="U61" i="209"/>
  <c r="T61" i="209"/>
  <c r="S61" i="209"/>
  <c r="R61" i="209"/>
  <c r="Q61" i="209"/>
  <c r="P61" i="209"/>
  <c r="O61" i="209"/>
  <c r="N61" i="209"/>
  <c r="M61" i="209"/>
  <c r="L61" i="209"/>
  <c r="I61" i="209"/>
  <c r="E61" i="209"/>
  <c r="AB60" i="209"/>
  <c r="Z60" i="209"/>
  <c r="X60" i="209"/>
  <c r="V60" i="209"/>
  <c r="U60" i="209"/>
  <c r="T60" i="209"/>
  <c r="S60" i="209"/>
  <c r="R60" i="209"/>
  <c r="Q60" i="209"/>
  <c r="P60" i="209"/>
  <c r="O60" i="209"/>
  <c r="N60" i="209"/>
  <c r="M60" i="209"/>
  <c r="L60" i="209"/>
  <c r="I60" i="209"/>
  <c r="E60" i="209"/>
  <c r="AB59" i="209"/>
  <c r="Z59" i="209"/>
  <c r="X59" i="209"/>
  <c r="V59" i="209"/>
  <c r="U59" i="209"/>
  <c r="T59" i="209"/>
  <c r="S59" i="209"/>
  <c r="R59" i="209"/>
  <c r="Q59" i="209"/>
  <c r="P59" i="209"/>
  <c r="O59" i="209"/>
  <c r="N59" i="209"/>
  <c r="M59" i="209"/>
  <c r="L59" i="209"/>
  <c r="I59" i="209"/>
  <c r="E59" i="209"/>
  <c r="AB56" i="209"/>
  <c r="Z56" i="209"/>
  <c r="X56" i="209"/>
  <c r="V56" i="209"/>
  <c r="U56" i="209"/>
  <c r="T56" i="209"/>
  <c r="S56" i="209"/>
  <c r="R56" i="209"/>
  <c r="Q56" i="209"/>
  <c r="P56" i="209"/>
  <c r="O56" i="209"/>
  <c r="N56" i="209"/>
  <c r="M56" i="209"/>
  <c r="L56" i="209"/>
  <c r="I56" i="209"/>
  <c r="E56" i="209"/>
  <c r="AB55" i="209"/>
  <c r="Z55" i="209"/>
  <c r="X55" i="209"/>
  <c r="V55" i="209"/>
  <c r="U55" i="209"/>
  <c r="T55" i="209"/>
  <c r="S55" i="209"/>
  <c r="R55" i="209"/>
  <c r="Q55" i="209"/>
  <c r="P55" i="209"/>
  <c r="O55" i="209"/>
  <c r="N55" i="209"/>
  <c r="M55" i="209"/>
  <c r="L55" i="209"/>
  <c r="I55" i="209"/>
  <c r="E55" i="209"/>
  <c r="AB52" i="209"/>
  <c r="Z52" i="209"/>
  <c r="X52" i="209"/>
  <c r="V52" i="209"/>
  <c r="U52" i="209"/>
  <c r="T52" i="209"/>
  <c r="S52" i="209"/>
  <c r="R52" i="209"/>
  <c r="Q52" i="209"/>
  <c r="P52" i="209"/>
  <c r="O52" i="209"/>
  <c r="N52" i="209"/>
  <c r="M52" i="209"/>
  <c r="L52" i="209"/>
  <c r="I52" i="209"/>
  <c r="E52" i="209"/>
  <c r="AB51" i="209"/>
  <c r="Z51" i="209"/>
  <c r="X51" i="209"/>
  <c r="V51" i="209"/>
  <c r="U51" i="209"/>
  <c r="T51" i="209"/>
  <c r="S51" i="209"/>
  <c r="R51" i="209"/>
  <c r="Q51" i="209"/>
  <c r="P51" i="209"/>
  <c r="O51" i="209"/>
  <c r="N51" i="209"/>
  <c r="M51" i="209"/>
  <c r="L51" i="209"/>
  <c r="I51" i="209"/>
  <c r="E51" i="209"/>
  <c r="AB50" i="209"/>
  <c r="Z50" i="209"/>
  <c r="X50" i="209"/>
  <c r="V50" i="209"/>
  <c r="U50" i="209"/>
  <c r="T50" i="209"/>
  <c r="S50" i="209"/>
  <c r="R50" i="209"/>
  <c r="Q50" i="209"/>
  <c r="P50" i="209"/>
  <c r="O50" i="209"/>
  <c r="N50" i="209"/>
  <c r="M50" i="209"/>
  <c r="L50" i="209"/>
  <c r="I50" i="209"/>
  <c r="E50" i="209"/>
  <c r="AB49" i="209"/>
  <c r="Z49" i="209"/>
  <c r="X49" i="209"/>
  <c r="V49" i="209"/>
  <c r="U49" i="209"/>
  <c r="T49" i="209"/>
  <c r="S49" i="209"/>
  <c r="R49" i="209"/>
  <c r="Q49" i="209"/>
  <c r="P49" i="209"/>
  <c r="O49" i="209"/>
  <c r="N49" i="209"/>
  <c r="M49" i="209"/>
  <c r="L49" i="209"/>
  <c r="I49" i="209"/>
  <c r="E49" i="209"/>
  <c r="AB48" i="209"/>
  <c r="Z48" i="209"/>
  <c r="X48" i="209"/>
  <c r="V48" i="209"/>
  <c r="U48" i="209"/>
  <c r="T48" i="209"/>
  <c r="S48" i="209"/>
  <c r="R48" i="209"/>
  <c r="Q48" i="209"/>
  <c r="P48" i="209"/>
  <c r="O48" i="209"/>
  <c r="N48" i="209"/>
  <c r="M48" i="209"/>
  <c r="L48" i="209"/>
  <c r="I48" i="209"/>
  <c r="E48" i="209"/>
  <c r="AB47" i="209"/>
  <c r="Z47" i="209"/>
  <c r="X47" i="209"/>
  <c r="V47" i="209"/>
  <c r="U47" i="209"/>
  <c r="T47" i="209"/>
  <c r="S47" i="209"/>
  <c r="R47" i="209"/>
  <c r="Q47" i="209"/>
  <c r="P47" i="209"/>
  <c r="O47" i="209"/>
  <c r="N47" i="209"/>
  <c r="M47" i="209"/>
  <c r="L47" i="209"/>
  <c r="I47" i="209"/>
  <c r="E47" i="209"/>
  <c r="AB46" i="209"/>
  <c r="Z46" i="209"/>
  <c r="X46" i="209"/>
  <c r="V46" i="209"/>
  <c r="U46" i="209"/>
  <c r="T46" i="209"/>
  <c r="S46" i="209"/>
  <c r="R46" i="209"/>
  <c r="Q46" i="209"/>
  <c r="P46" i="209"/>
  <c r="O46" i="209"/>
  <c r="N46" i="209"/>
  <c r="M46" i="209"/>
  <c r="L46" i="209"/>
  <c r="I46" i="209"/>
  <c r="E46" i="209"/>
  <c r="AB45" i="209"/>
  <c r="Z45" i="209"/>
  <c r="X45" i="209"/>
  <c r="V45" i="209"/>
  <c r="U45" i="209"/>
  <c r="T45" i="209"/>
  <c r="S45" i="209"/>
  <c r="R45" i="209"/>
  <c r="Q45" i="209"/>
  <c r="P45" i="209"/>
  <c r="O45" i="209"/>
  <c r="N45" i="209"/>
  <c r="M45" i="209"/>
  <c r="L45" i="209"/>
  <c r="I45" i="209"/>
  <c r="E45" i="209"/>
  <c r="AB42" i="209"/>
  <c r="Z42" i="209"/>
  <c r="X42" i="209"/>
  <c r="V42" i="209"/>
  <c r="U42" i="209"/>
  <c r="T42" i="209"/>
  <c r="S42" i="209"/>
  <c r="R42" i="209"/>
  <c r="Q42" i="209"/>
  <c r="P42" i="209"/>
  <c r="O42" i="209"/>
  <c r="N42" i="209"/>
  <c r="M42" i="209"/>
  <c r="L42" i="209"/>
  <c r="I42" i="209"/>
  <c r="E42" i="209"/>
  <c r="AB41" i="209"/>
  <c r="Z41" i="209"/>
  <c r="X41" i="209"/>
  <c r="V41" i="209"/>
  <c r="U41" i="209"/>
  <c r="T41" i="209"/>
  <c r="S41" i="209"/>
  <c r="R41" i="209"/>
  <c r="Q41" i="209"/>
  <c r="P41" i="209"/>
  <c r="O41" i="209"/>
  <c r="N41" i="209"/>
  <c r="M41" i="209"/>
  <c r="L41" i="209"/>
  <c r="I41" i="209"/>
  <c r="E41" i="209"/>
  <c r="AB40" i="209"/>
  <c r="Z40" i="209"/>
  <c r="X40" i="209"/>
  <c r="V40" i="209"/>
  <c r="U40" i="209"/>
  <c r="T40" i="209"/>
  <c r="S40" i="209"/>
  <c r="R40" i="209"/>
  <c r="Q40" i="209"/>
  <c r="P40" i="209"/>
  <c r="O40" i="209"/>
  <c r="N40" i="209"/>
  <c r="M40" i="209"/>
  <c r="L40" i="209"/>
  <c r="I40" i="209"/>
  <c r="E40" i="209"/>
  <c r="AB39" i="209"/>
  <c r="Z39" i="209"/>
  <c r="X39" i="209"/>
  <c r="V39" i="209"/>
  <c r="U39" i="209"/>
  <c r="T39" i="209"/>
  <c r="S39" i="209"/>
  <c r="R39" i="209"/>
  <c r="Q39" i="209"/>
  <c r="P39" i="209"/>
  <c r="O39" i="209"/>
  <c r="N39" i="209"/>
  <c r="M39" i="209"/>
  <c r="L39" i="209"/>
  <c r="I39" i="209"/>
  <c r="E39" i="209"/>
  <c r="AB36" i="209"/>
  <c r="Z36" i="209"/>
  <c r="X36" i="209"/>
  <c r="V36" i="209"/>
  <c r="T36" i="209"/>
  <c r="S36" i="209"/>
  <c r="R36" i="209"/>
  <c r="Q36" i="209"/>
  <c r="P36" i="209"/>
  <c r="O36" i="209"/>
  <c r="N36" i="209"/>
  <c r="M36" i="209"/>
  <c r="L36" i="209"/>
  <c r="I36" i="209"/>
  <c r="E36" i="209"/>
  <c r="AB35" i="209"/>
  <c r="Z35" i="209"/>
  <c r="X35" i="209"/>
  <c r="V35" i="209"/>
  <c r="T35" i="209"/>
  <c r="S35" i="209"/>
  <c r="R35" i="209"/>
  <c r="Q35" i="209"/>
  <c r="P35" i="209"/>
  <c r="O35" i="209"/>
  <c r="N35" i="209"/>
  <c r="M35" i="209"/>
  <c r="L35" i="209"/>
  <c r="I35" i="209"/>
  <c r="E35" i="209"/>
  <c r="AB34" i="209"/>
  <c r="Z34" i="209"/>
  <c r="X34" i="209"/>
  <c r="V34" i="209"/>
  <c r="U34" i="209"/>
  <c r="T34" i="209"/>
  <c r="S34" i="209"/>
  <c r="R34" i="209"/>
  <c r="Q34" i="209"/>
  <c r="P34" i="209"/>
  <c r="O34" i="209"/>
  <c r="N34" i="209"/>
  <c r="M34" i="209"/>
  <c r="L34" i="209"/>
  <c r="I34" i="209"/>
  <c r="E34" i="209"/>
  <c r="AB33" i="209"/>
  <c r="Z33" i="209"/>
  <c r="X33" i="209"/>
  <c r="V33" i="209"/>
  <c r="U33" i="209"/>
  <c r="T33" i="209"/>
  <c r="S33" i="209"/>
  <c r="R33" i="209"/>
  <c r="Q33" i="209"/>
  <c r="P33" i="209"/>
  <c r="O33" i="209"/>
  <c r="N33" i="209"/>
  <c r="M33" i="209"/>
  <c r="L33" i="209"/>
  <c r="I33" i="209"/>
  <c r="E33" i="209"/>
  <c r="AB32" i="209"/>
  <c r="Z32" i="209"/>
  <c r="X32" i="209"/>
  <c r="V32" i="209"/>
  <c r="U32" i="209"/>
  <c r="T32" i="209"/>
  <c r="S32" i="209"/>
  <c r="R32" i="209"/>
  <c r="Q32" i="209"/>
  <c r="P32" i="209"/>
  <c r="O32" i="209"/>
  <c r="N32" i="209"/>
  <c r="M32" i="209"/>
  <c r="L32" i="209"/>
  <c r="I32" i="209"/>
  <c r="E32" i="209"/>
  <c r="AB31" i="209"/>
  <c r="Z31" i="209"/>
  <c r="X31" i="209"/>
  <c r="V31" i="209"/>
  <c r="U31" i="209"/>
  <c r="T31" i="209"/>
  <c r="S31" i="209"/>
  <c r="R31" i="209"/>
  <c r="Q31" i="209"/>
  <c r="P31" i="209"/>
  <c r="O31" i="209"/>
  <c r="N31" i="209"/>
  <c r="M31" i="209"/>
  <c r="L31" i="209"/>
  <c r="I31" i="209"/>
  <c r="E31" i="209"/>
  <c r="AB30" i="209"/>
  <c r="Z30" i="209"/>
  <c r="X30" i="209"/>
  <c r="V30" i="209"/>
  <c r="U30" i="209"/>
  <c r="T30" i="209"/>
  <c r="S30" i="209"/>
  <c r="R30" i="209"/>
  <c r="Q30" i="209"/>
  <c r="P30" i="209"/>
  <c r="O30" i="209"/>
  <c r="N30" i="209"/>
  <c r="M30" i="209"/>
  <c r="L30" i="209"/>
  <c r="I30" i="209"/>
  <c r="E30" i="209"/>
  <c r="AB29" i="209"/>
  <c r="Z29" i="209"/>
  <c r="X29" i="209"/>
  <c r="V29" i="209"/>
  <c r="U29" i="209"/>
  <c r="T29" i="209"/>
  <c r="S29" i="209"/>
  <c r="R29" i="209"/>
  <c r="Q29" i="209"/>
  <c r="P29" i="209"/>
  <c r="O29" i="209"/>
  <c r="N29" i="209"/>
  <c r="M29" i="209"/>
  <c r="L29" i="209"/>
  <c r="I29" i="209"/>
  <c r="E29" i="209"/>
  <c r="AB28" i="209"/>
  <c r="Z28" i="209"/>
  <c r="X28" i="209"/>
  <c r="V28" i="209"/>
  <c r="U28" i="209"/>
  <c r="T28" i="209"/>
  <c r="S28" i="209"/>
  <c r="R28" i="209"/>
  <c r="Q28" i="209"/>
  <c r="P28" i="209"/>
  <c r="O28" i="209"/>
  <c r="N28" i="209"/>
  <c r="M28" i="209"/>
  <c r="L28" i="209"/>
  <c r="I28" i="209"/>
  <c r="E28" i="209"/>
  <c r="AB27" i="209"/>
  <c r="Z27" i="209"/>
  <c r="X27" i="209"/>
  <c r="V27" i="209"/>
  <c r="U27" i="209"/>
  <c r="T27" i="209"/>
  <c r="S27" i="209"/>
  <c r="R27" i="209"/>
  <c r="Q27" i="209"/>
  <c r="P27" i="209"/>
  <c r="O27" i="209"/>
  <c r="N27" i="209"/>
  <c r="M27" i="209"/>
  <c r="L27" i="209"/>
  <c r="I27" i="209"/>
  <c r="E27" i="209"/>
  <c r="AB26" i="209"/>
  <c r="Z26" i="209"/>
  <c r="X26" i="209"/>
  <c r="V26" i="209"/>
  <c r="U26" i="209"/>
  <c r="T26" i="209"/>
  <c r="S26" i="209"/>
  <c r="R26" i="209"/>
  <c r="Q26" i="209"/>
  <c r="P26" i="209"/>
  <c r="O26" i="209"/>
  <c r="N26" i="209"/>
  <c r="M26" i="209"/>
  <c r="L26" i="209"/>
  <c r="I26" i="209"/>
  <c r="E26" i="209"/>
  <c r="AB25" i="209"/>
  <c r="Z25" i="209"/>
  <c r="X25" i="209"/>
  <c r="V25" i="209"/>
  <c r="U25" i="209"/>
  <c r="T25" i="209"/>
  <c r="S25" i="209"/>
  <c r="R25" i="209"/>
  <c r="Q25" i="209"/>
  <c r="P25" i="209"/>
  <c r="O25" i="209"/>
  <c r="N25" i="209"/>
  <c r="M25" i="209"/>
  <c r="L25" i="209"/>
  <c r="I25" i="209"/>
  <c r="E25" i="209"/>
  <c r="AB24" i="209"/>
  <c r="Z24" i="209"/>
  <c r="X24" i="209"/>
  <c r="V24" i="209"/>
  <c r="U24" i="209"/>
  <c r="T24" i="209"/>
  <c r="S24" i="209"/>
  <c r="R24" i="209"/>
  <c r="Q24" i="209"/>
  <c r="P24" i="209"/>
  <c r="O24" i="209"/>
  <c r="N24" i="209"/>
  <c r="M24" i="209"/>
  <c r="L24" i="209"/>
  <c r="I24" i="209"/>
  <c r="E24" i="209"/>
  <c r="AB23" i="209"/>
  <c r="Z23" i="209"/>
  <c r="X23" i="209"/>
  <c r="V23" i="209"/>
  <c r="U23" i="209"/>
  <c r="T23" i="209"/>
  <c r="S23" i="209"/>
  <c r="R23" i="209"/>
  <c r="Q23" i="209"/>
  <c r="P23" i="209"/>
  <c r="O23" i="209"/>
  <c r="N23" i="209"/>
  <c r="M23" i="209"/>
  <c r="L23" i="209"/>
  <c r="I23" i="209"/>
  <c r="E23" i="209"/>
  <c r="AB22" i="209"/>
  <c r="Z22" i="209"/>
  <c r="X22" i="209"/>
  <c r="V22" i="209"/>
  <c r="U22" i="209"/>
  <c r="T22" i="209"/>
  <c r="S22" i="209"/>
  <c r="R22" i="209"/>
  <c r="Q22" i="209"/>
  <c r="P22" i="209"/>
  <c r="O22" i="209"/>
  <c r="N22" i="209"/>
  <c r="M22" i="209"/>
  <c r="L22" i="209"/>
  <c r="I22" i="209"/>
  <c r="E22" i="209"/>
  <c r="AB21" i="209"/>
  <c r="Z21" i="209"/>
  <c r="X21" i="209"/>
  <c r="V21" i="209"/>
  <c r="U21" i="209"/>
  <c r="T21" i="209"/>
  <c r="S21" i="209"/>
  <c r="R21" i="209"/>
  <c r="Q21" i="209"/>
  <c r="P21" i="209"/>
  <c r="O21" i="209"/>
  <c r="N21" i="209"/>
  <c r="M21" i="209"/>
  <c r="L21" i="209"/>
  <c r="I21" i="209"/>
  <c r="E21" i="209"/>
  <c r="AB20" i="209"/>
  <c r="Z20" i="209"/>
  <c r="X20" i="209"/>
  <c r="V20" i="209"/>
  <c r="U20" i="209"/>
  <c r="T20" i="209"/>
  <c r="S20" i="209"/>
  <c r="R20" i="209"/>
  <c r="Q20" i="209"/>
  <c r="P20" i="209"/>
  <c r="O20" i="209"/>
  <c r="N20" i="209"/>
  <c r="M20" i="209"/>
  <c r="L20" i="209"/>
  <c r="I20" i="209"/>
  <c r="E20" i="209"/>
  <c r="AB19" i="209"/>
  <c r="Z19" i="209"/>
  <c r="X19" i="209"/>
  <c r="V19" i="209"/>
  <c r="U19" i="209"/>
  <c r="T19" i="209"/>
  <c r="S19" i="209"/>
  <c r="R19" i="209"/>
  <c r="Q19" i="209"/>
  <c r="P19" i="209"/>
  <c r="O19" i="209"/>
  <c r="N19" i="209"/>
  <c r="M19" i="209"/>
  <c r="L19" i="209"/>
  <c r="I19" i="209"/>
  <c r="E19" i="209"/>
  <c r="AB18" i="209"/>
  <c r="Z18" i="209"/>
  <c r="X18" i="209"/>
  <c r="V18" i="209"/>
  <c r="U18" i="209"/>
  <c r="T18" i="209"/>
  <c r="S18" i="209"/>
  <c r="R18" i="209"/>
  <c r="Q18" i="209"/>
  <c r="P18" i="209"/>
  <c r="O18" i="209"/>
  <c r="N18" i="209"/>
  <c r="M18" i="209"/>
  <c r="L18" i="209"/>
  <c r="I18" i="209"/>
  <c r="E18" i="209"/>
  <c r="AB17" i="209"/>
  <c r="Z17" i="209"/>
  <c r="X17" i="209"/>
  <c r="V17" i="209"/>
  <c r="U17" i="209"/>
  <c r="T17" i="209"/>
  <c r="S17" i="209"/>
  <c r="R17" i="209"/>
  <c r="Q17" i="209"/>
  <c r="P17" i="209"/>
  <c r="O17" i="209"/>
  <c r="N17" i="209"/>
  <c r="M17" i="209"/>
  <c r="L17" i="209"/>
  <c r="I17" i="209"/>
  <c r="E17" i="209"/>
  <c r="AB16" i="209"/>
  <c r="Z16" i="209"/>
  <c r="X16" i="209"/>
  <c r="V16" i="209"/>
  <c r="U16" i="209"/>
  <c r="T16" i="209"/>
  <c r="S16" i="209"/>
  <c r="R16" i="209"/>
  <c r="Q16" i="209"/>
  <c r="P16" i="209"/>
  <c r="O16" i="209"/>
  <c r="N16" i="209"/>
  <c r="M16" i="209"/>
  <c r="L16" i="209"/>
  <c r="I16" i="209"/>
  <c r="E16" i="209"/>
  <c r="AB15" i="209"/>
  <c r="Z15" i="209"/>
  <c r="X15" i="209"/>
  <c r="V15" i="209"/>
  <c r="U15" i="209"/>
  <c r="T15" i="209"/>
  <c r="S15" i="209"/>
  <c r="R15" i="209"/>
  <c r="Q15" i="209"/>
  <c r="P15" i="209"/>
  <c r="O15" i="209"/>
  <c r="N15" i="209"/>
  <c r="M15" i="209"/>
  <c r="L15" i="209"/>
  <c r="I15" i="209"/>
  <c r="E15" i="209"/>
  <c r="AB14" i="209"/>
  <c r="Z14" i="209"/>
  <c r="X14" i="209"/>
  <c r="V14" i="209"/>
  <c r="U14" i="209"/>
  <c r="T14" i="209"/>
  <c r="S14" i="209"/>
  <c r="R14" i="209"/>
  <c r="Q14" i="209"/>
  <c r="P14" i="209"/>
  <c r="O14" i="209"/>
  <c r="N14" i="209"/>
  <c r="M14" i="209"/>
  <c r="L14" i="209"/>
  <c r="I14" i="209"/>
  <c r="E14" i="209"/>
  <c r="AB13" i="209"/>
  <c r="Z13" i="209"/>
  <c r="X13" i="209"/>
  <c r="V13" i="209"/>
  <c r="U13" i="209"/>
  <c r="T13" i="209"/>
  <c r="S13" i="209"/>
  <c r="R13" i="209"/>
  <c r="Q13" i="209"/>
  <c r="P13" i="209"/>
  <c r="O13" i="209"/>
  <c r="N13" i="209"/>
  <c r="M13" i="209"/>
  <c r="L13" i="209"/>
  <c r="I13" i="209"/>
  <c r="E13" i="209"/>
  <c r="AB12" i="209"/>
  <c r="Z12" i="209"/>
  <c r="X12" i="209"/>
  <c r="V12" i="209"/>
  <c r="U12" i="209"/>
  <c r="T12" i="209"/>
  <c r="S12" i="209"/>
  <c r="R12" i="209"/>
  <c r="Q12" i="209"/>
  <c r="P12" i="209"/>
  <c r="O12" i="209"/>
  <c r="N12" i="209"/>
  <c r="M12" i="209"/>
  <c r="L12" i="209"/>
  <c r="I12" i="209"/>
  <c r="E12" i="209"/>
  <c r="AB11" i="209"/>
  <c r="Z11" i="209"/>
  <c r="X11" i="209"/>
  <c r="V11" i="209"/>
  <c r="U11" i="209"/>
  <c r="T11" i="209"/>
  <c r="S11" i="209"/>
  <c r="R11" i="209"/>
  <c r="Q11" i="209"/>
  <c r="P11" i="209"/>
  <c r="O11" i="209"/>
  <c r="N11" i="209"/>
  <c r="M11" i="209"/>
  <c r="L11" i="209"/>
  <c r="I11" i="209"/>
  <c r="E11" i="209"/>
  <c r="AB10" i="209"/>
  <c r="Z10" i="209"/>
  <c r="X10" i="209"/>
  <c r="V10" i="209"/>
  <c r="U10" i="209"/>
  <c r="T10" i="209"/>
  <c r="S10" i="209"/>
  <c r="R10" i="209"/>
  <c r="Q10" i="209"/>
  <c r="P10" i="209"/>
  <c r="O10" i="209"/>
  <c r="N10" i="209"/>
  <c r="M10" i="209"/>
  <c r="L10" i="209"/>
  <c r="I10" i="209"/>
  <c r="E10" i="209"/>
  <c r="AB9" i="209"/>
  <c r="Z9" i="209"/>
  <c r="X9" i="209"/>
  <c r="V9" i="209"/>
  <c r="U9" i="209"/>
  <c r="T9" i="209"/>
  <c r="S9" i="209"/>
  <c r="R9" i="209"/>
  <c r="Q9" i="209"/>
  <c r="P9" i="209"/>
  <c r="O9" i="209"/>
  <c r="N9" i="209"/>
  <c r="M9" i="209"/>
  <c r="L9" i="209"/>
  <c r="I9" i="209"/>
  <c r="E9" i="209"/>
  <c r="AB8" i="209"/>
  <c r="Z8" i="209"/>
  <c r="X8" i="209"/>
  <c r="V8" i="209"/>
  <c r="U8" i="209"/>
  <c r="T8" i="209"/>
  <c r="S8" i="209"/>
  <c r="R8" i="209"/>
  <c r="Q8" i="209"/>
  <c r="P8" i="209"/>
  <c r="O8" i="209"/>
  <c r="N8" i="209"/>
  <c r="M8" i="209"/>
  <c r="L8" i="209"/>
  <c r="I8" i="209"/>
  <c r="E8" i="209"/>
  <c r="AB7" i="209"/>
  <c r="Z7" i="209"/>
  <c r="X7" i="209"/>
  <c r="V7" i="209"/>
  <c r="U7" i="209"/>
  <c r="T7" i="209"/>
  <c r="S7" i="209"/>
  <c r="R7" i="209"/>
  <c r="Q7" i="209"/>
  <c r="P7" i="209"/>
  <c r="O7" i="209"/>
  <c r="N7" i="209"/>
  <c r="M7" i="209"/>
  <c r="L7" i="209"/>
  <c r="I7" i="209"/>
  <c r="E7" i="209"/>
  <c r="AB6" i="209"/>
  <c r="Z6" i="209"/>
  <c r="X6" i="209"/>
  <c r="V6" i="209"/>
  <c r="U6" i="209"/>
  <c r="T6" i="209"/>
  <c r="S6" i="209"/>
  <c r="R6" i="209"/>
  <c r="Q6" i="209"/>
  <c r="P6" i="209"/>
  <c r="O6" i="209"/>
  <c r="N6" i="209"/>
  <c r="M6" i="209"/>
  <c r="L6" i="209"/>
  <c r="I6" i="209"/>
  <c r="E6" i="209"/>
  <c r="Q202" i="207"/>
  <c r="P202" i="207"/>
  <c r="O202" i="207"/>
  <c r="N202" i="207"/>
  <c r="M202" i="207"/>
  <c r="L202" i="207"/>
  <c r="K202" i="207"/>
  <c r="J202" i="207"/>
  <c r="I202" i="207"/>
  <c r="H202" i="207"/>
  <c r="G202" i="207"/>
  <c r="F202" i="207"/>
  <c r="E202" i="207"/>
  <c r="C202" i="207"/>
  <c r="Q200" i="207"/>
  <c r="P200" i="207"/>
  <c r="O200" i="207"/>
  <c r="N200" i="207"/>
  <c r="M200" i="207"/>
  <c r="L200" i="207"/>
  <c r="K200" i="207"/>
  <c r="J200" i="207"/>
  <c r="I200" i="207"/>
  <c r="H200" i="207"/>
  <c r="G200" i="207"/>
  <c r="F200" i="207"/>
  <c r="E200" i="207"/>
  <c r="C200" i="207"/>
  <c r="Q199" i="207"/>
  <c r="P199" i="207"/>
  <c r="O199" i="207"/>
  <c r="N199" i="207"/>
  <c r="M199" i="207"/>
  <c r="L199" i="207"/>
  <c r="K199" i="207"/>
  <c r="J199" i="207"/>
  <c r="I199" i="207"/>
  <c r="H199" i="207"/>
  <c r="G199" i="207"/>
  <c r="F199" i="207"/>
  <c r="E199" i="207"/>
  <c r="Q198" i="207"/>
  <c r="P198" i="207"/>
  <c r="O198" i="207"/>
  <c r="L198" i="207"/>
  <c r="K198" i="207"/>
  <c r="I198" i="207"/>
  <c r="H198" i="207"/>
  <c r="Q197" i="207"/>
  <c r="P197" i="207"/>
  <c r="O197" i="207"/>
  <c r="L197" i="207"/>
  <c r="K197" i="207"/>
  <c r="I197" i="207"/>
  <c r="H197" i="207"/>
  <c r="Q196" i="207"/>
  <c r="P196" i="207"/>
  <c r="O196" i="207"/>
  <c r="L196" i="207"/>
  <c r="K196" i="207"/>
  <c r="I196" i="207"/>
  <c r="H196" i="207"/>
  <c r="Q195" i="207"/>
  <c r="P195" i="207"/>
  <c r="O195" i="207"/>
  <c r="L195" i="207"/>
  <c r="K195" i="207"/>
  <c r="I195" i="207"/>
  <c r="H195" i="207"/>
  <c r="Q194" i="207"/>
  <c r="P194" i="207"/>
  <c r="O194" i="207"/>
  <c r="L194" i="207"/>
  <c r="K194" i="207"/>
  <c r="I194" i="207"/>
  <c r="H194" i="207"/>
  <c r="Q193" i="207"/>
  <c r="P193" i="207"/>
  <c r="O193" i="207"/>
  <c r="L193" i="207"/>
  <c r="K193" i="207"/>
  <c r="I193" i="207"/>
  <c r="H193" i="207"/>
  <c r="Q192" i="207"/>
  <c r="P192" i="207"/>
  <c r="O192" i="207"/>
  <c r="L192" i="207"/>
  <c r="K192" i="207"/>
  <c r="I192" i="207"/>
  <c r="H192" i="207"/>
  <c r="Q191" i="207"/>
  <c r="P191" i="207"/>
  <c r="O191" i="207"/>
  <c r="L191" i="207"/>
  <c r="K191" i="207"/>
  <c r="I191" i="207"/>
  <c r="H191" i="207"/>
  <c r="Q190" i="207"/>
  <c r="P190" i="207"/>
  <c r="O190" i="207"/>
  <c r="L190" i="207"/>
  <c r="K190" i="207"/>
  <c r="I190" i="207"/>
  <c r="H190" i="207"/>
  <c r="Q189" i="207"/>
  <c r="P189" i="207"/>
  <c r="O189" i="207"/>
  <c r="L189" i="207"/>
  <c r="K189" i="207"/>
  <c r="I189" i="207"/>
  <c r="H189" i="207"/>
  <c r="Q188" i="207"/>
  <c r="P188" i="207"/>
  <c r="O188" i="207"/>
  <c r="L188" i="207"/>
  <c r="K188" i="207"/>
  <c r="I188" i="207"/>
  <c r="H188" i="207"/>
  <c r="Q187" i="207"/>
  <c r="P187" i="207"/>
  <c r="O187" i="207"/>
  <c r="L187" i="207"/>
  <c r="K187" i="207"/>
  <c r="I187" i="207"/>
  <c r="H187" i="207"/>
  <c r="Q186" i="207"/>
  <c r="P186" i="207"/>
  <c r="O186" i="207"/>
  <c r="L186" i="207"/>
  <c r="K186" i="207"/>
  <c r="I186" i="207"/>
  <c r="H186" i="207"/>
  <c r="Q185" i="207"/>
  <c r="P185" i="207"/>
  <c r="O185" i="207"/>
  <c r="L185" i="207"/>
  <c r="K185" i="207"/>
  <c r="I185" i="207"/>
  <c r="H185" i="207"/>
  <c r="Q184" i="207"/>
  <c r="P184" i="207"/>
  <c r="O184" i="207"/>
  <c r="L184" i="207"/>
  <c r="K184" i="207"/>
  <c r="I184" i="207"/>
  <c r="H184" i="207"/>
  <c r="Q183" i="207"/>
  <c r="P183" i="207"/>
  <c r="O183" i="207"/>
  <c r="L183" i="207"/>
  <c r="K183" i="207"/>
  <c r="I183" i="207"/>
  <c r="H183" i="207"/>
  <c r="Q182" i="207"/>
  <c r="P182" i="207"/>
  <c r="O182" i="207"/>
  <c r="L182" i="207"/>
  <c r="K182" i="207"/>
  <c r="I182" i="207"/>
  <c r="H182" i="207"/>
  <c r="Q181" i="207"/>
  <c r="P181" i="207"/>
  <c r="O181" i="207"/>
  <c r="L181" i="207"/>
  <c r="K181" i="207"/>
  <c r="I181" i="207"/>
  <c r="H181" i="207"/>
  <c r="Q180" i="207"/>
  <c r="P180" i="207"/>
  <c r="O180" i="207"/>
  <c r="L180" i="207"/>
  <c r="K180" i="207"/>
  <c r="I180" i="207"/>
  <c r="H180" i="207"/>
  <c r="Q179" i="207"/>
  <c r="P179" i="207"/>
  <c r="O179" i="207"/>
  <c r="L179" i="207"/>
  <c r="K179" i="207"/>
  <c r="I179" i="207"/>
  <c r="H179" i="207"/>
  <c r="Q178" i="207"/>
  <c r="P178" i="207"/>
  <c r="O178" i="207"/>
  <c r="L178" i="207"/>
  <c r="K178" i="207"/>
  <c r="I178" i="207"/>
  <c r="H178" i="207"/>
  <c r="Q177" i="207"/>
  <c r="P177" i="207"/>
  <c r="O177" i="207"/>
  <c r="L177" i="207"/>
  <c r="K177" i="207"/>
  <c r="I177" i="207"/>
  <c r="H177" i="207"/>
  <c r="Q176" i="207"/>
  <c r="P176" i="207"/>
  <c r="O176" i="207"/>
  <c r="L176" i="207"/>
  <c r="K176" i="207"/>
  <c r="I176" i="207"/>
  <c r="H176" i="207"/>
  <c r="Q175" i="207"/>
  <c r="P175" i="207"/>
  <c r="O175" i="207"/>
  <c r="L175" i="207"/>
  <c r="K175" i="207"/>
  <c r="I175" i="207"/>
  <c r="H175" i="207"/>
  <c r="Q174" i="207"/>
  <c r="P174" i="207"/>
  <c r="O174" i="207"/>
  <c r="L174" i="207"/>
  <c r="K174" i="207"/>
  <c r="I174" i="207"/>
  <c r="H174" i="207"/>
  <c r="Q173" i="207"/>
  <c r="P173" i="207"/>
  <c r="O173" i="207"/>
  <c r="L173" i="207"/>
  <c r="K173" i="207"/>
  <c r="I173" i="207"/>
  <c r="H173" i="207"/>
  <c r="Q172" i="207"/>
  <c r="P172" i="207"/>
  <c r="O172" i="207"/>
  <c r="L172" i="207"/>
  <c r="K172" i="207"/>
  <c r="I172" i="207"/>
  <c r="H172" i="207"/>
  <c r="Q171" i="207"/>
  <c r="P171" i="207"/>
  <c r="O171" i="207"/>
  <c r="L171" i="207"/>
  <c r="K171" i="207"/>
  <c r="I171" i="207"/>
  <c r="H171" i="207"/>
  <c r="Q170" i="207"/>
  <c r="P170" i="207"/>
  <c r="O170" i="207"/>
  <c r="L170" i="207"/>
  <c r="K170" i="207"/>
  <c r="I170" i="207"/>
  <c r="H170" i="207"/>
  <c r="Q169" i="207"/>
  <c r="P169" i="207"/>
  <c r="O169" i="207"/>
  <c r="L169" i="207"/>
  <c r="K169" i="207"/>
  <c r="I169" i="207"/>
  <c r="H169" i="207"/>
  <c r="Q168" i="207"/>
  <c r="P168" i="207"/>
  <c r="O168" i="207"/>
  <c r="L168" i="207"/>
  <c r="K168" i="207"/>
  <c r="I168" i="207"/>
  <c r="H168" i="207"/>
  <c r="Q167" i="207"/>
  <c r="P167" i="207"/>
  <c r="O167" i="207"/>
  <c r="N167" i="207"/>
  <c r="L167" i="207"/>
  <c r="K167" i="207"/>
  <c r="I167" i="207"/>
  <c r="H167" i="207"/>
  <c r="Q166" i="207"/>
  <c r="P166" i="207"/>
  <c r="O166" i="207"/>
  <c r="L166" i="207"/>
  <c r="K166" i="207"/>
  <c r="I166" i="207"/>
  <c r="H166" i="207"/>
  <c r="Q165" i="207"/>
  <c r="P165" i="207"/>
  <c r="O165" i="207"/>
  <c r="L165" i="207"/>
  <c r="K165" i="207"/>
  <c r="I165" i="207"/>
  <c r="H165" i="207"/>
  <c r="Q164" i="207"/>
  <c r="P164" i="207"/>
  <c r="O164" i="207"/>
  <c r="N164" i="207"/>
  <c r="L164" i="207"/>
  <c r="K164" i="207"/>
  <c r="I164" i="207"/>
  <c r="H164" i="207"/>
  <c r="Q163" i="207"/>
  <c r="P163" i="207"/>
  <c r="O163" i="207"/>
  <c r="N163" i="207"/>
  <c r="L163" i="207"/>
  <c r="K163" i="207"/>
  <c r="I163" i="207"/>
  <c r="H163" i="207"/>
  <c r="Q162" i="207"/>
  <c r="P162" i="207"/>
  <c r="O162" i="207"/>
  <c r="N162" i="207"/>
  <c r="L162" i="207"/>
  <c r="K162" i="207"/>
  <c r="I162" i="207"/>
  <c r="H162" i="207"/>
  <c r="Q161" i="207"/>
  <c r="P161" i="207"/>
  <c r="O161" i="207"/>
  <c r="N161" i="207"/>
  <c r="L161" i="207"/>
  <c r="K161" i="207"/>
  <c r="I161" i="207"/>
  <c r="H161" i="207"/>
  <c r="Q160" i="207"/>
  <c r="P160" i="207"/>
  <c r="O160" i="207"/>
  <c r="L160" i="207"/>
  <c r="K160" i="207"/>
  <c r="I160" i="207"/>
  <c r="H160" i="207"/>
  <c r="Q159" i="207"/>
  <c r="P159" i="207"/>
  <c r="O159" i="207"/>
  <c r="L159" i="207"/>
  <c r="K159" i="207"/>
  <c r="I159" i="207"/>
  <c r="H159" i="207"/>
  <c r="Q158" i="207"/>
  <c r="P158" i="207"/>
  <c r="O158" i="207"/>
  <c r="N158" i="207"/>
  <c r="L158" i="207"/>
  <c r="K158" i="207"/>
  <c r="I158" i="207"/>
  <c r="H158" i="207"/>
  <c r="Q157" i="207"/>
  <c r="P157" i="207"/>
  <c r="O157" i="207"/>
  <c r="L157" i="207"/>
  <c r="K157" i="207"/>
  <c r="I157" i="207"/>
  <c r="H157" i="207"/>
  <c r="Q156" i="207"/>
  <c r="P156" i="207"/>
  <c r="O156" i="207"/>
  <c r="N156" i="207"/>
  <c r="L156" i="207"/>
  <c r="K156" i="207"/>
  <c r="I156" i="207"/>
  <c r="H156" i="207"/>
  <c r="Q155" i="207"/>
  <c r="P155" i="207"/>
  <c r="O155" i="207"/>
  <c r="N155" i="207"/>
  <c r="L155" i="207"/>
  <c r="K155" i="207"/>
  <c r="I155" i="207"/>
  <c r="H155" i="207"/>
  <c r="Q154" i="207"/>
  <c r="P154" i="207"/>
  <c r="O154" i="207"/>
  <c r="L154" i="207"/>
  <c r="K154" i="207"/>
  <c r="I154" i="207"/>
  <c r="H154" i="207"/>
  <c r="Q153" i="207"/>
  <c r="P153" i="207"/>
  <c r="O153" i="207"/>
  <c r="N153" i="207"/>
  <c r="L153" i="207"/>
  <c r="K153" i="207"/>
  <c r="I153" i="207"/>
  <c r="H153" i="207"/>
  <c r="Q152" i="207"/>
  <c r="P152" i="207"/>
  <c r="O152" i="207"/>
  <c r="N152" i="207"/>
  <c r="L152" i="207"/>
  <c r="K152" i="207"/>
  <c r="I152" i="207"/>
  <c r="H152" i="207"/>
  <c r="Q151" i="207"/>
  <c r="P151" i="207"/>
  <c r="O151" i="207"/>
  <c r="L151" i="207"/>
  <c r="K151" i="207"/>
  <c r="I151" i="207"/>
  <c r="H151" i="207"/>
  <c r="Q150" i="207"/>
  <c r="P150" i="207"/>
  <c r="O150" i="207"/>
  <c r="N150" i="207"/>
  <c r="L150" i="207"/>
  <c r="K150" i="207"/>
  <c r="I150" i="207"/>
  <c r="H150" i="207"/>
  <c r="Q149" i="207"/>
  <c r="P149" i="207"/>
  <c r="O149" i="207"/>
  <c r="L149" i="207"/>
  <c r="K149" i="207"/>
  <c r="I149" i="207"/>
  <c r="H149" i="207"/>
  <c r="Q148" i="207"/>
  <c r="P148" i="207"/>
  <c r="O148" i="207"/>
  <c r="N148" i="207"/>
  <c r="L148" i="207"/>
  <c r="K148" i="207"/>
  <c r="I148" i="207"/>
  <c r="H148" i="207"/>
  <c r="Q147" i="207"/>
  <c r="P147" i="207"/>
  <c r="O147" i="207"/>
  <c r="N147" i="207"/>
  <c r="L147" i="207"/>
  <c r="K147" i="207"/>
  <c r="I147" i="207"/>
  <c r="H147" i="207"/>
  <c r="Q146" i="207"/>
  <c r="P146" i="207"/>
  <c r="O146" i="207"/>
  <c r="L146" i="207"/>
  <c r="K146" i="207"/>
  <c r="I146" i="207"/>
  <c r="H146" i="207"/>
  <c r="Q145" i="207"/>
  <c r="P145" i="207"/>
  <c r="O145" i="207"/>
  <c r="L145" i="207"/>
  <c r="K145" i="207"/>
  <c r="I145" i="207"/>
  <c r="H145" i="207"/>
  <c r="Q144" i="207"/>
  <c r="P144" i="207"/>
  <c r="O144" i="207"/>
  <c r="L144" i="207"/>
  <c r="K144" i="207"/>
  <c r="I144" i="207"/>
  <c r="H144" i="207"/>
  <c r="Q143" i="207"/>
  <c r="P143" i="207"/>
  <c r="O143" i="207"/>
  <c r="N143" i="207"/>
  <c r="L143" i="207"/>
  <c r="K143" i="207"/>
  <c r="I143" i="207"/>
  <c r="H143" i="207"/>
  <c r="Q142" i="207"/>
  <c r="P142" i="207"/>
  <c r="O142" i="207"/>
  <c r="N142" i="207"/>
  <c r="L142" i="207"/>
  <c r="K142" i="207"/>
  <c r="I142" i="207"/>
  <c r="H142" i="207"/>
  <c r="Q141" i="207"/>
  <c r="P141" i="207"/>
  <c r="O141" i="207"/>
  <c r="N141" i="207"/>
  <c r="L141" i="207"/>
  <c r="K141" i="207"/>
  <c r="I141" i="207"/>
  <c r="H141" i="207"/>
  <c r="Q140" i="207"/>
  <c r="P140" i="207"/>
  <c r="O140" i="207"/>
  <c r="N140" i="207"/>
  <c r="L140" i="207"/>
  <c r="K140" i="207"/>
  <c r="I140" i="207"/>
  <c r="H140" i="207"/>
  <c r="Q139" i="207"/>
  <c r="P139" i="207"/>
  <c r="O139" i="207"/>
  <c r="N139" i="207"/>
  <c r="L139" i="207"/>
  <c r="K139" i="207"/>
  <c r="I139" i="207"/>
  <c r="H139" i="207"/>
  <c r="E139" i="207"/>
  <c r="Q136" i="207"/>
  <c r="P136" i="207"/>
  <c r="O136" i="207"/>
  <c r="N136" i="207"/>
  <c r="M136" i="207"/>
  <c r="L136" i="207"/>
  <c r="K136" i="207"/>
  <c r="J136" i="207"/>
  <c r="I136" i="207"/>
  <c r="H136" i="207"/>
  <c r="G136" i="207"/>
  <c r="F136" i="207"/>
  <c r="E136" i="207"/>
  <c r="Q135" i="207"/>
  <c r="P135" i="207"/>
  <c r="O135" i="207"/>
  <c r="N135" i="207"/>
  <c r="L135" i="207"/>
  <c r="K135" i="207"/>
  <c r="I135" i="207"/>
  <c r="H135" i="207"/>
  <c r="Q134" i="207"/>
  <c r="P134" i="207"/>
  <c r="O134" i="207"/>
  <c r="N134" i="207"/>
  <c r="L134" i="207"/>
  <c r="K134" i="207"/>
  <c r="I134" i="207"/>
  <c r="H134" i="207"/>
  <c r="Q133" i="207"/>
  <c r="P133" i="207"/>
  <c r="O133" i="207"/>
  <c r="N133" i="207"/>
  <c r="L133" i="207"/>
  <c r="K133" i="207"/>
  <c r="I133" i="207"/>
  <c r="H133" i="207"/>
  <c r="Q132" i="207"/>
  <c r="P132" i="207"/>
  <c r="O132" i="207"/>
  <c r="L132" i="207"/>
  <c r="K132" i="207"/>
  <c r="I132" i="207"/>
  <c r="H132" i="207"/>
  <c r="Q131" i="207"/>
  <c r="P131" i="207"/>
  <c r="O131" i="207"/>
  <c r="N131" i="207"/>
  <c r="L131" i="207"/>
  <c r="K131" i="207"/>
  <c r="I131" i="207"/>
  <c r="H131" i="207"/>
  <c r="Q130" i="207"/>
  <c r="P130" i="207"/>
  <c r="O130" i="207"/>
  <c r="N130" i="207"/>
  <c r="L130" i="207"/>
  <c r="K130" i="207"/>
  <c r="I130" i="207"/>
  <c r="H130" i="207"/>
  <c r="Q129" i="207"/>
  <c r="P129" i="207"/>
  <c r="O129" i="207"/>
  <c r="L129" i="207"/>
  <c r="K129" i="207"/>
  <c r="I129" i="207"/>
  <c r="H129" i="207"/>
  <c r="Q128" i="207"/>
  <c r="P128" i="207"/>
  <c r="O128" i="207"/>
  <c r="N128" i="207"/>
  <c r="L128" i="207"/>
  <c r="K128" i="207"/>
  <c r="I128" i="207"/>
  <c r="H128" i="207"/>
  <c r="Q127" i="207"/>
  <c r="P127" i="207"/>
  <c r="O127" i="207"/>
  <c r="N127" i="207"/>
  <c r="L127" i="207"/>
  <c r="K127" i="207"/>
  <c r="I127" i="207"/>
  <c r="H127" i="207"/>
  <c r="Q126" i="207"/>
  <c r="P126" i="207"/>
  <c r="O126" i="207"/>
  <c r="N126" i="207"/>
  <c r="L126" i="207"/>
  <c r="K126" i="207"/>
  <c r="I126" i="207"/>
  <c r="H126" i="207"/>
  <c r="Q123" i="207"/>
  <c r="P123" i="207"/>
  <c r="O123" i="207"/>
  <c r="N123" i="207"/>
  <c r="M123" i="207"/>
  <c r="L123" i="207"/>
  <c r="K123" i="207"/>
  <c r="J123" i="207"/>
  <c r="I123" i="207"/>
  <c r="H123" i="207"/>
  <c r="G123" i="207"/>
  <c r="F123" i="207"/>
  <c r="E123" i="207"/>
  <c r="P122" i="207"/>
  <c r="O122" i="207"/>
  <c r="L122" i="207"/>
  <c r="K122" i="207"/>
  <c r="I122" i="207"/>
  <c r="H122" i="207"/>
  <c r="P121" i="207"/>
  <c r="O121" i="207"/>
  <c r="L121" i="207"/>
  <c r="K121" i="207"/>
  <c r="I121" i="207"/>
  <c r="H121" i="207"/>
  <c r="Q118" i="207"/>
  <c r="P118" i="207"/>
  <c r="O118" i="207"/>
  <c r="N118" i="207"/>
  <c r="M118" i="207"/>
  <c r="L118" i="207"/>
  <c r="K118" i="207"/>
  <c r="J118" i="207"/>
  <c r="I118" i="207"/>
  <c r="H118" i="207"/>
  <c r="G118" i="207"/>
  <c r="F118" i="207"/>
  <c r="E118" i="207"/>
  <c r="Q117" i="207"/>
  <c r="P117" i="207"/>
  <c r="O117" i="207"/>
  <c r="N117" i="207"/>
  <c r="L117" i="207"/>
  <c r="K117" i="207"/>
  <c r="I117" i="207"/>
  <c r="H117" i="207"/>
  <c r="P116" i="207"/>
  <c r="O116" i="207"/>
  <c r="L116" i="207"/>
  <c r="K116" i="207"/>
  <c r="I116" i="207"/>
  <c r="H116" i="207"/>
  <c r="P115" i="207"/>
  <c r="O115" i="207"/>
  <c r="L115" i="207"/>
  <c r="K115" i="207"/>
  <c r="I115" i="207"/>
  <c r="H115" i="207"/>
  <c r="Q112" i="207"/>
  <c r="P112" i="207"/>
  <c r="O112" i="207"/>
  <c r="N112" i="207"/>
  <c r="M112" i="207"/>
  <c r="L112" i="207"/>
  <c r="K112" i="207"/>
  <c r="J112" i="207"/>
  <c r="I112" i="207"/>
  <c r="H112" i="207"/>
  <c r="G112" i="207"/>
  <c r="F112" i="207"/>
  <c r="E112" i="207"/>
  <c r="P111" i="207"/>
  <c r="O111" i="207"/>
  <c r="N111" i="207"/>
  <c r="L111" i="207"/>
  <c r="K111" i="207"/>
  <c r="I111" i="207"/>
  <c r="H111" i="207"/>
  <c r="P110" i="207"/>
  <c r="O110" i="207"/>
  <c r="L110" i="207"/>
  <c r="K110" i="207"/>
  <c r="I110" i="207"/>
  <c r="H110" i="207"/>
  <c r="P109" i="207"/>
  <c r="O109" i="207"/>
  <c r="L109" i="207"/>
  <c r="K109" i="207"/>
  <c r="I109" i="207"/>
  <c r="H109" i="207"/>
  <c r="P108" i="207"/>
  <c r="O108" i="207"/>
  <c r="L108" i="207"/>
  <c r="K108" i="207"/>
  <c r="I108" i="207"/>
  <c r="H108" i="207"/>
  <c r="Q107" i="207"/>
  <c r="P107" i="207"/>
  <c r="O107" i="207"/>
  <c r="N107" i="207"/>
  <c r="L107" i="207"/>
  <c r="K107" i="207"/>
  <c r="I107" i="207"/>
  <c r="H107" i="207"/>
  <c r="Q106" i="207"/>
  <c r="P106" i="207"/>
  <c r="O106" i="207"/>
  <c r="N106" i="207"/>
  <c r="L106" i="207"/>
  <c r="K106" i="207"/>
  <c r="I106" i="207"/>
  <c r="H106" i="207"/>
  <c r="P105" i="207"/>
  <c r="O105" i="207"/>
  <c r="L105" i="207"/>
  <c r="K105" i="207"/>
  <c r="I105" i="207"/>
  <c r="H105" i="207"/>
  <c r="Q102" i="207"/>
  <c r="P102" i="207"/>
  <c r="O102" i="207"/>
  <c r="N102" i="207"/>
  <c r="M102" i="207"/>
  <c r="L102" i="207"/>
  <c r="K102" i="207"/>
  <c r="J102" i="207"/>
  <c r="I102" i="207"/>
  <c r="H102" i="207"/>
  <c r="G102" i="207"/>
  <c r="F102" i="207"/>
  <c r="E102" i="207"/>
  <c r="Q101" i="207"/>
  <c r="P101" i="207"/>
  <c r="O101" i="207"/>
  <c r="L101" i="207"/>
  <c r="K101" i="207"/>
  <c r="I101" i="207"/>
  <c r="H101" i="207"/>
  <c r="Q100" i="207"/>
  <c r="P100" i="207"/>
  <c r="O100" i="207"/>
  <c r="L100" i="207"/>
  <c r="K100" i="207"/>
  <c r="I100" i="207"/>
  <c r="H100" i="207"/>
  <c r="Q99" i="207"/>
  <c r="P99" i="207"/>
  <c r="O99" i="207"/>
  <c r="N99" i="207"/>
  <c r="L99" i="207"/>
  <c r="K99" i="207"/>
  <c r="I99" i="207"/>
  <c r="H99" i="207"/>
  <c r="Q98" i="207"/>
  <c r="P98" i="207"/>
  <c r="O98" i="207"/>
  <c r="L98" i="207"/>
  <c r="K98" i="207"/>
  <c r="I98" i="207"/>
  <c r="H98" i="207"/>
  <c r="Q97" i="207"/>
  <c r="P97" i="207"/>
  <c r="O97" i="207"/>
  <c r="N97" i="207"/>
  <c r="L97" i="207"/>
  <c r="K97" i="207"/>
  <c r="I97" i="207"/>
  <c r="H97" i="207"/>
  <c r="Q94" i="207"/>
  <c r="P94" i="207"/>
  <c r="O94" i="207"/>
  <c r="N94" i="207"/>
  <c r="M94" i="207"/>
  <c r="L94" i="207"/>
  <c r="K94" i="207"/>
  <c r="J94" i="207"/>
  <c r="I94" i="207"/>
  <c r="H94" i="207"/>
  <c r="G94" i="207"/>
  <c r="F94" i="207"/>
  <c r="E94" i="207"/>
  <c r="P93" i="207"/>
  <c r="O93" i="207"/>
  <c r="N93" i="207"/>
  <c r="L93" i="207"/>
  <c r="K93" i="207"/>
  <c r="I93" i="207"/>
  <c r="H93" i="207"/>
  <c r="P92" i="207"/>
  <c r="O92" i="207"/>
  <c r="L92" i="207"/>
  <c r="K92" i="207"/>
  <c r="I92" i="207"/>
  <c r="H92" i="207"/>
  <c r="Q91" i="207"/>
  <c r="P91" i="207"/>
  <c r="O91" i="207"/>
  <c r="N91" i="207"/>
  <c r="L91" i="207"/>
  <c r="K91" i="207"/>
  <c r="I91" i="207"/>
  <c r="H91" i="207"/>
  <c r="P90" i="207"/>
  <c r="O90" i="207"/>
  <c r="L90" i="207"/>
  <c r="K90" i="207"/>
  <c r="I90" i="207"/>
  <c r="H90" i="207"/>
  <c r="P89" i="207"/>
  <c r="O89" i="207"/>
  <c r="L89" i="207"/>
  <c r="K89" i="207"/>
  <c r="I89" i="207"/>
  <c r="H89" i="207"/>
  <c r="Q88" i="207"/>
  <c r="P88" i="207"/>
  <c r="O88" i="207"/>
  <c r="N88" i="207"/>
  <c r="L88" i="207"/>
  <c r="K88" i="207"/>
  <c r="I88" i="207"/>
  <c r="H88" i="207"/>
  <c r="P87" i="207"/>
  <c r="O87" i="207"/>
  <c r="L87" i="207"/>
  <c r="K87" i="207"/>
  <c r="I87" i="207"/>
  <c r="H87" i="207"/>
  <c r="P86" i="207"/>
  <c r="O86" i="207"/>
  <c r="L86" i="207"/>
  <c r="K86" i="207"/>
  <c r="I86" i="207"/>
  <c r="H86" i="207"/>
  <c r="P85" i="207"/>
  <c r="O85" i="207"/>
  <c r="L85" i="207"/>
  <c r="K85" i="207"/>
  <c r="I85" i="207"/>
  <c r="H85" i="207"/>
  <c r="Q84" i="207"/>
  <c r="P84" i="207"/>
  <c r="O84" i="207"/>
  <c r="N84" i="207"/>
  <c r="L84" i="207"/>
  <c r="K84" i="207"/>
  <c r="I84" i="207"/>
  <c r="H84" i="207"/>
  <c r="E84" i="207"/>
  <c r="Q81" i="207"/>
  <c r="P81" i="207"/>
  <c r="O81" i="207"/>
  <c r="N81" i="207"/>
  <c r="M81" i="207"/>
  <c r="L81" i="207"/>
  <c r="K81" i="207"/>
  <c r="J81" i="207"/>
  <c r="I81" i="207"/>
  <c r="H81" i="207"/>
  <c r="G81" i="207"/>
  <c r="F81" i="207"/>
  <c r="E81" i="207"/>
  <c r="P80" i="207"/>
  <c r="O80" i="207"/>
  <c r="L80" i="207"/>
  <c r="K80" i="207"/>
  <c r="I80" i="207"/>
  <c r="H80" i="207"/>
  <c r="P79" i="207"/>
  <c r="O79" i="207"/>
  <c r="N79" i="207"/>
  <c r="L79" i="207"/>
  <c r="K79" i="207"/>
  <c r="I79" i="207"/>
  <c r="H79" i="207"/>
  <c r="P78" i="207"/>
  <c r="O78" i="207"/>
  <c r="L78" i="207"/>
  <c r="K78" i="207"/>
  <c r="I78" i="207"/>
  <c r="H78" i="207"/>
  <c r="Q77" i="207"/>
  <c r="P77" i="207"/>
  <c r="O77" i="207"/>
  <c r="N77" i="207"/>
  <c r="L77" i="207"/>
  <c r="K77" i="207"/>
  <c r="I77" i="207"/>
  <c r="H77" i="207"/>
  <c r="P76" i="207"/>
  <c r="O76" i="207"/>
  <c r="L76" i="207"/>
  <c r="K76" i="207"/>
  <c r="I76" i="207"/>
  <c r="H76" i="207"/>
  <c r="P75" i="207"/>
  <c r="O75" i="207"/>
  <c r="L75" i="207"/>
  <c r="K75" i="207"/>
  <c r="I75" i="207"/>
  <c r="H75" i="207"/>
  <c r="Q72" i="207"/>
  <c r="P72" i="207"/>
  <c r="O72" i="207"/>
  <c r="N72" i="207"/>
  <c r="M72" i="207"/>
  <c r="L72" i="207"/>
  <c r="K72" i="207"/>
  <c r="J72" i="207"/>
  <c r="I72" i="207"/>
  <c r="H72" i="207"/>
  <c r="G72" i="207"/>
  <c r="F72" i="207"/>
  <c r="E72" i="207"/>
  <c r="P71" i="207"/>
  <c r="O71" i="207"/>
  <c r="N71" i="207"/>
  <c r="L71" i="207"/>
  <c r="K71" i="207"/>
  <c r="I71" i="207"/>
  <c r="H71" i="207"/>
  <c r="P70" i="207"/>
  <c r="O70" i="207"/>
  <c r="L70" i="207"/>
  <c r="K70" i="207"/>
  <c r="I70" i="207"/>
  <c r="H70" i="207"/>
  <c r="P69" i="207"/>
  <c r="O69" i="207"/>
  <c r="L69" i="207"/>
  <c r="K69" i="207"/>
  <c r="I69" i="207"/>
  <c r="H69" i="207"/>
  <c r="P68" i="207"/>
  <c r="O68" i="207"/>
  <c r="L68" i="207"/>
  <c r="K68" i="207"/>
  <c r="I68" i="207"/>
  <c r="H68" i="207"/>
  <c r="P67" i="207"/>
  <c r="O67" i="207"/>
  <c r="L67" i="207"/>
  <c r="K67" i="207"/>
  <c r="I67" i="207"/>
  <c r="H67" i="207"/>
  <c r="P66" i="207"/>
  <c r="O66" i="207"/>
  <c r="L66" i="207"/>
  <c r="K66" i="207"/>
  <c r="I66" i="207"/>
  <c r="H66" i="207"/>
  <c r="Q65" i="207"/>
  <c r="P65" i="207"/>
  <c r="O65" i="207"/>
  <c r="N65" i="207"/>
  <c r="L65" i="207"/>
  <c r="K65" i="207"/>
  <c r="I65" i="207"/>
  <c r="H65" i="207"/>
  <c r="Q62" i="207"/>
  <c r="P62" i="207"/>
  <c r="O62" i="207"/>
  <c r="N62" i="207"/>
  <c r="M62" i="207"/>
  <c r="L62" i="207"/>
  <c r="K62" i="207"/>
  <c r="J62" i="207"/>
  <c r="I62" i="207"/>
  <c r="H62" i="207"/>
  <c r="G62" i="207"/>
  <c r="F62" i="207"/>
  <c r="E62" i="207"/>
  <c r="P61" i="207"/>
  <c r="O61" i="207"/>
  <c r="L61" i="207"/>
  <c r="K61" i="207"/>
  <c r="I61" i="207"/>
  <c r="H61" i="207"/>
  <c r="P60" i="207"/>
  <c r="O60" i="207"/>
  <c r="L60" i="207"/>
  <c r="K60" i="207"/>
  <c r="I60" i="207"/>
  <c r="H60" i="207"/>
  <c r="Q57" i="207"/>
  <c r="P57" i="207"/>
  <c r="O57" i="207"/>
  <c r="N57" i="207"/>
  <c r="M57" i="207"/>
  <c r="L57" i="207"/>
  <c r="K57" i="207"/>
  <c r="J57" i="207"/>
  <c r="I57" i="207"/>
  <c r="H57" i="207"/>
  <c r="G57" i="207"/>
  <c r="F57" i="207"/>
  <c r="E57" i="207"/>
  <c r="P56" i="207"/>
  <c r="O56" i="207"/>
  <c r="L56" i="207"/>
  <c r="K56" i="207"/>
  <c r="I56" i="207"/>
  <c r="H56" i="207"/>
  <c r="P55" i="207"/>
  <c r="O55" i="207"/>
  <c r="L55" i="207"/>
  <c r="K55" i="207"/>
  <c r="I55" i="207"/>
  <c r="H55" i="207"/>
  <c r="P54" i="207"/>
  <c r="O54" i="207"/>
  <c r="L54" i="207"/>
  <c r="K54" i="207"/>
  <c r="I54" i="207"/>
  <c r="H54" i="207"/>
  <c r="P53" i="207"/>
  <c r="O53" i="207"/>
  <c r="L53" i="207"/>
  <c r="K53" i="207"/>
  <c r="I53" i="207"/>
  <c r="H53" i="207"/>
  <c r="P52" i="207"/>
  <c r="O52" i="207"/>
  <c r="L52" i="207"/>
  <c r="K52" i="207"/>
  <c r="I52" i="207"/>
  <c r="H52" i="207"/>
  <c r="Q51" i="207"/>
  <c r="P51" i="207"/>
  <c r="O51" i="207"/>
  <c r="N51" i="207"/>
  <c r="L51" i="207"/>
  <c r="K51" i="207"/>
  <c r="I51" i="207"/>
  <c r="H51" i="207"/>
  <c r="P50" i="207"/>
  <c r="O50" i="207"/>
  <c r="L50" i="207"/>
  <c r="K50" i="207"/>
  <c r="I50" i="207"/>
  <c r="H50" i="207"/>
  <c r="P49" i="207"/>
  <c r="O49" i="207"/>
  <c r="L49" i="207"/>
  <c r="K49" i="207"/>
  <c r="I49" i="207"/>
  <c r="H49" i="207"/>
  <c r="Q46" i="207"/>
  <c r="P46" i="207"/>
  <c r="O46" i="207"/>
  <c r="N46" i="207"/>
  <c r="M46" i="207"/>
  <c r="L46" i="207"/>
  <c r="K46" i="207"/>
  <c r="J46" i="207"/>
  <c r="I46" i="207"/>
  <c r="H46" i="207"/>
  <c r="G46" i="207"/>
  <c r="F46" i="207"/>
  <c r="E46" i="207"/>
  <c r="P45" i="207"/>
  <c r="O45" i="207"/>
  <c r="N45" i="207"/>
  <c r="L45" i="207"/>
  <c r="K45" i="207"/>
  <c r="I45" i="207"/>
  <c r="H45" i="207"/>
  <c r="P44" i="207"/>
  <c r="O44" i="207"/>
  <c r="L44" i="207"/>
  <c r="K44" i="207"/>
  <c r="I44" i="207"/>
  <c r="H44" i="207"/>
  <c r="P43" i="207"/>
  <c r="O43" i="207"/>
  <c r="N43" i="207"/>
  <c r="L43" i="207"/>
  <c r="K43" i="207"/>
  <c r="I43" i="207"/>
  <c r="H43" i="207"/>
  <c r="P42" i="207"/>
  <c r="O42" i="207"/>
  <c r="L42" i="207"/>
  <c r="K42" i="207"/>
  <c r="I42" i="207"/>
  <c r="H42" i="207"/>
  <c r="Q39" i="207"/>
  <c r="P39" i="207"/>
  <c r="O39" i="207"/>
  <c r="N39" i="207"/>
  <c r="M39" i="207"/>
  <c r="L39" i="207"/>
  <c r="K39" i="207"/>
  <c r="J39" i="207"/>
  <c r="I39" i="207"/>
  <c r="H39" i="207"/>
  <c r="G39" i="207"/>
  <c r="F39" i="207"/>
  <c r="E39" i="207"/>
  <c r="Q38" i="207"/>
  <c r="P38" i="207"/>
  <c r="O38" i="207"/>
  <c r="N38" i="207"/>
  <c r="L38" i="207"/>
  <c r="K38" i="207"/>
  <c r="I38" i="207"/>
  <c r="H38" i="207"/>
  <c r="Q37" i="207"/>
  <c r="P37" i="207"/>
  <c r="O37" i="207"/>
  <c r="N37" i="207"/>
  <c r="L37" i="207"/>
  <c r="K37" i="207"/>
  <c r="I37" i="207"/>
  <c r="H37" i="207"/>
  <c r="Q36" i="207"/>
  <c r="P36" i="207"/>
  <c r="O36" i="207"/>
  <c r="L36" i="207"/>
  <c r="K36" i="207"/>
  <c r="I36" i="207"/>
  <c r="H36" i="207"/>
  <c r="Q35" i="207"/>
  <c r="P35" i="207"/>
  <c r="O35" i="207"/>
  <c r="L35" i="207"/>
  <c r="K35" i="207"/>
  <c r="I35" i="207"/>
  <c r="H35" i="207"/>
  <c r="Q34" i="207"/>
  <c r="P34" i="207"/>
  <c r="O34" i="207"/>
  <c r="N34" i="207"/>
  <c r="L34" i="207"/>
  <c r="K34" i="207"/>
  <c r="I34" i="207"/>
  <c r="H34" i="207"/>
  <c r="Q33" i="207"/>
  <c r="P33" i="207"/>
  <c r="O33" i="207"/>
  <c r="L33" i="207"/>
  <c r="K33" i="207"/>
  <c r="I33" i="207"/>
  <c r="H33" i="207"/>
  <c r="Q32" i="207"/>
  <c r="P32" i="207"/>
  <c r="O32" i="207"/>
  <c r="L32" i="207"/>
  <c r="K32" i="207"/>
  <c r="I32" i="207"/>
  <c r="H32" i="207"/>
  <c r="Q31" i="207"/>
  <c r="P31" i="207"/>
  <c r="O31" i="207"/>
  <c r="L31" i="207"/>
  <c r="K31" i="207"/>
  <c r="I31" i="207"/>
  <c r="H31" i="207"/>
  <c r="Q30" i="207"/>
  <c r="P30" i="207"/>
  <c r="O30" i="207"/>
  <c r="L30" i="207"/>
  <c r="K30" i="207"/>
  <c r="I30" i="207"/>
  <c r="H30" i="207"/>
  <c r="Q29" i="207"/>
  <c r="P29" i="207"/>
  <c r="O29" i="207"/>
  <c r="N29" i="207"/>
  <c r="L29" i="207"/>
  <c r="K29" i="207"/>
  <c r="I29" i="207"/>
  <c r="H29" i="207"/>
  <c r="Q28" i="207"/>
  <c r="P28" i="207"/>
  <c r="O28" i="207"/>
  <c r="N28" i="207"/>
  <c r="L28" i="207"/>
  <c r="K28" i="207"/>
  <c r="I28" i="207"/>
  <c r="H28" i="207"/>
  <c r="Q27" i="207"/>
  <c r="P27" i="207"/>
  <c r="O27" i="207"/>
  <c r="N27" i="207"/>
  <c r="L27" i="207"/>
  <c r="K27" i="207"/>
  <c r="I27" i="207"/>
  <c r="H27" i="207"/>
  <c r="Q26" i="207"/>
  <c r="P26" i="207"/>
  <c r="O26" i="207"/>
  <c r="L26" i="207"/>
  <c r="K26" i="207"/>
  <c r="I26" i="207"/>
  <c r="H26" i="207"/>
  <c r="Q25" i="207"/>
  <c r="P25" i="207"/>
  <c r="O25" i="207"/>
  <c r="L25" i="207"/>
  <c r="K25" i="207"/>
  <c r="I25" i="207"/>
  <c r="H25" i="207"/>
  <c r="Q24" i="207"/>
  <c r="P24" i="207"/>
  <c r="O24" i="207"/>
  <c r="L24" i="207"/>
  <c r="K24" i="207"/>
  <c r="I24" i="207"/>
  <c r="H24" i="207"/>
  <c r="Q23" i="207"/>
  <c r="P23" i="207"/>
  <c r="O23" i="207"/>
  <c r="N23" i="207"/>
  <c r="L23" i="207"/>
  <c r="K23" i="207"/>
  <c r="I23" i="207"/>
  <c r="H23" i="207"/>
  <c r="Q22" i="207"/>
  <c r="P22" i="207"/>
  <c r="O22" i="207"/>
  <c r="N22" i="207"/>
  <c r="L22" i="207"/>
  <c r="K22" i="207"/>
  <c r="I22" i="207"/>
  <c r="H22" i="207"/>
  <c r="F22" i="207"/>
  <c r="Q21" i="207"/>
  <c r="P21" i="207"/>
  <c r="O21" i="207"/>
  <c r="L21" i="207"/>
  <c r="K21" i="207"/>
  <c r="I21" i="207"/>
  <c r="H21" i="207"/>
  <c r="Q20" i="207"/>
  <c r="P20" i="207"/>
  <c r="O20" i="207"/>
  <c r="N20" i="207"/>
  <c r="L20" i="207"/>
  <c r="K20" i="207"/>
  <c r="I20" i="207"/>
  <c r="H20" i="207"/>
  <c r="Q19" i="207"/>
  <c r="P19" i="207"/>
  <c r="O19" i="207"/>
  <c r="N19" i="207"/>
  <c r="L19" i="207"/>
  <c r="K19" i="207"/>
  <c r="I19" i="207"/>
  <c r="H19" i="207"/>
  <c r="Q18" i="207"/>
  <c r="P18" i="207"/>
  <c r="O18" i="207"/>
  <c r="L18" i="207"/>
  <c r="K18" i="207"/>
  <c r="I18" i="207"/>
  <c r="H18" i="207"/>
  <c r="Q17" i="207"/>
  <c r="P17" i="207"/>
  <c r="O17" i="207"/>
  <c r="L17" i="207"/>
  <c r="K17" i="207"/>
  <c r="I17" i="207"/>
  <c r="H17" i="207"/>
  <c r="Q16" i="207"/>
  <c r="P16" i="207"/>
  <c r="O16" i="207"/>
  <c r="L16" i="207"/>
  <c r="K16" i="207"/>
  <c r="I16" i="207"/>
  <c r="H16" i="207"/>
  <c r="Q15" i="207"/>
  <c r="P15" i="207"/>
  <c r="O15" i="207"/>
  <c r="L15" i="207"/>
  <c r="K15" i="207"/>
  <c r="I15" i="207"/>
  <c r="H15" i="207"/>
  <c r="F15" i="207"/>
  <c r="Q14" i="207"/>
  <c r="P14" i="207"/>
  <c r="O14" i="207"/>
  <c r="L14" i="207"/>
  <c r="K14" i="207"/>
  <c r="I14" i="207"/>
  <c r="H14" i="207"/>
  <c r="Q13" i="207"/>
  <c r="P13" i="207"/>
  <c r="O13" i="207"/>
  <c r="N13" i="207"/>
  <c r="L13" i="207"/>
  <c r="K13" i="207"/>
  <c r="I13" i="207"/>
  <c r="H13" i="207"/>
  <c r="Q12" i="207"/>
  <c r="P12" i="207"/>
  <c r="O12" i="207"/>
  <c r="N12" i="207"/>
  <c r="L12" i="207"/>
  <c r="K12" i="207"/>
  <c r="I12" i="207"/>
  <c r="H12" i="207"/>
  <c r="G12" i="207"/>
  <c r="F12" i="207"/>
  <c r="Q11" i="207"/>
  <c r="P11" i="207"/>
  <c r="O11" i="207"/>
  <c r="N11" i="207"/>
  <c r="L11" i="207"/>
  <c r="K11" i="207"/>
  <c r="I11" i="207"/>
  <c r="H11" i="207"/>
  <c r="Q10" i="207"/>
  <c r="P10" i="207"/>
  <c r="O10" i="207"/>
  <c r="L10" i="207"/>
  <c r="I10" i="207"/>
  <c r="H10" i="207"/>
  <c r="Q9" i="207"/>
  <c r="P9" i="207"/>
  <c r="O9" i="207"/>
  <c r="L9" i="207"/>
  <c r="K9" i="207"/>
  <c r="I9" i="207"/>
  <c r="H9" i="207"/>
  <c r="Q8" i="207"/>
  <c r="P8" i="207"/>
  <c r="O8" i="207"/>
  <c r="L8" i="207"/>
  <c r="I8" i="207"/>
  <c r="H8" i="207"/>
  <c r="E3" i="207"/>
  <c r="R19" i="215"/>
  <c r="R18" i="215"/>
  <c r="Q18" i="215"/>
  <c r="P18" i="215"/>
  <c r="O18" i="215"/>
  <c r="J18" i="215"/>
  <c r="E18" i="215"/>
  <c r="R17" i="215"/>
  <c r="Q17" i="215"/>
  <c r="O17" i="215"/>
  <c r="J17" i="215"/>
  <c r="E17" i="215"/>
  <c r="R16" i="215"/>
  <c r="Q16" i="215"/>
  <c r="J16" i="215"/>
  <c r="E16" i="215"/>
  <c r="R15" i="215"/>
  <c r="Q15" i="215"/>
  <c r="J15" i="215"/>
  <c r="H15" i="215"/>
  <c r="R13" i="215"/>
  <c r="R12" i="215"/>
  <c r="Q12" i="215"/>
  <c r="O12" i="215"/>
  <c r="J12" i="215"/>
  <c r="E12" i="215"/>
  <c r="R11" i="215"/>
  <c r="Q11" i="215"/>
  <c r="O11" i="215"/>
  <c r="J11" i="215"/>
  <c r="E11" i="215"/>
  <c r="R10" i="215"/>
  <c r="Q10" i="215"/>
  <c r="J10" i="215"/>
  <c r="H10" i="215"/>
  <c r="R9" i="215"/>
  <c r="Q9" i="215"/>
  <c r="J9" i="215"/>
  <c r="E9" i="215"/>
  <c r="R7" i="215"/>
  <c r="R6" i="215"/>
  <c r="Q6" i="215"/>
  <c r="O6" i="215"/>
  <c r="J6" i="215"/>
  <c r="R5" i="215"/>
  <c r="Q5" i="215"/>
  <c r="P5" i="215"/>
  <c r="O5" i="215"/>
  <c r="J5" i="215"/>
  <c r="R4" i="215"/>
  <c r="Q4" i="215"/>
  <c r="J4" i="215"/>
  <c r="G4" i="215"/>
  <c r="R3" i="215"/>
  <c r="Q3" i="215"/>
  <c r="J3" i="215"/>
  <c r="G3" i="215"/>
  <c r="H9" i="214"/>
  <c r="H8" i="214"/>
  <c r="F8" i="214"/>
  <c r="H7" i="214"/>
  <c r="F7" i="214"/>
  <c r="H6" i="214"/>
  <c r="F6" i="214"/>
  <c r="H5" i="214"/>
  <c r="F5" i="214"/>
  <c r="H4" i="214"/>
  <c r="F4" i="214"/>
  <c r="C174" i="68"/>
  <c r="H64" i="68"/>
  <c r="F64" i="68"/>
  <c r="E64" i="68"/>
  <c r="H63" i="68"/>
  <c r="G63" i="68"/>
  <c r="F63" i="68"/>
  <c r="H62" i="68"/>
  <c r="G62" i="68"/>
  <c r="F62" i="68"/>
  <c r="H61" i="68"/>
  <c r="F61" i="68"/>
  <c r="H60" i="68"/>
  <c r="G60" i="68"/>
  <c r="F60" i="68"/>
  <c r="H59" i="68"/>
  <c r="G59" i="68"/>
  <c r="F59" i="68"/>
  <c r="H58" i="68"/>
  <c r="G58" i="68"/>
  <c r="F58" i="68"/>
  <c r="H57" i="68"/>
  <c r="G57" i="68"/>
  <c r="F57" i="68"/>
  <c r="H56" i="68"/>
  <c r="G56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46" i="68"/>
  <c r="H45" i="68"/>
  <c r="H44" i="68"/>
  <c r="H43" i="68"/>
  <c r="H42" i="68"/>
  <c r="H41" i="68"/>
  <c r="H40" i="68"/>
  <c r="H38" i="68"/>
  <c r="H37" i="68"/>
  <c r="H36" i="68"/>
  <c r="H35" i="68"/>
  <c r="H34" i="68"/>
  <c r="H32" i="68"/>
  <c r="H31" i="68"/>
  <c r="H30" i="68"/>
  <c r="H29" i="68"/>
  <c r="G28" i="68"/>
  <c r="G27" i="68"/>
  <c r="G26" i="68"/>
  <c r="G25" i="68"/>
  <c r="G24" i="68"/>
  <c r="G23" i="68"/>
  <c r="H20" i="68"/>
  <c r="T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C225" i="1"/>
  <c r="T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T223" i="1"/>
  <c r="R223" i="1"/>
  <c r="J223" i="1"/>
  <c r="H223" i="1"/>
  <c r="T222" i="1"/>
  <c r="R222" i="1"/>
  <c r="J222" i="1"/>
  <c r="H222" i="1"/>
  <c r="T221" i="1"/>
  <c r="R221" i="1"/>
  <c r="M221" i="1"/>
  <c r="J221" i="1"/>
  <c r="T220" i="1"/>
  <c r="R220" i="1"/>
  <c r="J220" i="1"/>
  <c r="T219" i="1"/>
  <c r="R219" i="1"/>
  <c r="J219" i="1"/>
  <c r="T218" i="1"/>
  <c r="R218" i="1"/>
  <c r="J218" i="1"/>
  <c r="I218" i="1"/>
  <c r="H218" i="1"/>
  <c r="T217" i="1"/>
  <c r="R217" i="1"/>
  <c r="J217" i="1"/>
  <c r="T216" i="1"/>
  <c r="R216" i="1"/>
  <c r="J216" i="1"/>
  <c r="I216" i="1"/>
  <c r="H216" i="1"/>
  <c r="T215" i="1"/>
  <c r="R215" i="1"/>
  <c r="M215" i="1"/>
  <c r="J215" i="1"/>
  <c r="I215" i="1"/>
  <c r="T214" i="1"/>
  <c r="R214" i="1"/>
  <c r="M214" i="1"/>
  <c r="J214" i="1"/>
  <c r="I214" i="1"/>
  <c r="H214" i="1"/>
  <c r="T213" i="1"/>
  <c r="R213" i="1"/>
  <c r="J213" i="1"/>
  <c r="I213" i="1"/>
  <c r="H213" i="1"/>
  <c r="T212" i="1"/>
  <c r="R212" i="1"/>
  <c r="M212" i="1"/>
  <c r="J212" i="1"/>
  <c r="I212" i="1"/>
  <c r="H212" i="1"/>
  <c r="T211" i="1"/>
  <c r="R211" i="1"/>
  <c r="J211" i="1"/>
  <c r="I211" i="1"/>
  <c r="H211" i="1"/>
  <c r="T210" i="1"/>
  <c r="R210" i="1"/>
  <c r="M210" i="1"/>
  <c r="J210" i="1"/>
  <c r="I210" i="1"/>
  <c r="H210" i="1"/>
  <c r="T209" i="1"/>
  <c r="R209" i="1"/>
  <c r="M209" i="1"/>
  <c r="J209" i="1"/>
  <c r="I209" i="1"/>
  <c r="H209" i="1"/>
  <c r="T208" i="1"/>
  <c r="R208" i="1"/>
  <c r="J208" i="1"/>
  <c r="I208" i="1"/>
  <c r="H208" i="1"/>
  <c r="T207" i="1"/>
  <c r="R207" i="1"/>
  <c r="J207" i="1"/>
  <c r="I207" i="1"/>
  <c r="H207" i="1"/>
  <c r="T206" i="1"/>
  <c r="R206" i="1"/>
  <c r="M206" i="1"/>
  <c r="J206" i="1"/>
  <c r="I206" i="1"/>
  <c r="H206" i="1"/>
  <c r="T205" i="1"/>
  <c r="R205" i="1"/>
  <c r="J205" i="1"/>
  <c r="I205" i="1"/>
  <c r="H205" i="1"/>
  <c r="T204" i="1"/>
  <c r="R204" i="1"/>
  <c r="J204" i="1"/>
  <c r="I204" i="1"/>
  <c r="H204" i="1"/>
  <c r="T203" i="1"/>
  <c r="R203" i="1"/>
  <c r="M203" i="1"/>
  <c r="J203" i="1"/>
  <c r="I203" i="1"/>
  <c r="H203" i="1"/>
  <c r="T202" i="1"/>
  <c r="R202" i="1"/>
  <c r="M202" i="1"/>
  <c r="J202" i="1"/>
  <c r="I202" i="1"/>
  <c r="H202" i="1"/>
  <c r="T201" i="1"/>
  <c r="R201" i="1"/>
  <c r="M201" i="1"/>
  <c r="J201" i="1"/>
  <c r="I201" i="1"/>
  <c r="H201" i="1"/>
  <c r="T200" i="1"/>
  <c r="R200" i="1"/>
  <c r="M200" i="1"/>
  <c r="J200" i="1"/>
  <c r="I200" i="1"/>
  <c r="H200" i="1"/>
  <c r="T199" i="1"/>
  <c r="R199" i="1"/>
  <c r="J199" i="1"/>
  <c r="I199" i="1"/>
  <c r="H199" i="1"/>
  <c r="T198" i="1"/>
  <c r="R198" i="1"/>
  <c r="M198" i="1"/>
  <c r="J198" i="1"/>
  <c r="I198" i="1"/>
  <c r="H198" i="1"/>
  <c r="T197" i="1"/>
  <c r="R197" i="1"/>
  <c r="M197" i="1"/>
  <c r="J197" i="1"/>
  <c r="I197" i="1"/>
  <c r="H197" i="1"/>
  <c r="T196" i="1"/>
  <c r="R196" i="1"/>
  <c r="J196" i="1"/>
  <c r="I196" i="1"/>
  <c r="H196" i="1"/>
  <c r="T195" i="1"/>
  <c r="R195" i="1"/>
  <c r="J195" i="1"/>
  <c r="I195" i="1"/>
  <c r="H195" i="1"/>
  <c r="T194" i="1"/>
  <c r="R194" i="1"/>
  <c r="M194" i="1"/>
  <c r="J194" i="1"/>
  <c r="I194" i="1"/>
  <c r="H194" i="1"/>
  <c r="T193" i="1"/>
  <c r="R193" i="1"/>
  <c r="J193" i="1"/>
  <c r="I193" i="1"/>
  <c r="H193" i="1"/>
  <c r="T192" i="1"/>
  <c r="R192" i="1"/>
  <c r="J192" i="1"/>
  <c r="T191" i="1"/>
  <c r="R191" i="1"/>
  <c r="J191" i="1"/>
  <c r="T190" i="1"/>
  <c r="R190" i="1"/>
  <c r="J190" i="1"/>
  <c r="H190" i="1"/>
  <c r="T189" i="1"/>
  <c r="R189" i="1"/>
  <c r="J189" i="1"/>
  <c r="H189" i="1"/>
  <c r="T188" i="1"/>
  <c r="R188" i="1"/>
  <c r="J188" i="1"/>
  <c r="H188" i="1"/>
  <c r="T187" i="1"/>
  <c r="R187" i="1"/>
  <c r="J187" i="1"/>
  <c r="H187" i="1"/>
  <c r="T186" i="1"/>
  <c r="R186" i="1"/>
  <c r="M186" i="1"/>
  <c r="J186" i="1"/>
  <c r="H186" i="1"/>
  <c r="T185" i="1"/>
  <c r="R185" i="1"/>
  <c r="J185" i="1"/>
  <c r="H185" i="1"/>
  <c r="T184" i="1"/>
  <c r="R184" i="1"/>
  <c r="L184" i="1"/>
  <c r="J184" i="1"/>
  <c r="H184" i="1"/>
  <c r="T183" i="1"/>
  <c r="R183" i="1"/>
  <c r="L183" i="1"/>
  <c r="J183" i="1"/>
  <c r="H183" i="1"/>
  <c r="T182" i="1"/>
  <c r="R182" i="1"/>
  <c r="J182" i="1"/>
  <c r="H182" i="1"/>
  <c r="T181" i="1"/>
  <c r="R181" i="1"/>
  <c r="J181" i="1"/>
  <c r="H181" i="1"/>
  <c r="T180" i="1"/>
  <c r="R180" i="1"/>
  <c r="M180" i="1"/>
  <c r="J180" i="1"/>
  <c r="H180" i="1"/>
  <c r="T179" i="1"/>
  <c r="R179" i="1"/>
  <c r="J179" i="1"/>
  <c r="H179" i="1"/>
  <c r="T178" i="1"/>
  <c r="R178" i="1"/>
  <c r="L178" i="1"/>
  <c r="J178" i="1"/>
  <c r="H178" i="1"/>
  <c r="T177" i="1"/>
  <c r="R177" i="1"/>
  <c r="M177" i="1"/>
  <c r="J177" i="1"/>
  <c r="H177" i="1"/>
  <c r="T176" i="1"/>
  <c r="R176" i="1"/>
  <c r="J176" i="1"/>
  <c r="H176" i="1"/>
  <c r="T175" i="1"/>
  <c r="R175" i="1"/>
  <c r="L175" i="1"/>
  <c r="J175" i="1"/>
  <c r="H175" i="1"/>
  <c r="T174" i="1"/>
  <c r="R174" i="1"/>
  <c r="L174" i="1"/>
  <c r="J174" i="1"/>
  <c r="H174" i="1"/>
  <c r="T173" i="1"/>
  <c r="R173" i="1"/>
  <c r="L173" i="1"/>
  <c r="J173" i="1"/>
  <c r="H173" i="1"/>
  <c r="T172" i="1"/>
  <c r="R172" i="1"/>
  <c r="P172" i="1"/>
  <c r="J172" i="1"/>
  <c r="H172" i="1"/>
  <c r="T171" i="1"/>
  <c r="R171" i="1"/>
  <c r="L171" i="1"/>
  <c r="J171" i="1"/>
  <c r="H171" i="1"/>
  <c r="T170" i="1"/>
  <c r="R170" i="1"/>
  <c r="M170" i="1"/>
  <c r="L170" i="1"/>
  <c r="J170" i="1"/>
  <c r="H170" i="1"/>
  <c r="T169" i="1"/>
  <c r="R169" i="1"/>
  <c r="J169" i="1"/>
  <c r="T168" i="1"/>
  <c r="R168" i="1"/>
  <c r="L168" i="1"/>
  <c r="J168" i="1"/>
  <c r="H168" i="1"/>
  <c r="T167" i="1"/>
  <c r="R167" i="1"/>
  <c r="J167" i="1"/>
  <c r="H167" i="1"/>
  <c r="T166" i="1"/>
  <c r="R166" i="1"/>
  <c r="J166" i="1"/>
  <c r="H166" i="1"/>
  <c r="T165" i="1"/>
  <c r="R165" i="1"/>
  <c r="M165" i="1"/>
  <c r="J165" i="1"/>
  <c r="H165" i="1"/>
  <c r="T164" i="1"/>
  <c r="R164" i="1"/>
  <c r="L164" i="1"/>
  <c r="J164" i="1"/>
  <c r="T163" i="1"/>
  <c r="R163" i="1"/>
  <c r="J163" i="1"/>
  <c r="T162" i="1"/>
  <c r="R162" i="1"/>
  <c r="M162" i="1"/>
  <c r="L162" i="1"/>
  <c r="J162" i="1"/>
  <c r="T161" i="1"/>
  <c r="R161" i="1"/>
  <c r="L161" i="1"/>
  <c r="J161" i="1"/>
  <c r="H161" i="1"/>
  <c r="T160" i="1"/>
  <c r="R160" i="1"/>
  <c r="L160" i="1"/>
  <c r="J160" i="1"/>
  <c r="T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T156" i="1"/>
  <c r="R156" i="1"/>
  <c r="L156" i="1"/>
  <c r="J156" i="1"/>
  <c r="T155" i="1"/>
  <c r="R155" i="1"/>
  <c r="L155" i="1"/>
  <c r="J155" i="1"/>
  <c r="T154" i="1"/>
  <c r="R154" i="1"/>
  <c r="M154" i="1"/>
  <c r="L154" i="1"/>
  <c r="J154" i="1"/>
  <c r="H154" i="1"/>
  <c r="T153" i="1"/>
  <c r="R153" i="1"/>
  <c r="J153" i="1"/>
  <c r="H153" i="1"/>
  <c r="T152" i="1"/>
  <c r="R152" i="1"/>
  <c r="J152" i="1"/>
  <c r="T151" i="1"/>
  <c r="R151" i="1"/>
  <c r="M151" i="1"/>
  <c r="L151" i="1"/>
  <c r="J151" i="1"/>
  <c r="H151" i="1"/>
  <c r="T150" i="1"/>
  <c r="R150" i="1"/>
  <c r="L150" i="1"/>
  <c r="J150" i="1"/>
  <c r="H150" i="1"/>
  <c r="T149" i="1"/>
  <c r="R149" i="1"/>
  <c r="J149" i="1"/>
  <c r="H149" i="1"/>
  <c r="U148" i="1"/>
  <c r="T148" i="1"/>
  <c r="R148" i="1"/>
  <c r="L148" i="1"/>
  <c r="J148" i="1"/>
  <c r="I148" i="1"/>
  <c r="H148" i="1"/>
  <c r="F148" i="1"/>
  <c r="T147" i="1"/>
  <c r="R147" i="1"/>
  <c r="M147" i="1"/>
  <c r="J147" i="1"/>
  <c r="H147" i="1"/>
  <c r="T146" i="1"/>
  <c r="R146" i="1"/>
  <c r="M146" i="1"/>
  <c r="L146" i="1"/>
  <c r="J146" i="1"/>
  <c r="H146" i="1"/>
  <c r="T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T142" i="1"/>
  <c r="R142" i="1"/>
  <c r="J142" i="1"/>
  <c r="T141" i="1"/>
  <c r="R141" i="1"/>
  <c r="J141" i="1"/>
  <c r="T140" i="1"/>
  <c r="R140" i="1"/>
  <c r="P140" i="1"/>
  <c r="J140" i="1"/>
  <c r="H140" i="1"/>
  <c r="T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T136" i="1"/>
  <c r="R136" i="1"/>
  <c r="J136" i="1"/>
  <c r="G136" i="1"/>
  <c r="T135" i="1"/>
  <c r="R135" i="1"/>
  <c r="J135" i="1"/>
  <c r="G135" i="1"/>
  <c r="T134" i="1"/>
  <c r="R134" i="1"/>
  <c r="J134" i="1"/>
  <c r="G134" i="1"/>
  <c r="T133" i="1"/>
  <c r="R133" i="1"/>
  <c r="J133" i="1"/>
  <c r="T132" i="1"/>
  <c r="R132" i="1"/>
  <c r="M132" i="1"/>
  <c r="L132" i="1"/>
  <c r="J132" i="1"/>
  <c r="T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T128" i="1"/>
  <c r="R128" i="1"/>
  <c r="L128" i="1"/>
  <c r="J128" i="1"/>
  <c r="G128" i="1"/>
  <c r="T127" i="1"/>
  <c r="R127" i="1"/>
  <c r="L127" i="1"/>
  <c r="J127" i="1"/>
  <c r="G127" i="1"/>
  <c r="F127" i="1"/>
  <c r="T126" i="1"/>
  <c r="R126" i="1"/>
  <c r="M126" i="1"/>
  <c r="J126" i="1"/>
  <c r="G126" i="1"/>
  <c r="T125" i="1"/>
  <c r="R125" i="1"/>
  <c r="L125" i="1"/>
  <c r="J125" i="1"/>
  <c r="G125" i="1"/>
  <c r="T124" i="1"/>
  <c r="R124" i="1"/>
  <c r="M124" i="1"/>
  <c r="J124" i="1"/>
  <c r="G124" i="1"/>
  <c r="T123" i="1"/>
  <c r="R123" i="1"/>
  <c r="J123" i="1"/>
  <c r="G123" i="1"/>
  <c r="T122" i="1"/>
  <c r="R122" i="1"/>
  <c r="L122" i="1"/>
  <c r="J122" i="1"/>
  <c r="G122" i="1"/>
  <c r="T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T118" i="1"/>
  <c r="R118" i="1"/>
  <c r="M118" i="1"/>
  <c r="L118" i="1"/>
  <c r="J118" i="1"/>
  <c r="H118" i="1"/>
  <c r="T117" i="1"/>
  <c r="R117" i="1"/>
  <c r="L117" i="1"/>
  <c r="J117" i="1"/>
  <c r="H117" i="1"/>
  <c r="T116" i="1"/>
  <c r="R116" i="1"/>
  <c r="J116" i="1"/>
  <c r="H116" i="1"/>
  <c r="T115" i="1"/>
  <c r="R115" i="1"/>
  <c r="J115" i="1"/>
  <c r="H115" i="1"/>
  <c r="T114" i="1"/>
  <c r="R114" i="1"/>
  <c r="L114" i="1"/>
  <c r="J114" i="1"/>
  <c r="T113" i="1"/>
  <c r="R113" i="1"/>
  <c r="J113" i="1"/>
  <c r="H113" i="1"/>
  <c r="T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T109" i="1"/>
  <c r="R109" i="1"/>
  <c r="J109" i="1"/>
  <c r="G109" i="1"/>
  <c r="T108" i="1"/>
  <c r="R108" i="1"/>
  <c r="J108" i="1"/>
  <c r="T107" i="1"/>
  <c r="R107" i="1"/>
  <c r="J107" i="1"/>
  <c r="G107" i="1"/>
  <c r="T106" i="1"/>
  <c r="R106" i="1"/>
  <c r="J106" i="1"/>
  <c r="T105" i="1"/>
  <c r="R105" i="1"/>
  <c r="L105" i="1"/>
  <c r="J105" i="1"/>
  <c r="G105" i="1"/>
  <c r="T104" i="1"/>
  <c r="R104" i="1"/>
  <c r="L104" i="1"/>
  <c r="J104" i="1"/>
  <c r="G104" i="1"/>
  <c r="T103" i="1"/>
  <c r="R103" i="1"/>
  <c r="J103" i="1"/>
  <c r="G103" i="1"/>
  <c r="T102" i="1"/>
  <c r="R102" i="1"/>
  <c r="M102" i="1"/>
  <c r="L102" i="1"/>
  <c r="J102" i="1"/>
  <c r="G102" i="1"/>
  <c r="T101" i="1"/>
  <c r="R101" i="1"/>
  <c r="L101" i="1"/>
  <c r="J101" i="1"/>
  <c r="T100" i="1"/>
  <c r="R100" i="1"/>
  <c r="J100" i="1"/>
  <c r="I100" i="1"/>
  <c r="G100" i="1"/>
  <c r="T99" i="1"/>
  <c r="R99" i="1"/>
  <c r="L99" i="1"/>
  <c r="J99" i="1"/>
  <c r="G99" i="1"/>
  <c r="T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T95" i="1"/>
  <c r="R95" i="1"/>
  <c r="J95" i="1"/>
  <c r="T94" i="1"/>
  <c r="R94" i="1"/>
  <c r="J94" i="1"/>
  <c r="T93" i="1"/>
  <c r="R93" i="1"/>
  <c r="M93" i="1"/>
  <c r="L93" i="1"/>
  <c r="J93" i="1"/>
  <c r="G93" i="1"/>
  <c r="T92" i="1"/>
  <c r="R92" i="1"/>
  <c r="J92" i="1"/>
  <c r="G92" i="1"/>
  <c r="T91" i="1"/>
  <c r="R91" i="1"/>
  <c r="J91" i="1"/>
  <c r="F91" i="1"/>
  <c r="T90" i="1"/>
  <c r="R90" i="1"/>
  <c r="J90" i="1"/>
  <c r="G90" i="1"/>
  <c r="T89" i="1"/>
  <c r="R89" i="1"/>
  <c r="J89" i="1"/>
  <c r="T88" i="1"/>
  <c r="R88" i="1"/>
  <c r="M88" i="1"/>
  <c r="J88" i="1"/>
  <c r="G88" i="1"/>
  <c r="T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T84" i="1"/>
  <c r="R84" i="1"/>
  <c r="J84" i="1"/>
  <c r="T83" i="1"/>
  <c r="R83" i="1"/>
  <c r="J83" i="1"/>
  <c r="T82" i="1"/>
  <c r="R82" i="1"/>
  <c r="L82" i="1"/>
  <c r="J82" i="1"/>
  <c r="G82" i="1"/>
  <c r="T81" i="1"/>
  <c r="R81" i="1"/>
  <c r="L81" i="1"/>
  <c r="J81" i="1"/>
  <c r="G81" i="1"/>
  <c r="T80" i="1"/>
  <c r="R80" i="1"/>
  <c r="L80" i="1"/>
  <c r="J80" i="1"/>
  <c r="G80" i="1"/>
  <c r="T79" i="1"/>
  <c r="R79" i="1"/>
  <c r="M79" i="1"/>
  <c r="J79" i="1"/>
  <c r="G79" i="1"/>
  <c r="T78" i="1"/>
  <c r="R78" i="1"/>
  <c r="J78" i="1"/>
  <c r="G78" i="1"/>
  <c r="T77" i="1"/>
  <c r="R77" i="1"/>
  <c r="J77" i="1"/>
  <c r="G77" i="1"/>
  <c r="T76" i="1"/>
  <c r="R76" i="1"/>
  <c r="L76" i="1"/>
  <c r="J76" i="1"/>
  <c r="T75" i="1"/>
  <c r="R75" i="1"/>
  <c r="M75" i="1"/>
  <c r="L75" i="1"/>
  <c r="J75" i="1"/>
  <c r="T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T71" i="1"/>
  <c r="R71" i="1"/>
  <c r="J71" i="1"/>
  <c r="T70" i="1"/>
  <c r="R70" i="1"/>
  <c r="J70" i="1"/>
  <c r="G70" i="1"/>
  <c r="T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T66" i="1"/>
  <c r="R66" i="1"/>
  <c r="P66" i="1"/>
  <c r="J66" i="1"/>
  <c r="G66" i="1"/>
  <c r="T65" i="1"/>
  <c r="R65" i="1"/>
  <c r="J65" i="1"/>
  <c r="G65" i="1"/>
  <c r="T64" i="1"/>
  <c r="R64" i="1"/>
  <c r="J64" i="1"/>
  <c r="G64" i="1"/>
  <c r="T63" i="1"/>
  <c r="R63" i="1"/>
  <c r="J63" i="1"/>
  <c r="G63" i="1"/>
  <c r="T62" i="1"/>
  <c r="R62" i="1"/>
  <c r="J62" i="1"/>
  <c r="T61" i="1"/>
  <c r="R61" i="1"/>
  <c r="J61" i="1"/>
  <c r="G61" i="1"/>
  <c r="T60" i="1"/>
  <c r="R60" i="1"/>
  <c r="J60" i="1"/>
  <c r="G60" i="1"/>
  <c r="T59" i="1"/>
  <c r="R59" i="1"/>
  <c r="L59" i="1"/>
  <c r="J59" i="1"/>
  <c r="G59" i="1"/>
  <c r="T58" i="1"/>
  <c r="R58" i="1"/>
  <c r="J58" i="1"/>
  <c r="G58" i="1"/>
  <c r="T57" i="1"/>
  <c r="R57" i="1"/>
  <c r="L57" i="1"/>
  <c r="J57" i="1"/>
  <c r="G57" i="1"/>
  <c r="T56" i="1"/>
  <c r="R56" i="1"/>
  <c r="P56" i="1"/>
  <c r="M56" i="1"/>
  <c r="L56" i="1"/>
  <c r="J56" i="1"/>
  <c r="G56" i="1"/>
  <c r="F56" i="1"/>
  <c r="T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T52" i="1"/>
  <c r="R52" i="1"/>
  <c r="J52" i="1"/>
  <c r="T51" i="1"/>
  <c r="R51" i="1"/>
  <c r="J51" i="1"/>
  <c r="T50" i="1"/>
  <c r="R50" i="1"/>
  <c r="L50" i="1"/>
  <c r="J50" i="1"/>
  <c r="T49" i="1"/>
  <c r="R49" i="1"/>
  <c r="L49" i="1"/>
  <c r="J49" i="1"/>
  <c r="H49" i="1"/>
  <c r="T48" i="1"/>
  <c r="R48" i="1"/>
  <c r="L48" i="1"/>
  <c r="J48" i="1"/>
  <c r="H48" i="1"/>
  <c r="T47" i="1"/>
  <c r="R47" i="1"/>
  <c r="M47" i="1"/>
  <c r="L47" i="1"/>
  <c r="K47" i="1"/>
  <c r="J47" i="1"/>
  <c r="H47" i="1"/>
  <c r="T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T43" i="1"/>
  <c r="R43" i="1"/>
  <c r="J43" i="1"/>
  <c r="H43" i="1"/>
  <c r="T42" i="1"/>
  <c r="R42" i="1"/>
  <c r="O42" i="1"/>
  <c r="J42" i="1"/>
  <c r="H42" i="1"/>
  <c r="T41" i="1"/>
  <c r="R41" i="1"/>
  <c r="J41" i="1"/>
  <c r="T40" i="1"/>
  <c r="R40" i="1"/>
  <c r="J40" i="1"/>
  <c r="T39" i="1"/>
  <c r="R39" i="1"/>
  <c r="J39" i="1"/>
  <c r="H39" i="1"/>
  <c r="T38" i="1"/>
  <c r="R38" i="1"/>
  <c r="J38" i="1"/>
  <c r="H38" i="1"/>
  <c r="T37" i="1"/>
  <c r="R37" i="1"/>
  <c r="J37" i="1"/>
  <c r="H37" i="1"/>
  <c r="T36" i="1"/>
  <c r="R36" i="1"/>
  <c r="J36" i="1"/>
  <c r="H36" i="1"/>
  <c r="T35" i="1"/>
  <c r="R35" i="1"/>
  <c r="L35" i="1"/>
  <c r="J35" i="1"/>
  <c r="H35" i="1"/>
  <c r="T34" i="1"/>
  <c r="R34" i="1"/>
  <c r="J34" i="1"/>
  <c r="H34" i="1"/>
  <c r="T33" i="1"/>
  <c r="R33" i="1"/>
  <c r="L33" i="1"/>
  <c r="J33" i="1"/>
  <c r="H33" i="1"/>
  <c r="T32" i="1"/>
  <c r="R32" i="1"/>
  <c r="J32" i="1"/>
  <c r="H32" i="1"/>
  <c r="T31" i="1"/>
  <c r="R31" i="1"/>
  <c r="L31" i="1"/>
  <c r="J31" i="1"/>
  <c r="H31" i="1"/>
  <c r="T30" i="1"/>
  <c r="R30" i="1"/>
  <c r="M30" i="1"/>
  <c r="L30" i="1"/>
  <c r="J30" i="1"/>
  <c r="H30" i="1"/>
  <c r="T29" i="1"/>
  <c r="R29" i="1"/>
  <c r="L29" i="1"/>
  <c r="J29" i="1"/>
  <c r="G29" i="1"/>
  <c r="T28" i="1"/>
  <c r="R28" i="1"/>
  <c r="J28" i="1"/>
  <c r="H28" i="1"/>
  <c r="T27" i="1"/>
  <c r="R27" i="1"/>
  <c r="J27" i="1"/>
  <c r="H27" i="1"/>
  <c r="T26" i="1"/>
  <c r="R26" i="1"/>
  <c r="J26" i="1"/>
  <c r="T25" i="1"/>
  <c r="R25" i="1"/>
  <c r="J25" i="1"/>
  <c r="I25" i="1"/>
  <c r="H25" i="1"/>
  <c r="T24" i="1"/>
  <c r="R24" i="1"/>
  <c r="J24" i="1"/>
  <c r="T23" i="1"/>
  <c r="R23" i="1"/>
  <c r="L23" i="1"/>
  <c r="J23" i="1"/>
  <c r="I23" i="1"/>
  <c r="G23" i="1"/>
  <c r="T22" i="1"/>
  <c r="R22" i="1"/>
  <c r="L22" i="1"/>
  <c r="J22" i="1"/>
  <c r="I22" i="1"/>
  <c r="H22" i="1"/>
  <c r="T21" i="1"/>
  <c r="R21" i="1"/>
  <c r="M21" i="1"/>
  <c r="J21" i="1"/>
  <c r="I21" i="1"/>
  <c r="H21" i="1"/>
  <c r="T20" i="1"/>
  <c r="R20" i="1"/>
  <c r="J20" i="1"/>
  <c r="T19" i="1"/>
  <c r="R19" i="1"/>
  <c r="J19" i="1"/>
  <c r="T18" i="1"/>
  <c r="R18" i="1"/>
  <c r="M18" i="1"/>
  <c r="L18" i="1"/>
  <c r="J18" i="1"/>
  <c r="I18" i="1"/>
  <c r="G18" i="1"/>
  <c r="T17" i="1"/>
  <c r="R17" i="1"/>
  <c r="J17" i="1"/>
  <c r="G17" i="1"/>
  <c r="T16" i="1"/>
  <c r="R16" i="1"/>
  <c r="J16" i="1"/>
  <c r="T15" i="1"/>
  <c r="R15" i="1"/>
  <c r="J15" i="1"/>
  <c r="I15" i="1"/>
  <c r="G15" i="1"/>
  <c r="T14" i="1"/>
  <c r="R14" i="1"/>
  <c r="L14" i="1"/>
  <c r="J14" i="1"/>
  <c r="I14" i="1"/>
  <c r="T13" i="1"/>
  <c r="R13" i="1"/>
  <c r="J13" i="1"/>
  <c r="I13" i="1"/>
  <c r="H13" i="1"/>
  <c r="T12" i="1"/>
  <c r="R12" i="1"/>
  <c r="J12" i="1"/>
  <c r="I12" i="1"/>
  <c r="T11" i="1"/>
  <c r="R11" i="1"/>
  <c r="M11" i="1"/>
  <c r="L11" i="1"/>
  <c r="J11" i="1"/>
  <c r="H11" i="1"/>
  <c r="F11" i="1"/>
  <c r="T10" i="1"/>
  <c r="R10" i="1"/>
  <c r="L10" i="1"/>
  <c r="J10" i="1"/>
  <c r="T9" i="1"/>
  <c r="R9" i="1"/>
  <c r="J9" i="1"/>
  <c r="I9" i="1"/>
  <c r="H9" i="1"/>
  <c r="T8" i="1"/>
  <c r="R8" i="1"/>
  <c r="L8" i="1"/>
  <c r="J8" i="1"/>
  <c r="I8" i="1"/>
  <c r="H8" i="1"/>
  <c r="T7" i="1"/>
  <c r="R7" i="1"/>
  <c r="J7" i="1"/>
  <c r="G7" i="1"/>
  <c r="E3" i="1"/>
  <c r="Q27" i="131"/>
  <c r="Q13" i="131"/>
  <c r="Q11" i="131"/>
  <c r="Q18" i="131"/>
  <c r="Q12" i="131"/>
  <c r="Q7" i="131"/>
</calcChain>
</file>

<file path=xl/sharedStrings.xml><?xml version="1.0" encoding="utf-8"?>
<sst xmlns="http://schemas.openxmlformats.org/spreadsheetml/2006/main" count="19210" uniqueCount="1509">
  <si>
    <t>NATIONAL INSTITUTE FOR LEGISLATIVE AND DEMOCRATIC STUDIES</t>
  </si>
  <si>
    <t>STAFF PAYROLL FOR THE MONTH OF JULY,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</si>
  <si>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</si>
  <si>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</si>
  <si>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</si>
  <si>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</si>
  <si>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</si>
  <si>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</si>
  <si>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</si>
  <si>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</si>
  <si>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</si>
  <si>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1 CONTR/SPEC SAVINGS</t>
  </si>
  <si>
    <t>COOP. LOAN RECOVERY</t>
  </si>
  <si>
    <t>COOP 2  CONTR/SPEC SAVINGS</t>
  </si>
  <si>
    <t>NHF DED.</t>
  </si>
  <si>
    <t>PAYE</t>
  </si>
  <si>
    <t>EMPLOYEE PENSIONS</t>
  </si>
  <si>
    <t>TOTAL DEDUCTION</t>
  </si>
  <si>
    <t>JUNE, 2025</t>
  </si>
  <si>
    <t>JULY,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</si>
  <si>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</si>
  <si>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</si>
  <si>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</si>
  <si>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</si>
  <si>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</si>
  <si>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</si>
  <si>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</si>
  <si>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</si>
  <si>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</si>
  <si>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</si>
  <si>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</si>
  <si>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</si>
  <si>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</si>
  <si>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ANDRAWUS MUSA</t>
  </si>
  <si>
    <t>DEP. DIRECTOR, STORES &amp; PROCUREMENT</t>
  </si>
  <si>
    <t>16(8)</t>
  </si>
  <si>
    <t>DR FRANCIS NDUM OJIE</t>
  </si>
  <si>
    <t>AD, TRAINING &amp; IC./SA TO DG</t>
  </si>
  <si>
    <t>15(8)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</si>
  <si>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</si>
  <si>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</si>
  <si>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</si>
  <si>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</si>
  <si>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</si>
  <si>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</si>
  <si>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</si>
  <si>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14(9)</t>
  </si>
  <si>
    <t>ABDULSALAM S. MUSTAPHA</t>
  </si>
  <si>
    <t>ASST. DIRECTOR ICT</t>
  </si>
  <si>
    <t>15(7)</t>
  </si>
  <si>
    <t>PERCY TERFA GBAHABO</t>
  </si>
  <si>
    <t>HEAD, NILDS LIAISON OFFICE</t>
  </si>
  <si>
    <t>13(11)</t>
  </si>
  <si>
    <t>HASSANA AHMED IBRAHIM</t>
  </si>
  <si>
    <t>PA- TO DG</t>
  </si>
  <si>
    <t>13 (10)</t>
  </si>
  <si>
    <t>IKIP LEBO</t>
  </si>
  <si>
    <t>ASST CHIEF PROC. OFFICER</t>
  </si>
  <si>
    <t>13 (8)</t>
  </si>
  <si>
    <t>ALABI ADESINA MUHYDEEN</t>
  </si>
  <si>
    <t>BASSEY NSONGURUA UDOFIA</t>
  </si>
  <si>
    <t>PRINC.CONF SEC/PPS</t>
  </si>
  <si>
    <t>12(11)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</si>
  <si>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</si>
  <si>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</si>
  <si>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</si>
  <si>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</si>
  <si>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</si>
  <si>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</si>
  <si>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</si>
  <si>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</si>
  <si>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</si>
  <si>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</si>
  <si>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</si>
  <si>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</si>
  <si>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</si>
  <si>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</si>
  <si>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</si>
  <si>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</si>
  <si>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</si>
  <si>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</si>
  <si>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</si>
  <si>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</si>
  <si>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</si>
  <si>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</si>
  <si>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</si>
  <si>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</si>
  <si>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</si>
  <si>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</si>
  <si>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</si>
  <si>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</si>
  <si>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</si>
  <si>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</si>
  <si>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</si>
  <si>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HOLINESS PAUL UDO</t>
  </si>
  <si>
    <t>ADMINISTRATION OFFICER, M&amp;E</t>
  </si>
  <si>
    <t>9(7)</t>
  </si>
  <si>
    <t>CHARITY UDO AKAN</t>
  </si>
  <si>
    <t>SANI UMAR IBRAHIM</t>
  </si>
  <si>
    <t>FAHAD ABUBUKAR LONGMAN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</si>
  <si>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</si>
  <si>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</si>
  <si>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</si>
  <si>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</si>
  <si>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</si>
  <si>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</si>
  <si>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EDIDIONG EZEKIEL ATAT</t>
  </si>
  <si>
    <t>ASSIST PROCUREMENT OFFICER</t>
  </si>
  <si>
    <t>8(7)</t>
  </si>
  <si>
    <t>ALIYU GARBA LERE</t>
  </si>
  <si>
    <t>ASSIST INFORMATION OFFICER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</si>
  <si>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</si>
  <si>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</si>
  <si>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</si>
  <si>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</si>
  <si>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</si>
  <si>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</si>
  <si>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</si>
  <si>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</si>
  <si>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</si>
  <si>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HASSAN ABDULHADI</t>
  </si>
  <si>
    <t>YUSUF YUSUF DAYYABU</t>
  </si>
  <si>
    <t>INERNAL AUDIT OFFICER</t>
  </si>
  <si>
    <t>UDONSI QUEENETH CHIWENDU</t>
  </si>
  <si>
    <t>ASSIST PROGRAMME OFFICER</t>
  </si>
  <si>
    <t>LEG. SUPPORT SEVICES</t>
  </si>
  <si>
    <t>BETHEL UZOMA IHUGBA</t>
  </si>
  <si>
    <t>DEPUTY DIRECTOR, LEGAL RESEARCH</t>
  </si>
  <si>
    <t>17(7)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</si>
  <si>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</si>
  <si>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</si>
  <si>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</si>
  <si>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</si>
  <si>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</si>
  <si>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</si>
  <si>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UMAR MUSA PADAH</t>
  </si>
  <si>
    <t>PRINC. RESEARCH OFFICER</t>
  </si>
  <si>
    <t>12(7)</t>
  </si>
  <si>
    <t>BILKIS S. LAWAL-GAMBARI</t>
  </si>
  <si>
    <t>RESEARCH OFFICER</t>
  </si>
  <si>
    <t>UMOH USENOBONG EMMANUEL</t>
  </si>
  <si>
    <t>SENIOR RESEARCH OFFICER</t>
  </si>
  <si>
    <t>ZAINAB AKINDE</t>
  </si>
  <si>
    <t>GUNAT NANSAK MARK</t>
  </si>
  <si>
    <t>MANDU ESSIEN NDEM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</si>
  <si>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</si>
  <si>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</si>
  <si>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</si>
  <si>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</si>
  <si>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</si>
  <si>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</si>
  <si>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</si>
  <si>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</si>
  <si>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</si>
  <si>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16(9)</t>
  </si>
  <si>
    <t>EJALONIBU GANIYU LAYI</t>
  </si>
  <si>
    <t>RESEARCH FELLOW 1</t>
  </si>
  <si>
    <t>MARTINS SOLOMON UDOM</t>
  </si>
  <si>
    <t>RESEARCH FELLOW 11</t>
  </si>
  <si>
    <t>13(7)</t>
  </si>
  <si>
    <t>ISHAKA DELE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</si>
  <si>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</si>
  <si>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</si>
  <si>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</si>
  <si>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</si>
  <si>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</si>
  <si>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</si>
  <si>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OBOT ETIMBUK EMMANUEL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</si>
  <si>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</si>
  <si>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</si>
  <si>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</si>
  <si>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</si>
  <si>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</si>
  <si>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</si>
  <si>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</si>
  <si>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</si>
  <si>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14(10)</t>
  </si>
  <si>
    <t>CHRISTIAN MADUABUCHI ODO</t>
  </si>
  <si>
    <t>ASSIST. CHIEF ICT OFFICER</t>
  </si>
  <si>
    <t>DR. IBANGA ISSAC JONAH</t>
  </si>
  <si>
    <t>ASSIST. CHIEF PROGRM OFFICER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</si>
  <si>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</si>
  <si>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</si>
  <si>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</si>
  <si>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</si>
  <si>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</si>
  <si>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</si>
  <si>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</si>
  <si>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</si>
  <si>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AG. DIRECTOR, ESR</t>
  </si>
  <si>
    <t>TERFA WILLIAMS ABRAHAM</t>
  </si>
  <si>
    <t>DEP. DIRECTOR ECON &amp; SOCIAL RES</t>
  </si>
  <si>
    <t>16(7)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</si>
  <si>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</si>
  <si>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</si>
  <si>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</si>
  <si>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</si>
  <si>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</si>
  <si>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</si>
  <si>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</si>
  <si>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13(8)</t>
  </si>
  <si>
    <t>UDOKANG NSISONG BONIFACE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</si>
  <si>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</si>
  <si>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</si>
  <si>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</si>
  <si>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</si>
  <si>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</si>
  <si>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</si>
  <si>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</si>
  <si>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</si>
  <si>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</si>
  <si>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</si>
  <si>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</si>
  <si>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</si>
  <si>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</si>
  <si>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DR. SAMUEL AKPAN MBADAH</t>
  </si>
  <si>
    <t>ASSIST. CHIEF TRAINING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</si>
  <si>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</si>
  <si>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</si>
  <si>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</si>
  <si>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</si>
  <si>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</si>
  <si>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</si>
  <si>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</si>
  <si>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</si>
  <si>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</si>
  <si>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</si>
  <si>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</si>
  <si>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</si>
  <si>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14(7)</t>
  </si>
  <si>
    <t>AMOS ABA</t>
  </si>
  <si>
    <t>LIBRARY ASSISTANT</t>
  </si>
  <si>
    <t>8(13)</t>
  </si>
  <si>
    <t>TITILAYO DANIEL MARVELLOUS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</si>
  <si>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</si>
  <si>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</si>
  <si>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</si>
  <si>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</si>
  <si>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</si>
  <si>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UDOH ANIETIE JONAH</t>
  </si>
  <si>
    <t>ENYONGAMA SUNDAY THOMAS</t>
  </si>
  <si>
    <t>UDUAK MONDAY ETIAN</t>
  </si>
  <si>
    <t>ASSIST RESEARCH OFFICER</t>
  </si>
  <si>
    <t>DEMOCRACY RADIO 104.9</t>
  </si>
  <si>
    <t>OLUFEMI E. OYEGOKE</t>
  </si>
  <si>
    <t>MARKETER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</si>
  <si>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</si>
  <si>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</si>
  <si>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</si>
  <si>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</si>
  <si>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</si>
  <si>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</si>
  <si>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</si>
  <si>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</si>
  <si>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</si>
  <si>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</si>
  <si>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</si>
  <si>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</si>
  <si>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</si>
  <si>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</si>
  <si>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RAHILA SALIHU</t>
  </si>
  <si>
    <t>DAUDA HAMZA ILIYASU</t>
  </si>
  <si>
    <t>ASST. ACCOUNT. OFFICER</t>
  </si>
  <si>
    <t>HUSSAIN HAZEEM</t>
  </si>
  <si>
    <t>ACCOUNT. OFFICER</t>
  </si>
  <si>
    <t>MUNIRAT JIMOH</t>
  </si>
  <si>
    <t>ACCOUNT ASSISTANT</t>
  </si>
  <si>
    <t>SHOLAGBERU T. SOFIAT</t>
  </si>
  <si>
    <t>RAHIMAT ONIZE SUBERU</t>
  </si>
  <si>
    <t>11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</si>
  <si>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</si>
  <si>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</si>
  <si>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</si>
  <si>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</si>
  <si>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</si>
  <si>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</si>
  <si>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</si>
  <si>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</si>
  <si>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</si>
  <si>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</si>
  <si>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</si>
  <si>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</si>
  <si>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</si>
  <si>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PROGRAMME OFFIC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</si>
  <si>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</si>
  <si>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</si>
  <si>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</si>
  <si>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</si>
  <si>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</si>
  <si>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</si>
  <si>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</si>
  <si>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STELLA NGIZI PAUL</t>
  </si>
  <si>
    <t>MOHAMMED UMAR ALI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</si>
  <si>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</si>
  <si>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</si>
  <si>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</si>
  <si>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</si>
  <si>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</si>
  <si>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</si>
  <si>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</si>
  <si>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</si>
  <si>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</si>
  <si>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</si>
  <si>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</si>
  <si>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</si>
  <si>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</si>
  <si>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</si>
  <si>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</si>
  <si>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</si>
  <si>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</si>
  <si>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CHINWEOTUTO PRAISE UKPAI</t>
  </si>
  <si>
    <t>ADMINISTRATION OFFICER, GIU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</si>
  <si>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</si>
  <si>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</si>
  <si>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</si>
  <si>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</si>
  <si>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</si>
  <si>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</si>
  <si>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</si>
  <si>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</si>
  <si>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</si>
  <si>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</si>
  <si>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</si>
  <si>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</si>
  <si>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AISHA AMINU SAMBO</t>
  </si>
  <si>
    <t>ASSIST ADMIN OFFICER, GIU</t>
  </si>
  <si>
    <t>ABDULHAKEEM GARBA LERE</t>
  </si>
  <si>
    <t>ASSIST ADMIN OFFICER</t>
  </si>
  <si>
    <t>ABDULRAHMAN BABA KHADIJAT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</si>
  <si>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</si>
  <si>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</si>
  <si>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</si>
  <si>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</si>
  <si>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</si>
  <si>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</si>
  <si>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</si>
  <si>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</si>
  <si>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</si>
  <si>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</si>
  <si>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</si>
  <si>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</si>
  <si>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</si>
  <si>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</si>
  <si>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</si>
  <si>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</si>
  <si>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</si>
  <si>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</si>
  <si>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</si>
  <si>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</si>
  <si>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</si>
  <si>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</si>
  <si>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</si>
  <si>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</si>
  <si>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</si>
  <si>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</si>
  <si>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</si>
  <si>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</si>
  <si>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</si>
  <si>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</si>
  <si>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</si>
  <si>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</si>
  <si>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</si>
  <si>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</si>
  <si>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</si>
  <si>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</si>
  <si>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</si>
  <si>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</si>
  <si>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</si>
  <si>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5(7)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</si>
  <si>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</si>
  <si>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</si>
  <si>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</si>
  <si>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</si>
  <si>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</si>
  <si>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</si>
  <si>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</si>
  <si>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</si>
  <si>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</si>
  <si>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64</t>
  </si>
  <si>
    <t>GRAND TOTAL</t>
  </si>
  <si>
    <t>PREPARED BY:  Rahila N. Habu                                        SIGNATURE………………..                                  DATE:  26TH JUNE,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</si>
  <si>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</si>
  <si>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</si>
  <si>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</si>
  <si>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</si>
  <si>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</si>
  <si>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</si>
  <si>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</si>
  <si>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</si>
  <si>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</si>
  <si>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</si>
  <si>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</si>
  <si>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</si>
  <si>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</si>
  <si>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</si>
  <si>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26TH JULY 2025</t>
  </si>
  <si>
    <t>SUBJECT: PAYROLL FOR THE MONTH OF JULY 2025</t>
  </si>
  <si>
    <t>Find below the details of NILDS Staff Payroll for the Month of  July 2025:</t>
  </si>
  <si>
    <t>NGN</t>
  </si>
  <si>
    <t>GROSS SALARY FOR  JULY, 2025</t>
  </si>
  <si>
    <t>DEDUCTIONS</t>
  </si>
  <si>
    <t>COOP SOCIETY 1 DEDUCTIONS ( CONTR.&amp; SPEC. SAVINGS)</t>
  </si>
  <si>
    <t>COOP 1 LOAN RECOVERY</t>
  </si>
  <si>
    <t>COOP SOCIETY 2 DEDUCTIONS ( CONTR.&amp; SPEC. SAVINGS)</t>
  </si>
  <si>
    <t>NHF DEDUCTIONS</t>
  </si>
  <si>
    <t>PAYE DEDUCTIONS</t>
  </si>
  <si>
    <t>PENSION DEDUCTIONS</t>
  </si>
  <si>
    <t>TOTAL DEDUCTIONS FOR  JULY 2025</t>
  </si>
  <si>
    <t>NET PAY AS PER  JULY 2025 PAYROLL</t>
  </si>
  <si>
    <t>NET PAY AS PER JUNE, 2025 PAYROLL</t>
  </si>
  <si>
    <t>NET INCREASE/ (DECREASE)  IN PAY FOR  JULY, 2025</t>
  </si>
  <si>
    <t>ANALYSED AS FOLLOWS:</t>
  </si>
  <si>
    <t>Effect of Cooperative 1 Adjustment for July, 2025</t>
  </si>
  <si>
    <t>Effect of Cooperative 2 First Contribution in July, 2025</t>
  </si>
  <si>
    <t>Effect of Removal of Jonathan Gabriel from Payroll due to Termination</t>
  </si>
  <si>
    <t>Effect of Increase in Shift Duty Allowance of Aliyu Sani &amp; 5 others due to New Minimum Wage</t>
  </si>
  <si>
    <t>Effect of Conversion &amp; Arrears IFO of Mohammed Umar Ali &amp; 1 other</t>
  </si>
  <si>
    <t>Net Effect of Regularisation of Salary &amp; Arrears IFO Bethel Ihugba as Ag. Director</t>
  </si>
  <si>
    <t>Effect of Pulling out of Imprest of GIU unit from Payroll</t>
  </si>
  <si>
    <t>Effect of NHF Deduction of Kolapo Abayomi &amp; 1 other</t>
  </si>
  <si>
    <t>Net effect of of Step Regularisation of Andrawus Musa &amp; 1 other</t>
  </si>
  <si>
    <t>Effect of Research Allowance of Christian &amp; 1 other</t>
  </si>
  <si>
    <t>Effect of Arrears on Regularisation of PAYE Tax of Titilayo Marvelous &amp; 1 other</t>
  </si>
  <si>
    <t>Effect of  removal of the arrears of Chinako Osogwa &amp;1 other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</si>
  <si>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</si>
  <si>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</si>
  <si>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</si>
  <si>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</si>
  <si>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</si>
  <si>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</si>
  <si>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</si>
  <si>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</si>
  <si>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</si>
  <si>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</si>
  <si>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</si>
  <si>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</si>
  <si>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</si>
  <si>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</si>
  <si>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rPr>
        <sz val="14"/>
        <rFont val="Times New Roman"/>
        <charset val="134"/>
      </rP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67,983,888.62 </t>
    </r>
    <r>
      <rPr>
        <sz val="14"/>
        <rFont val="Times New Roman"/>
        <charset val="134"/>
      </rPr>
      <t xml:space="preserve">to Guaranty Trust Bank  being  July,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14,627,654.36 </t>
    </r>
    <r>
      <rPr>
        <sz val="14"/>
        <rFont val="Times New Roman"/>
        <charset val="134"/>
      </rPr>
      <t>being NILDS Coop Society deductions for July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15,087,810.71  </t>
    </r>
    <r>
      <rPr>
        <sz val="14"/>
        <rFont val="Times New Roman"/>
        <charset val="134"/>
      </rPr>
      <t xml:space="preserve">being PAYE Tax Deductions from Staff Salary for the month  of July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514,084.07 </t>
    </r>
    <r>
      <rPr>
        <sz val="14"/>
        <rFont val="Times New Roman"/>
        <charset val="134"/>
      </rPr>
      <t xml:space="preserve"> being NHF deductions from staff for July 2025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</si>
  <si>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</si>
  <si>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</si>
  <si>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CONS. SALARY</t>
  </si>
  <si>
    <t>NEW SHIFT DUTY 11%</t>
  </si>
  <si>
    <t>OLD SHIFT DUTY ALLCE</t>
  </si>
  <si>
    <t>INCREASE</t>
  </si>
  <si>
    <t>COOP CONTR/SPEC SAVINGS</t>
  </si>
  <si>
    <t>Acting Director</t>
  </si>
  <si>
    <t>Diference in July</t>
  </si>
  <si>
    <t>Arrears for 3.65 Months</t>
  </si>
  <si>
    <t>Old</t>
  </si>
  <si>
    <t>Mohammed Umar Ali</t>
  </si>
  <si>
    <t>New</t>
  </si>
  <si>
    <t xml:space="preserve">Difference </t>
  </si>
  <si>
    <t>Arrears for 4 Months</t>
  </si>
  <si>
    <t>Arrears for 9 Months</t>
  </si>
  <si>
    <t>STAFF PAYROLL FOR THE MONTH OF JUNE, 2025</t>
  </si>
  <si>
    <t>OLD CUM BASIC SALARY</t>
  </si>
  <si>
    <t>NEW BASIC SALARY</t>
  </si>
  <si>
    <t>PECULIAR ALLOW</t>
  </si>
  <si>
    <t>NEW CUM BASIC SALARY</t>
  </si>
  <si>
    <t>INCREASE IN CUM BASIC SALARY</t>
  </si>
  <si>
    <t>OLD EMPLOYEE PENSION 8%</t>
  </si>
  <si>
    <t>NEW EMPLOYEE PENSION 8%</t>
  </si>
  <si>
    <t>INCREASE IN DEDUCTION</t>
  </si>
  <si>
    <t>OLD NHF</t>
  </si>
  <si>
    <t>NEW NHF</t>
  </si>
  <si>
    <t>INCREASE IN NHF</t>
  </si>
  <si>
    <t>ANNUAL NEW EMPLOYEE PENSIONS</t>
  </si>
  <si>
    <t>ANNUAL NEW NHF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</si>
  <si>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</si>
  <si>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</si>
  <si>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</si>
  <si>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</si>
  <si>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</si>
  <si>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</si>
  <si>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</si>
  <si>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</si>
  <si>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</si>
  <si>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</si>
  <si>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</si>
  <si>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</si>
  <si>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</si>
  <si>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(B+C)</t>
  </si>
  <si>
    <t>(D-A)</t>
  </si>
  <si>
    <t>(8% of A)</t>
  </si>
  <si>
    <t>(8% of D)</t>
  </si>
  <si>
    <t>(G-F)</t>
  </si>
  <si>
    <t>(2.5% of B)</t>
  </si>
  <si>
    <t>(J-I)</t>
  </si>
  <si>
    <t>ASST. CHIEF BUDGET OFFICER</t>
  </si>
  <si>
    <t>10</t>
  </si>
  <si>
    <t>ASSIST.CHIEF CONF. SECRETARY</t>
  </si>
  <si>
    <t>5 (11)</t>
  </si>
  <si>
    <t>JONATHAN GABRIEL</t>
  </si>
  <si>
    <t>60</t>
  </si>
  <si>
    <t xml:space="preserve"> TOTAL FOR OLD STAFF</t>
  </si>
  <si>
    <t>TOTAL FOR NEW STAFF</t>
  </si>
  <si>
    <t xml:space="preserve"> GRAND TOTAL 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</si>
  <si>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</si>
  <si>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</si>
  <si>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</si>
  <si>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</si>
  <si>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</si>
  <si>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</si>
  <si>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</si>
  <si>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</si>
  <si>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</si>
  <si>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</si>
  <si>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</si>
  <si>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</si>
  <si>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</si>
  <si>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</si>
  <si>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</si>
  <si>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</si>
  <si>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</si>
  <si>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</si>
  <si>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</si>
  <si>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</si>
  <si>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</si>
  <si>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</si>
  <si>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</si>
  <si>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</si>
  <si>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ACTUAL TAX PAYABLE</t>
  </si>
  <si>
    <t>INCREASE IN PAYE</t>
  </si>
  <si>
    <t>DEMOCRACY RADIO</t>
  </si>
  <si>
    <t>NATIONAL INSTITUTE FOR LEGISLATIVE AND DEMOCRATIC STUDIES (NILDS)</t>
  </si>
  <si>
    <t>GRANT OF WAGE AWARD TO FEDERAL GOVERNMENT WORKERS</t>
  </si>
  <si>
    <t>SCHEDULE OF SIX (6) MONTHS JANUARY TO JUNE 2024</t>
  </si>
  <si>
    <t>Jan-June 2024</t>
  </si>
  <si>
    <t>DEPUTY DIR. GENERAL SERVICE</t>
  </si>
  <si>
    <t>REKIYA IBRAHIM ATTAH</t>
  </si>
  <si>
    <t>DEPUTY DIRECTOR TRAINING</t>
  </si>
  <si>
    <t>ASST. DIRECTOR, STORES</t>
  </si>
  <si>
    <t>ASST. MANAGER ICT</t>
  </si>
  <si>
    <t>13(10)</t>
  </si>
  <si>
    <t>13 (9)</t>
  </si>
  <si>
    <t>PROF. EDOBA BRIGHT OMOREGBE</t>
  </si>
  <si>
    <t>AG. DLSS</t>
  </si>
  <si>
    <t>DR CLINTON JAJA</t>
  </si>
  <si>
    <t>ABDULLAHI AHMAD USMAN</t>
  </si>
  <si>
    <t>DR SHUIBU DANWANKA</t>
  </si>
  <si>
    <t>DR. ADEWALE ADEREMI</t>
  </si>
  <si>
    <t>DIRECTOR, DEMOCRATIC STUDIES</t>
  </si>
  <si>
    <t>NDANUSA MOHAMMED MANZUMA</t>
  </si>
  <si>
    <t>SNR RESEARCH FELLOW</t>
  </si>
  <si>
    <t>LOHNA BONKAT JONATHAN</t>
  </si>
  <si>
    <t>YUNUSA ABDULLAHI</t>
  </si>
  <si>
    <t>USMAN WALI</t>
  </si>
  <si>
    <t>SENIOR RESEARCH FELLOW</t>
  </si>
  <si>
    <t>15 (8)</t>
  </si>
  <si>
    <t>AYOBOLU OLAJIDE OLUFUNSHO</t>
  </si>
  <si>
    <t>ASST.DIR., INFORMATION</t>
  </si>
  <si>
    <t>RESEARCH FELLOW II</t>
  </si>
  <si>
    <t>8(12)</t>
  </si>
  <si>
    <t>8(11)</t>
  </si>
  <si>
    <t>PRINCIPAL ICT OFFICER</t>
  </si>
  <si>
    <t>ARAOYE GANIYAT TITILOLA</t>
  </si>
  <si>
    <t>AMINU BELLO DUKKU</t>
  </si>
  <si>
    <t>DIR ADMIN</t>
  </si>
  <si>
    <t>MAGAJI BALA</t>
  </si>
  <si>
    <t>DD ADMIN</t>
  </si>
  <si>
    <t>CHIEF , ASSETS &amp; MAINT. OFFICER</t>
  </si>
  <si>
    <t>CHIEF ADMIN OFFICER</t>
  </si>
  <si>
    <t>PRINCIPAL PERSONNEL OFFICER</t>
  </si>
  <si>
    <t>PRINCIPAL CONF. SECRETARY</t>
  </si>
  <si>
    <t>PRINC.CONFIDENTIAL SECRETARY II</t>
  </si>
  <si>
    <t>SENIOR CONFIDENTIAL SECR</t>
  </si>
  <si>
    <t>4(10)</t>
  </si>
  <si>
    <t>4(8)</t>
  </si>
  <si>
    <t>59</t>
  </si>
  <si>
    <t>STATISTICS OF PERMANENT STAFF ON GRADE LEVEL AS AT 3RD JUNE 2025</t>
  </si>
  <si>
    <t>NUMBER OF STAFF</t>
  </si>
  <si>
    <t>Director General</t>
  </si>
  <si>
    <t>N/A</t>
  </si>
  <si>
    <t>Director/Acting Director</t>
  </si>
  <si>
    <t>017</t>
  </si>
  <si>
    <t>Deputy Director</t>
  </si>
  <si>
    <t>016</t>
  </si>
  <si>
    <t>Assistant Director/Senior Research Fellow</t>
  </si>
  <si>
    <t>015</t>
  </si>
  <si>
    <t>Chief/Research Fellow 1</t>
  </si>
  <si>
    <t>014</t>
  </si>
  <si>
    <t>Assistant Chief/Research Fellow 2</t>
  </si>
  <si>
    <t>013</t>
  </si>
  <si>
    <t>Principal Officer</t>
  </si>
  <si>
    <t>012</t>
  </si>
  <si>
    <t>Senior Officer</t>
  </si>
  <si>
    <t>010</t>
  </si>
  <si>
    <t>Officer</t>
  </si>
  <si>
    <t>09</t>
  </si>
  <si>
    <t>Assistant Officer</t>
  </si>
  <si>
    <t>08</t>
  </si>
  <si>
    <t>Chief Motor Driver Mechanic</t>
  </si>
  <si>
    <t>07</t>
  </si>
  <si>
    <t>Senior Motor Driver Mechanic</t>
  </si>
  <si>
    <t>05</t>
  </si>
  <si>
    <t>Motor Driver/Mechanic</t>
  </si>
  <si>
    <t>04</t>
  </si>
  <si>
    <t>Total Number of Permanent Staff</t>
  </si>
  <si>
    <t>STATISTICS OF PERMANENT/CONTRACT STAFF ON GRADE LEVEL AS AT 3RD JUNE 2025</t>
  </si>
  <si>
    <t>Total Number of Permanent &amp; Contract Staff</t>
  </si>
  <si>
    <t>Other Staff</t>
  </si>
  <si>
    <t>Casual Staff</t>
  </si>
  <si>
    <t>Sabbatical Staff</t>
  </si>
  <si>
    <t>Consultancy Staff</t>
  </si>
  <si>
    <t>NYSC Staff</t>
  </si>
  <si>
    <t>NASS Deployed</t>
  </si>
  <si>
    <t>Secondment</t>
  </si>
  <si>
    <t>Total Number of Other Staff</t>
  </si>
  <si>
    <t>Total Number of Institute Staff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</si>
  <si>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</si>
  <si>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</si>
  <si>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</si>
  <si>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</si>
  <si>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</si>
  <si>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</si>
  <si>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</si>
  <si>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ABDULSALAM MUSTAPHA</t>
  </si>
  <si>
    <t>EMILY EDIOSA IKHIDE</t>
  </si>
  <si>
    <t>SIMON WAKAWA</t>
  </si>
  <si>
    <t>WAZIRI USMAN</t>
  </si>
  <si>
    <t>TAIWO I. OYINLOLA</t>
  </si>
  <si>
    <t>YUSIF SANI SADIQ</t>
  </si>
  <si>
    <t>STELLA NGOZI PAUL</t>
  </si>
  <si>
    <t>OMONIGHO EROMOSELE-WESEY</t>
  </si>
  <si>
    <t>QUEEN ONYEKESON</t>
  </si>
  <si>
    <t>SHAMSUDEEN YAHAYA</t>
  </si>
  <si>
    <t>ROTIMI OGUNYOMI</t>
  </si>
  <si>
    <t>LEO IGBANOI</t>
  </si>
  <si>
    <t>TOSIN OWOEYE</t>
  </si>
  <si>
    <t>13 (7)</t>
  </si>
  <si>
    <t>STACY CHINYERE IGWE</t>
  </si>
  <si>
    <t>TANIMU M. LAWAL</t>
  </si>
  <si>
    <t>not due</t>
  </si>
  <si>
    <t>MUGISAT ABDULGANIYU</t>
  </si>
  <si>
    <t>PRESENTER/ANNOUNCER</t>
  </si>
  <si>
    <t>61</t>
  </si>
  <si>
    <t>STAFF SALLAH WELFARE JUNE 2025</t>
  </si>
  <si>
    <t>AMOUNT</t>
  </si>
  <si>
    <t>SUMMARY OF SALLAH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</si>
  <si>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</si>
  <si>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</si>
  <si>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</si>
  <si>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</si>
  <si>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</si>
  <si>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</si>
  <si>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</si>
  <si>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</si>
  <si>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Difference</t>
  </si>
  <si>
    <t>difference</t>
  </si>
  <si>
    <t>TOTAL - ANNUAL</t>
  </si>
  <si>
    <t>TOTAL - MONTHLY</t>
  </si>
  <si>
    <t>STAFF PAYROLL FOR THE MONTH OF APRIL, 2025</t>
  </si>
  <si>
    <t>13 DAYS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</si>
  <si>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</si>
  <si>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</si>
  <si>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</si>
  <si>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</si>
  <si>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</si>
  <si>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</si>
  <si>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</si>
  <si>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</si>
  <si>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</si>
  <si>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</si>
  <si>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</si>
  <si>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</si>
  <si>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</si>
  <si>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</si>
  <si>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</si>
  <si>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</si>
  <si>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</si>
  <si>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</si>
  <si>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</si>
  <si>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</si>
  <si>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</si>
  <si>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</si>
  <si>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</si>
  <si>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</si>
  <si>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</si>
  <si>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</si>
  <si>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</si>
  <si>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</si>
  <si>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</si>
  <si>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</si>
  <si>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</si>
  <si>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</si>
  <si>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</si>
  <si>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</si>
  <si>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</si>
  <si>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</si>
  <si>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</si>
  <si>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</si>
  <si>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</si>
  <si>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</si>
  <si>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</si>
  <si>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</si>
  <si>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</si>
  <si>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</si>
  <si>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</si>
  <si>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</si>
  <si>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</si>
  <si>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</si>
  <si>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</si>
  <si>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</si>
  <si>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</si>
  <si>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CURRENT PAYE</t>
  </si>
  <si>
    <t>NEW PAYE</t>
  </si>
  <si>
    <t>INCREMENT IN PAYE</t>
  </si>
  <si>
    <t>NET SALARY INCREMENT</t>
  </si>
  <si>
    <t>ARREARS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</si>
  <si>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</si>
  <si>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</si>
  <si>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</si>
  <si>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</si>
  <si>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</si>
  <si>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</si>
  <si>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</si>
  <si>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</si>
  <si>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</si>
  <si>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</si>
  <si>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</si>
  <si>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</si>
  <si>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</si>
  <si>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</si>
  <si>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62</t>
  </si>
  <si>
    <t>SUMMARY OF CHRISTMAS WELFARE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</si>
  <si>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</si>
  <si>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</si>
  <si>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</si>
  <si>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</si>
  <si>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</si>
  <si>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</si>
  <si>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</si>
  <si>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</si>
  <si>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</si>
  <si>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</si>
  <si>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</si>
  <si>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</si>
  <si>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</si>
  <si>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</si>
  <si>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</si>
  <si>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</si>
  <si>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Rahimat Onize Suberu</t>
  </si>
  <si>
    <t>Ramatu Ibrahim Abdulraheem</t>
  </si>
  <si>
    <t>Katman Emmanuel</t>
  </si>
  <si>
    <t>Usman Muhammed Gidado</t>
  </si>
  <si>
    <t>Abdulmushin Tawfiq Ladan</t>
  </si>
  <si>
    <t>Joseph Gwatana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</si>
  <si>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</si>
  <si>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</si>
  <si>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</si>
  <si>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</si>
  <si>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</si>
  <si>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</si>
  <si>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</si>
  <si>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</si>
  <si>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</si>
  <si>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</si>
  <si>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</si>
  <si>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</si>
  <si>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</si>
  <si>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</si>
  <si>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</si>
  <si>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</si>
  <si>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</si>
  <si>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</si>
  <si>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</si>
  <si>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</si>
  <si>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</si>
  <si>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</si>
  <si>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</si>
  <si>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</si>
  <si>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</si>
  <si>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</si>
  <si>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STAFF SALLAH WELFARE JUNE, 2024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</si>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</sst>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101" x14ac:knownFonts="1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/>
      <sz val="13"/>
      <name val="Times New Roman"/>
      <charset val="134"/>
    </font>
    <font>
      <b/>
      <strike/>
      <sz val="11"/>
      <name val="Times New Roman"/>
      <charset val="134"/>
    </font>
    <font>
      <b/>
      <u val="singleAccounting"/>
      <sz val="11"/>
      <name val="Times New Roman"/>
      <charset val="134"/>
    </font>
    <font>
      <b/>
      <u val="singleAccounting"/>
      <sz val="12"/>
      <name val="Times New Roman"/>
      <charset val="134"/>
    </font>
    <font>
      <b/>
      <sz val="10"/>
      <color indexed="8"/>
      <name val="Times New Roman"/>
      <charset val="134"/>
    </font>
    <font>
      <b/>
      <u val="double"/>
      <sz val="12"/>
      <name val="Times New Roman"/>
      <charset val="134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10"/>
      <name val="Arial"/>
    </font>
    <font>
      <sz val="10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165" fontId="10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00" fillId="0" borderId="0" applyFont="0" applyFill="0" applyBorder="0" applyAlignment="0" applyProtection="0"/>
    <xf numFmtId="0" fontId="100" fillId="0" borderId="0"/>
    <xf numFmtId="0" fontId="99" fillId="0" borderId="0" applyFont="0" applyFill="0" applyBorder="0" applyAlignment="0" applyProtection="0"/>
  </cellStyleXfs>
  <cellXfs count="102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165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43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65" fontId="9" fillId="0" borderId="0" xfId="1" applyFont="1"/>
    <xf numFmtId="165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165" fontId="1" fillId="0" borderId="1" xfId="1" applyFont="1" applyBorder="1"/>
    <xf numFmtId="165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165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165" fontId="1" fillId="0" borderId="1" xfId="1" applyFont="1" applyBorder="1" applyAlignment="1"/>
    <xf numFmtId="165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165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165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165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5" fontId="1" fillId="0" borderId="5" xfId="1" applyFont="1" applyFill="1" applyBorder="1" applyAlignment="1">
      <alignment horizontal="right"/>
    </xf>
    <xf numFmtId="165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165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165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165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165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165" fontId="21" fillId="0" borderId="1" xfId="1" applyFont="1" applyBorder="1"/>
    <xf numFmtId="165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165" fontId="3" fillId="0" borderId="5" xfId="1" applyFont="1" applyFill="1" applyBorder="1" applyAlignment="1">
      <alignment horizontal="right"/>
    </xf>
    <xf numFmtId="165" fontId="3" fillId="0" borderId="1" xfId="1" applyFont="1" applyFill="1" applyBorder="1" applyAlignment="1">
      <alignment horizontal="right"/>
    </xf>
    <xf numFmtId="165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165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165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5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165" fontId="1" fillId="0" borderId="1" xfId="1" applyFont="1" applyFill="1" applyBorder="1" applyAlignment="1">
      <alignment horizontal="left"/>
    </xf>
    <xf numFmtId="165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165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165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165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165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43" fontId="1" fillId="0" borderId="0" xfId="0" applyNumberFormat="1" applyFont="1"/>
    <xf numFmtId="0" fontId="2" fillId="0" borderId="2" xfId="0" applyFont="1" applyBorder="1" applyAlignment="1">
      <alignment wrapText="1"/>
    </xf>
    <xf numFmtId="165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5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165" fontId="21" fillId="0" borderId="1" xfId="1" applyFont="1" applyFill="1" applyBorder="1"/>
    <xf numFmtId="165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165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165" fontId="1" fillId="5" borderId="1" xfId="1" applyFont="1" applyFill="1" applyBorder="1" applyAlignment="1">
      <alignment horizontal="right"/>
    </xf>
    <xf numFmtId="165" fontId="1" fillId="2" borderId="1" xfId="1" applyFont="1" applyFill="1" applyBorder="1"/>
    <xf numFmtId="165" fontId="2" fillId="2" borderId="1" xfId="1" applyFont="1" applyFill="1" applyBorder="1" applyAlignment="1">
      <alignment horizontal="right"/>
    </xf>
    <xf numFmtId="165" fontId="1" fillId="6" borderId="1" xfId="1" applyFont="1" applyFill="1" applyBorder="1" applyAlignment="1">
      <alignment horizontal="right"/>
    </xf>
    <xf numFmtId="165" fontId="21" fillId="2" borderId="1" xfId="0" applyNumberFormat="1" applyFont="1" applyFill="1" applyBorder="1"/>
    <xf numFmtId="165" fontId="3" fillId="2" borderId="1" xfId="0" applyNumberFormat="1" applyFont="1" applyFill="1" applyBorder="1"/>
    <xf numFmtId="165" fontId="1" fillId="6" borderId="1" xfId="1" applyFont="1" applyFill="1" applyBorder="1"/>
    <xf numFmtId="165" fontId="5" fillId="2" borderId="1" xfId="1" applyFont="1" applyFill="1" applyBorder="1"/>
    <xf numFmtId="165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165" fontId="1" fillId="7" borderId="1" xfId="1" applyFont="1" applyFill="1" applyBorder="1" applyAlignment="1">
      <alignment horizontal="right"/>
    </xf>
    <xf numFmtId="165" fontId="2" fillId="7" borderId="1" xfId="1" applyFont="1" applyFill="1" applyBorder="1" applyAlignment="1">
      <alignment horizontal="right"/>
    </xf>
    <xf numFmtId="165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165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165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165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165" fontId="1" fillId="2" borderId="1" xfId="1" applyFont="1" applyFill="1" applyBorder="1" applyAlignment="1">
      <alignment horizontal="right" wrapText="1"/>
    </xf>
    <xf numFmtId="165" fontId="2" fillId="5" borderId="1" xfId="1" applyFont="1" applyFill="1" applyBorder="1" applyAlignment="1">
      <alignment horizontal="right"/>
    </xf>
    <xf numFmtId="165" fontId="2" fillId="2" borderId="1" xfId="1" applyFont="1" applyFill="1" applyBorder="1" applyAlignment="1">
      <alignment horizontal="right" wrapText="1"/>
    </xf>
    <xf numFmtId="165" fontId="3" fillId="5" borderId="1" xfId="1" applyFont="1" applyFill="1" applyBorder="1" applyAlignment="1">
      <alignment horizontal="right"/>
    </xf>
    <xf numFmtId="165" fontId="3" fillId="2" borderId="1" xfId="1" applyFont="1" applyFill="1" applyBorder="1" applyAlignment="1">
      <alignment horizontal="right" wrapText="1"/>
    </xf>
    <xf numFmtId="165" fontId="21" fillId="2" borderId="1" xfId="1" applyFont="1" applyFill="1" applyBorder="1" applyAlignment="1">
      <alignment horizontal="right" wrapText="1"/>
    </xf>
    <xf numFmtId="165" fontId="3" fillId="5" borderId="1" xfId="0" applyNumberFormat="1" applyFont="1" applyFill="1" applyBorder="1"/>
    <xf numFmtId="165" fontId="3" fillId="2" borderId="1" xfId="0" applyNumberFormat="1" applyFont="1" applyFill="1" applyBorder="1" applyAlignment="1">
      <alignment wrapText="1"/>
    </xf>
    <xf numFmtId="165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165" fontId="21" fillId="7" borderId="1" xfId="1" applyFont="1" applyFill="1" applyBorder="1" applyAlignment="1">
      <alignment horizontal="right"/>
    </xf>
    <xf numFmtId="165" fontId="21" fillId="7" borderId="1" xfId="1" applyFont="1" applyFill="1" applyBorder="1" applyAlignment="1">
      <alignment horizontal="right" wrapText="1"/>
    </xf>
    <xf numFmtId="165" fontId="1" fillId="3" borderId="0" xfId="0" applyNumberFormat="1" applyFont="1" applyFill="1"/>
    <xf numFmtId="165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165" fontId="1" fillId="8" borderId="1" xfId="1" applyFont="1" applyFill="1" applyBorder="1" applyAlignment="1">
      <alignment horizontal="right"/>
    </xf>
    <xf numFmtId="165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165" fontId="1" fillId="8" borderId="1" xfId="1" applyFont="1" applyFill="1" applyBorder="1" applyAlignment="1">
      <alignment horizontal="center"/>
    </xf>
    <xf numFmtId="165" fontId="1" fillId="8" borderId="0" xfId="1" applyFont="1" applyFill="1" applyBorder="1" applyAlignment="1">
      <alignment horizontal="right"/>
    </xf>
    <xf numFmtId="165" fontId="1" fillId="10" borderId="0" xfId="1" applyFont="1" applyFill="1" applyBorder="1" applyAlignment="1">
      <alignment horizontal="right"/>
    </xf>
    <xf numFmtId="165" fontId="1" fillId="10" borderId="1" xfId="1" applyFont="1" applyFill="1" applyBorder="1" applyAlignment="1">
      <alignment horizontal="right"/>
    </xf>
    <xf numFmtId="165" fontId="1" fillId="8" borderId="1" xfId="0" applyNumberFormat="1" applyFont="1" applyFill="1" applyBorder="1"/>
    <xf numFmtId="4" fontId="1" fillId="8" borderId="1" xfId="0" applyNumberFormat="1" applyFont="1" applyFill="1" applyBorder="1"/>
    <xf numFmtId="43" fontId="1" fillId="8" borderId="1" xfId="0" applyNumberFormat="1" applyFont="1" applyFill="1" applyBorder="1"/>
    <xf numFmtId="43" fontId="1" fillId="8" borderId="0" xfId="0" applyNumberFormat="1" applyFont="1" applyFill="1"/>
    <xf numFmtId="165" fontId="1" fillId="7" borderId="0" xfId="1" applyFont="1" applyFill="1" applyBorder="1" applyAlignment="1">
      <alignment horizontal="right"/>
    </xf>
    <xf numFmtId="165" fontId="1" fillId="8" borderId="0" xfId="0" applyNumberFormat="1" applyFont="1" applyFill="1"/>
    <xf numFmtId="43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165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165" fontId="21" fillId="5" borderId="1" xfId="0" applyNumberFormat="1" applyFont="1" applyFill="1" applyBorder="1"/>
    <xf numFmtId="165" fontId="21" fillId="7" borderId="1" xfId="0" applyNumberFormat="1" applyFont="1" applyFill="1" applyBorder="1"/>
    <xf numFmtId="43" fontId="1" fillId="7" borderId="1" xfId="3" applyFont="1" applyFill="1" applyBorder="1" applyAlignment="1">
      <alignment horizontal="right"/>
    </xf>
    <xf numFmtId="165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165" fontId="2" fillId="11" borderId="1" xfId="1" applyFont="1" applyFill="1" applyBorder="1" applyAlignment="1">
      <alignment horizontal="right"/>
    </xf>
    <xf numFmtId="165" fontId="21" fillId="11" borderId="1" xfId="1" applyFont="1" applyFill="1" applyBorder="1" applyAlignment="1">
      <alignment horizontal="right"/>
    </xf>
    <xf numFmtId="165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165" fontId="1" fillId="11" borderId="1" xfId="1" applyFont="1" applyFill="1" applyBorder="1"/>
    <xf numFmtId="165" fontId="21" fillId="11" borderId="1" xfId="0" applyNumberFormat="1" applyFont="1" applyFill="1" applyBorder="1"/>
    <xf numFmtId="165" fontId="3" fillId="11" borderId="1" xfId="0" applyNumberFormat="1" applyFont="1" applyFill="1" applyBorder="1"/>
    <xf numFmtId="165" fontId="5" fillId="11" borderId="1" xfId="1" applyFont="1" applyFill="1" applyBorder="1"/>
    <xf numFmtId="165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165" fontId="42" fillId="0" borderId="1" xfId="1" applyFont="1" applyFill="1" applyBorder="1" applyAlignment="1">
      <alignment horizontal="center" vertical="center"/>
    </xf>
    <xf numFmtId="165" fontId="42" fillId="0" borderId="1" xfId="1" applyFont="1" applyBorder="1"/>
    <xf numFmtId="14" fontId="39" fillId="0" borderId="1" xfId="0" applyNumberFormat="1" applyFont="1" applyBorder="1"/>
    <xf numFmtId="165" fontId="42" fillId="0" borderId="1" xfId="1" applyFont="1" applyBorder="1" applyAlignment="1">
      <alignment horizontal="center" vertical="center"/>
    </xf>
    <xf numFmtId="165" fontId="43" fillId="0" borderId="1" xfId="1" applyFont="1" applyBorder="1"/>
    <xf numFmtId="165" fontId="42" fillId="0" borderId="2" xfId="1" applyFont="1" applyBorder="1" applyAlignment="1">
      <alignment horizontal="center" vertical="center"/>
    </xf>
    <xf numFmtId="165" fontId="44" fillId="2" borderId="1" xfId="1" applyFont="1" applyFill="1" applyBorder="1" applyAlignment="1">
      <alignment horizontal="right"/>
    </xf>
    <xf numFmtId="0" fontId="43" fillId="0" borderId="0" xfId="0" applyFont="1"/>
    <xf numFmtId="165" fontId="39" fillId="0" borderId="1" xfId="1" applyFont="1" applyBorder="1"/>
    <xf numFmtId="165" fontId="42" fillId="0" borderId="0" xfId="1" applyFont="1"/>
    <xf numFmtId="165" fontId="40" fillId="0" borderId="1" xfId="1" applyFont="1" applyBorder="1"/>
    <xf numFmtId="0" fontId="9" fillId="0" borderId="1" xfId="0" applyFont="1" applyBorder="1"/>
    <xf numFmtId="165" fontId="45" fillId="0" borderId="1" xfId="1" applyFont="1" applyBorder="1"/>
    <xf numFmtId="165" fontId="0" fillId="0" borderId="0" xfId="1" applyFont="1"/>
    <xf numFmtId="165" fontId="46" fillId="0" borderId="0" xfId="1" applyFont="1"/>
    <xf numFmtId="43" fontId="0" fillId="0" borderId="0" xfId="0" applyNumberFormat="1"/>
    <xf numFmtId="165" fontId="42" fillId="0" borderId="8" xfId="1" applyFont="1" applyFill="1" applyBorder="1" applyAlignment="1">
      <alignment horizontal="center" vertical="center"/>
    </xf>
    <xf numFmtId="165" fontId="0" fillId="0" borderId="0" xfId="0" applyNumberFormat="1"/>
    <xf numFmtId="165" fontId="46" fillId="0" borderId="0" xfId="0" applyNumberFormat="1" applyFont="1"/>
    <xf numFmtId="43" fontId="46" fillId="0" borderId="0" xfId="0" applyNumberFormat="1" applyFont="1"/>
    <xf numFmtId="0" fontId="46" fillId="0" borderId="0" xfId="0" applyFont="1"/>
    <xf numFmtId="165" fontId="47" fillId="0" borderId="1" xfId="1" applyFont="1" applyBorder="1"/>
    <xf numFmtId="165" fontId="43" fillId="0" borderId="0" xfId="1" applyFont="1"/>
    <xf numFmtId="165" fontId="47" fillId="0" borderId="1" xfId="1" applyFont="1" applyBorder="1" applyAlignment="1">
      <alignment horizontal="center" vertical="center"/>
    </xf>
    <xf numFmtId="165" fontId="48" fillId="0" borderId="1" xfId="1" applyFont="1" applyBorder="1" applyAlignment="1">
      <alignment horizontal="center" vertical="center"/>
    </xf>
    <xf numFmtId="0" fontId="42" fillId="0" borderId="0" xfId="0" applyFont="1"/>
    <xf numFmtId="43" fontId="47" fillId="0" borderId="0" xfId="0" applyNumberFormat="1" applyFont="1"/>
    <xf numFmtId="165" fontId="47" fillId="0" borderId="0" xfId="1" applyFont="1"/>
    <xf numFmtId="165" fontId="47" fillId="0" borderId="2" xfId="1" applyFont="1" applyBorder="1" applyAlignment="1">
      <alignment horizontal="center" vertical="center"/>
    </xf>
    <xf numFmtId="43" fontId="43" fillId="0" borderId="1" xfId="0" applyNumberFormat="1" applyFont="1" applyBorder="1"/>
    <xf numFmtId="17" fontId="39" fillId="0" borderId="1" xfId="0" applyNumberFormat="1" applyFont="1" applyBorder="1"/>
    <xf numFmtId="165" fontId="49" fillId="0" borderId="2" xfId="1" applyFont="1" applyBorder="1" applyAlignment="1">
      <alignment horizontal="center" vertical="center"/>
    </xf>
    <xf numFmtId="165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164" fontId="52" fillId="0" borderId="1" xfId="1" applyNumberFormat="1" applyFont="1" applyBorder="1"/>
    <xf numFmtId="164" fontId="53" fillId="0" borderId="1" xfId="1" applyNumberFormat="1" applyFont="1" applyBorder="1"/>
    <xf numFmtId="164" fontId="39" fillId="0" borderId="1" xfId="0" applyNumberFormat="1" applyFont="1" applyBorder="1"/>
    <xf numFmtId="164" fontId="0" fillId="0" borderId="0" xfId="0" applyNumberFormat="1"/>
    <xf numFmtId="165" fontId="54" fillId="0" borderId="0" xfId="1" applyFont="1"/>
    <xf numFmtId="165" fontId="47" fillId="12" borderId="2" xfId="1" applyFont="1" applyFill="1" applyBorder="1"/>
    <xf numFmtId="165" fontId="47" fillId="12" borderId="1" xfId="1" applyFont="1" applyFill="1" applyBorder="1"/>
    <xf numFmtId="165" fontId="47" fillId="0" borderId="2" xfId="1" applyFont="1" applyBorder="1"/>
    <xf numFmtId="0" fontId="55" fillId="0" borderId="1" xfId="0" applyFont="1" applyBorder="1"/>
    <xf numFmtId="165" fontId="39" fillId="0" borderId="1" xfId="1" applyFont="1" applyBorder="1" applyAlignment="1">
      <alignment horizontal="center" vertical="center"/>
    </xf>
    <xf numFmtId="165" fontId="55" fillId="0" borderId="1" xfId="1" applyFont="1" applyBorder="1"/>
    <xf numFmtId="0" fontId="47" fillId="0" borderId="1" xfId="0" applyFont="1" applyBorder="1"/>
    <xf numFmtId="165" fontId="55" fillId="6" borderId="1" xfId="1" applyFont="1" applyFill="1" applyBorder="1"/>
    <xf numFmtId="164" fontId="56" fillId="0" borderId="0" xfId="0" applyNumberFormat="1" applyFont="1"/>
    <xf numFmtId="0" fontId="42" fillId="0" borderId="1" xfId="0" applyFont="1" applyBorder="1"/>
    <xf numFmtId="165" fontId="40" fillId="0" borderId="0" xfId="1" applyFont="1" applyBorder="1"/>
    <xf numFmtId="43" fontId="40" fillId="0" borderId="0" xfId="0" applyNumberFormat="1" applyFont="1"/>
    <xf numFmtId="0" fontId="3" fillId="2" borderId="1" xfId="0" applyFont="1" applyFill="1" applyBorder="1" applyAlignment="1">
      <alignment wrapText="1"/>
    </xf>
    <xf numFmtId="165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165" fontId="3" fillId="10" borderId="1" xfId="1" applyFont="1" applyFill="1" applyBorder="1" applyAlignment="1">
      <alignment horizontal="right"/>
    </xf>
    <xf numFmtId="0" fontId="0" fillId="0" borderId="6" xfId="0" applyBorder="1"/>
    <xf numFmtId="165" fontId="3" fillId="2" borderId="10" xfId="1" applyFont="1" applyFill="1" applyBorder="1" applyAlignment="1">
      <alignment horizontal="right"/>
    </xf>
    <xf numFmtId="0" fontId="0" fillId="0" borderId="11" xfId="0" applyBorder="1"/>
    <xf numFmtId="165" fontId="3" fillId="2" borderId="12" xfId="1" applyFont="1" applyFill="1" applyBorder="1" applyAlignment="1">
      <alignment horizontal="right"/>
    </xf>
    <xf numFmtId="165" fontId="3" fillId="2" borderId="7" xfId="1" applyFont="1" applyFill="1" applyBorder="1" applyAlignment="1">
      <alignment horizontal="right"/>
    </xf>
    <xf numFmtId="165" fontId="3" fillId="2" borderId="13" xfId="1" applyFont="1" applyFill="1" applyBorder="1" applyAlignment="1">
      <alignment horizontal="right"/>
    </xf>
    <xf numFmtId="43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165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165" fontId="58" fillId="2" borderId="1" xfId="1" applyFont="1" applyFill="1" applyBorder="1"/>
    <xf numFmtId="43" fontId="31" fillId="2" borderId="1" xfId="4" applyFont="1" applyFill="1" applyBorder="1" applyAlignment="1">
      <alignment horizontal="right"/>
    </xf>
    <xf numFmtId="165" fontId="57" fillId="2" borderId="1" xfId="1" applyFont="1" applyFill="1" applyBorder="1"/>
    <xf numFmtId="0" fontId="58" fillId="2" borderId="1" xfId="0" applyFont="1" applyFill="1" applyBorder="1"/>
    <xf numFmtId="165" fontId="60" fillId="2" borderId="1" xfId="1" applyFont="1" applyFill="1" applyBorder="1"/>
    <xf numFmtId="165" fontId="31" fillId="2" borderId="1" xfId="1" applyFont="1" applyFill="1" applyBorder="1"/>
    <xf numFmtId="165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165" fontId="58" fillId="6" borderId="1" xfId="1" applyFont="1" applyFill="1" applyBorder="1"/>
    <xf numFmtId="4" fontId="0" fillId="2" borderId="0" xfId="0" applyNumberFormat="1" applyFill="1"/>
    <xf numFmtId="165" fontId="58" fillId="2" borderId="0" xfId="1" applyFont="1" applyFill="1" applyBorder="1"/>
    <xf numFmtId="0" fontId="0" fillId="6" borderId="0" xfId="0" applyFill="1"/>
    <xf numFmtId="165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165" fontId="58" fillId="2" borderId="5" xfId="1" applyFont="1" applyFill="1" applyBorder="1"/>
    <xf numFmtId="43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165" fontId="57" fillId="7" borderId="1" xfId="1" applyFont="1" applyFill="1" applyBorder="1"/>
    <xf numFmtId="165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43" fontId="24" fillId="7" borderId="1" xfId="0" applyNumberFormat="1" applyFont="1" applyFill="1" applyBorder="1"/>
    <xf numFmtId="165" fontId="0" fillId="2" borderId="0" xfId="1" applyFont="1" applyFill="1"/>
    <xf numFmtId="43" fontId="0" fillId="2" borderId="0" xfId="0" applyNumberFormat="1" applyFill="1"/>
    <xf numFmtId="3" fontId="58" fillId="2" borderId="5" xfId="1" applyNumberFormat="1" applyFont="1" applyFill="1" applyBorder="1"/>
    <xf numFmtId="165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165" fontId="1" fillId="13" borderId="1" xfId="1" applyFont="1" applyFill="1" applyBorder="1" applyAlignment="1">
      <alignment horizontal="right"/>
    </xf>
    <xf numFmtId="165" fontId="1" fillId="14" borderId="1" xfId="1" applyFont="1" applyFill="1" applyBorder="1" applyAlignment="1">
      <alignment horizontal="right"/>
    </xf>
    <xf numFmtId="43" fontId="5" fillId="14" borderId="1" xfId="2" applyFont="1" applyFill="1" applyBorder="1"/>
    <xf numFmtId="165" fontId="5" fillId="14" borderId="1" xfId="1" applyFont="1" applyFill="1" applyBorder="1"/>
    <xf numFmtId="165" fontId="1" fillId="14" borderId="1" xfId="1" applyFont="1" applyFill="1" applyBorder="1"/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1" fillId="2" borderId="1" xfId="1" applyFont="1" applyFill="1" applyBorder="1"/>
    <xf numFmtId="43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165" fontId="21" fillId="13" borderId="1" xfId="0" applyNumberFormat="1" applyFont="1" applyFill="1" applyBorder="1"/>
    <xf numFmtId="165" fontId="21" fillId="14" borderId="1" xfId="0" applyNumberFormat="1" applyFont="1" applyFill="1" applyBorder="1"/>
    <xf numFmtId="165" fontId="3" fillId="13" borderId="1" xfId="0" applyNumberFormat="1" applyFont="1" applyFill="1" applyBorder="1"/>
    <xf numFmtId="165" fontId="3" fillId="14" borderId="1" xfId="0" applyNumberFormat="1" applyFont="1" applyFill="1" applyBorder="1"/>
    <xf numFmtId="165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165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165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165" fontId="58" fillId="15" borderId="1" xfId="1" applyFont="1" applyFill="1" applyBorder="1"/>
    <xf numFmtId="4" fontId="0" fillId="15" borderId="0" xfId="0" applyNumberFormat="1" applyFill="1"/>
    <xf numFmtId="165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165" fontId="31" fillId="15" borderId="1" xfId="1" applyFont="1" applyFill="1" applyBorder="1"/>
    <xf numFmtId="4" fontId="54" fillId="0" borderId="0" xfId="0" applyNumberFormat="1" applyFont="1"/>
    <xf numFmtId="165" fontId="58" fillId="8" borderId="1" xfId="1" applyFont="1" applyFill="1" applyBorder="1"/>
    <xf numFmtId="165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165" fontId="1" fillId="14" borderId="2" xfId="1" applyFont="1" applyFill="1" applyBorder="1" applyAlignment="1">
      <alignment horizontal="right"/>
    </xf>
    <xf numFmtId="43" fontId="5" fillId="14" borderId="2" xfId="2" applyFont="1" applyFill="1" applyBorder="1"/>
    <xf numFmtId="43" fontId="5" fillId="2" borderId="17" xfId="2" applyFont="1" applyFill="1" applyBorder="1"/>
    <xf numFmtId="165" fontId="1" fillId="14" borderId="2" xfId="1" applyFont="1" applyFill="1" applyBorder="1"/>
    <xf numFmtId="165" fontId="2" fillId="2" borderId="17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" fillId="2" borderId="17" xfId="1" applyFont="1" applyFill="1" applyBorder="1" applyAlignment="1">
      <alignment horizontal="right"/>
    </xf>
    <xf numFmtId="165" fontId="2" fillId="2" borderId="2" xfId="1" applyFont="1" applyFill="1" applyBorder="1" applyAlignment="1">
      <alignment horizontal="right"/>
    </xf>
    <xf numFmtId="165" fontId="21" fillId="2" borderId="2" xfId="1" applyFont="1" applyFill="1" applyBorder="1" applyAlignment="1">
      <alignment horizontal="right"/>
    </xf>
    <xf numFmtId="165" fontId="21" fillId="2" borderId="17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3" fillId="2" borderId="17" xfId="1" applyFont="1" applyFill="1" applyBorder="1" applyAlignment="1">
      <alignment horizontal="right"/>
    </xf>
    <xf numFmtId="165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43" fontId="5" fillId="11" borderId="4" xfId="2" applyFont="1" applyFill="1" applyBorder="1"/>
    <xf numFmtId="165" fontId="2" fillId="2" borderId="4" xfId="1" applyFont="1" applyFill="1" applyBorder="1" applyAlignment="1">
      <alignment horizontal="right"/>
    </xf>
    <xf numFmtId="165" fontId="2" fillId="11" borderId="4" xfId="1" applyFont="1" applyFill="1" applyBorder="1" applyAlignment="1">
      <alignment horizontal="right"/>
    </xf>
    <xf numFmtId="165" fontId="1" fillId="11" borderId="4" xfId="1" applyFont="1" applyFill="1" applyBorder="1" applyAlignment="1">
      <alignment horizontal="right"/>
    </xf>
    <xf numFmtId="165" fontId="21" fillId="2" borderId="4" xfId="1" applyFont="1" applyFill="1" applyBorder="1" applyAlignment="1">
      <alignment horizontal="right"/>
    </xf>
    <xf numFmtId="165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165" fontId="21" fillId="2" borderId="2" xfId="0" applyNumberFormat="1" applyFont="1" applyFill="1" applyBorder="1"/>
    <xf numFmtId="165" fontId="21" fillId="2" borderId="17" xfId="0" applyNumberFormat="1" applyFont="1" applyFill="1" applyBorder="1"/>
    <xf numFmtId="165" fontId="21" fillId="14" borderId="2" xfId="0" applyNumberFormat="1" applyFont="1" applyFill="1" applyBorder="1"/>
    <xf numFmtId="165" fontId="3" fillId="14" borderId="2" xfId="0" applyNumberFormat="1" applyFont="1" applyFill="1" applyBorder="1"/>
    <xf numFmtId="165" fontId="3" fillId="2" borderId="17" xfId="0" applyNumberFormat="1" applyFont="1" applyFill="1" applyBorder="1"/>
    <xf numFmtId="43" fontId="5" fillId="14" borderId="4" xfId="2" applyFont="1" applyFill="1" applyBorder="1"/>
    <xf numFmtId="0" fontId="1" fillId="11" borderId="4" xfId="0" applyFont="1" applyFill="1" applyBorder="1"/>
    <xf numFmtId="165" fontId="21" fillId="2" borderId="4" xfId="0" applyNumberFormat="1" applyFont="1" applyFill="1" applyBorder="1"/>
    <xf numFmtId="165" fontId="21" fillId="11" borderId="4" xfId="0" applyNumberFormat="1" applyFont="1" applyFill="1" applyBorder="1"/>
    <xf numFmtId="165" fontId="3" fillId="11" borderId="4" xfId="0" applyNumberFormat="1" applyFont="1" applyFill="1" applyBorder="1"/>
    <xf numFmtId="165" fontId="3" fillId="2" borderId="2" xfId="1" applyFont="1" applyFill="1" applyBorder="1" applyAlignment="1">
      <alignment horizontal="right"/>
    </xf>
    <xf numFmtId="165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165" fontId="1" fillId="12" borderId="0" xfId="0" applyNumberFormat="1" applyFont="1" applyFill="1"/>
    <xf numFmtId="165" fontId="1" fillId="16" borderId="1" xfId="1" applyFont="1" applyFill="1" applyBorder="1" applyAlignment="1">
      <alignment horizontal="right"/>
    </xf>
    <xf numFmtId="165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165" fontId="24" fillId="2" borderId="1" xfId="0" applyNumberFormat="1" applyFont="1" applyFill="1" applyBorder="1"/>
    <xf numFmtId="0" fontId="0" fillId="2" borderId="1" xfId="0" applyFill="1" applyBorder="1"/>
    <xf numFmtId="43" fontId="24" fillId="2" borderId="1" xfId="0" applyNumberFormat="1" applyFont="1" applyFill="1" applyBorder="1"/>
    <xf numFmtId="165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165" fontId="19" fillId="2" borderId="1" xfId="1" applyFont="1" applyFill="1" applyBorder="1" applyAlignment="1">
      <alignment horizontal="right"/>
    </xf>
    <xf numFmtId="165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165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165" fontId="16" fillId="2" borderId="1" xfId="1" applyFont="1" applyFill="1" applyBorder="1" applyAlignment="1">
      <alignment horizontal="right"/>
    </xf>
    <xf numFmtId="165" fontId="19" fillId="13" borderId="1" xfId="1" applyFont="1" applyFill="1" applyBorder="1" applyAlignment="1">
      <alignment horizontal="right"/>
    </xf>
    <xf numFmtId="165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165" fontId="19" fillId="14" borderId="1" xfId="1" applyFont="1" applyFill="1" applyBorder="1" applyAlignment="1">
      <alignment horizontal="right"/>
    </xf>
    <xf numFmtId="165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165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165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43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165" fontId="5" fillId="0" borderId="1" xfId="1" applyFont="1" applyBorder="1"/>
    <xf numFmtId="165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165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165" fontId="1" fillId="18" borderId="1" xfId="1" applyFont="1" applyFill="1" applyBorder="1" applyAlignment="1">
      <alignment horizontal="right"/>
    </xf>
    <xf numFmtId="165" fontId="1" fillId="19" borderId="1" xfId="1" applyFont="1" applyFill="1" applyBorder="1" applyAlignment="1">
      <alignment horizontal="right"/>
    </xf>
    <xf numFmtId="165" fontId="5" fillId="18" borderId="1" xfId="1" applyFont="1" applyFill="1" applyBorder="1"/>
    <xf numFmtId="165" fontId="2" fillId="18" borderId="1" xfId="1" applyFont="1" applyFill="1" applyBorder="1" applyAlignment="1">
      <alignment horizontal="right"/>
    </xf>
    <xf numFmtId="165" fontId="2" fillId="19" borderId="1" xfId="1" applyFont="1" applyFill="1" applyBorder="1" applyAlignment="1">
      <alignment horizontal="right"/>
    </xf>
    <xf numFmtId="165" fontId="21" fillId="18" borderId="1" xfId="1" applyFont="1" applyFill="1" applyBorder="1" applyAlignment="1">
      <alignment horizontal="right"/>
    </xf>
    <xf numFmtId="165" fontId="21" fillId="19" borderId="1" xfId="1" applyFont="1" applyFill="1" applyBorder="1" applyAlignment="1">
      <alignment horizontal="right"/>
    </xf>
    <xf numFmtId="165" fontId="3" fillId="18" borderId="1" xfId="1" applyFont="1" applyFill="1" applyBorder="1" applyAlignment="1">
      <alignment horizontal="right"/>
    </xf>
    <xf numFmtId="165" fontId="3" fillId="19" borderId="1" xfId="1" applyFont="1" applyFill="1" applyBorder="1" applyAlignment="1">
      <alignment horizontal="right"/>
    </xf>
    <xf numFmtId="43" fontId="1" fillId="18" borderId="1" xfId="3" applyFont="1" applyFill="1" applyBorder="1" applyAlignment="1">
      <alignment horizontal="right"/>
    </xf>
    <xf numFmtId="165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165" fontId="21" fillId="18" borderId="1" xfId="0" applyNumberFormat="1" applyFont="1" applyFill="1" applyBorder="1"/>
    <xf numFmtId="165" fontId="21" fillId="19" borderId="1" xfId="0" applyNumberFormat="1" applyFont="1" applyFill="1" applyBorder="1"/>
    <xf numFmtId="165" fontId="7" fillId="18" borderId="1" xfId="1" applyFont="1" applyFill="1" applyBorder="1" applyAlignment="1">
      <alignment horizontal="right"/>
    </xf>
    <xf numFmtId="165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165" fontId="81" fillId="2" borderId="1" xfId="1" applyFont="1" applyFill="1" applyBorder="1" applyAlignment="1">
      <alignment horizontal="right"/>
    </xf>
    <xf numFmtId="165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165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165" fontId="81" fillId="14" borderId="1" xfId="1" applyFont="1" applyFill="1" applyBorder="1" applyAlignment="1">
      <alignment horizontal="right"/>
    </xf>
    <xf numFmtId="165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165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0" fontId="3" fillId="21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165" fontId="1" fillId="21" borderId="1" xfId="1" applyFont="1" applyFill="1" applyBorder="1" applyAlignment="1">
      <alignment horizontal="right"/>
    </xf>
    <xf numFmtId="165" fontId="2" fillId="21" borderId="1" xfId="1" applyFont="1" applyFill="1" applyBorder="1" applyAlignment="1">
      <alignment horizontal="right"/>
    </xf>
    <xf numFmtId="165" fontId="5" fillId="21" borderId="1" xfId="1" applyFont="1" applyFill="1" applyBorder="1"/>
    <xf numFmtId="165" fontId="21" fillId="21" borderId="1" xfId="1" applyFont="1" applyFill="1" applyBorder="1" applyAlignment="1">
      <alignment horizontal="right"/>
    </xf>
    <xf numFmtId="165" fontId="3" fillId="21" borderId="1" xfId="1" applyFont="1" applyFill="1" applyBorder="1" applyAlignment="1">
      <alignment horizontal="right"/>
    </xf>
    <xf numFmtId="165" fontId="1" fillId="21" borderId="1" xfId="1" applyFont="1" applyFill="1" applyBorder="1"/>
    <xf numFmtId="0" fontId="1" fillId="21" borderId="1" xfId="0" applyFont="1" applyFill="1" applyBorder="1"/>
    <xf numFmtId="165" fontId="21" fillId="21" borderId="1" xfId="0" applyNumberFormat="1" applyFont="1" applyFill="1" applyBorder="1"/>
    <xf numFmtId="165" fontId="29" fillId="2" borderId="1" xfId="1" applyFont="1" applyFill="1" applyBorder="1" applyAlignment="1">
      <alignment horizontal="right"/>
    </xf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3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3" borderId="5" xfId="0" applyFont="1" applyFill="1" applyBorder="1"/>
    <xf numFmtId="0" fontId="3" fillId="23" borderId="5" xfId="0" applyFont="1" applyFill="1" applyBorder="1"/>
    <xf numFmtId="0" fontId="3" fillId="23" borderId="5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23" borderId="2" xfId="0" applyFill="1" applyBorder="1"/>
    <xf numFmtId="0" fontId="3" fillId="23" borderId="1" xfId="0" applyFont="1" applyFill="1" applyBorder="1"/>
    <xf numFmtId="0" fontId="0" fillId="23" borderId="3" xfId="0" applyFill="1" applyBorder="1"/>
    <xf numFmtId="0" fontId="3" fillId="23" borderId="4" xfId="0" applyFont="1" applyFill="1" applyBorder="1" applyAlignment="1">
      <alignment horizontal="center"/>
    </xf>
    <xf numFmtId="0" fontId="0" fillId="0" borderId="0" xfId="0" applyBorder="1"/>
    <xf numFmtId="0" fontId="0" fillId="24" borderId="2" xfId="0" applyFill="1" applyBorder="1"/>
    <xf numFmtId="0" fontId="3" fillId="24" borderId="3" xfId="0" applyFont="1" applyFill="1" applyBorder="1"/>
    <xf numFmtId="0" fontId="0" fillId="24" borderId="3" xfId="0" applyFill="1" applyBorder="1"/>
    <xf numFmtId="0" fontId="3" fillId="24" borderId="4" xfId="0" applyFont="1" applyFill="1" applyBorder="1" applyAlignment="1">
      <alignment horizontal="center"/>
    </xf>
    <xf numFmtId="0" fontId="89" fillId="2" borderId="0" xfId="0" applyFont="1" applyFill="1"/>
    <xf numFmtId="0" fontId="89" fillId="2" borderId="0" xfId="0" applyFont="1" applyFill="1" applyAlignment="1">
      <alignment horizontal="left"/>
    </xf>
    <xf numFmtId="0" fontId="32" fillId="21" borderId="1" xfId="0" applyFont="1" applyFill="1" applyBorder="1" applyAlignment="1">
      <alignment horizontal="left"/>
    </xf>
    <xf numFmtId="0" fontId="36" fillId="21" borderId="1" xfId="0" applyFont="1" applyFill="1" applyBorder="1" applyAlignment="1">
      <alignment horizontal="left"/>
    </xf>
    <xf numFmtId="0" fontId="32" fillId="21" borderId="1" xfId="0" applyFont="1" applyFill="1" applyBorder="1" applyAlignment="1">
      <alignment horizontal="left" wrapText="1"/>
    </xf>
    <xf numFmtId="17" fontId="36" fillId="21" borderId="1" xfId="0" applyNumberFormat="1" applyFont="1" applyFill="1" applyBorder="1" applyAlignment="1">
      <alignment horizontal="center" wrapText="1"/>
    </xf>
    <xf numFmtId="0" fontId="32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 wrapText="1"/>
    </xf>
    <xf numFmtId="17" fontId="90" fillId="0" borderId="1" xfId="0" applyNumberFormat="1" applyFont="1" applyBorder="1" applyAlignment="1">
      <alignment horizontal="center" wrapText="1"/>
    </xf>
    <xf numFmtId="49" fontId="16" fillId="2" borderId="1" xfId="0" applyNumberFormat="1" applyFont="1" applyFill="1" applyBorder="1" applyAlignment="1">
      <alignment wrapText="1"/>
    </xf>
    <xf numFmtId="49" fontId="35" fillId="2" borderId="1" xfId="0" applyNumberFormat="1" applyFont="1" applyFill="1" applyBorder="1" applyAlignment="1">
      <alignment horizontal="center"/>
    </xf>
    <xf numFmtId="165" fontId="35" fillId="2" borderId="1" xfId="1" applyFont="1" applyFill="1" applyBorder="1" applyAlignment="1">
      <alignment horizontal="right"/>
    </xf>
    <xf numFmtId="49" fontId="16" fillId="2" borderId="1" xfId="0" applyNumberFormat="1" applyFont="1" applyFill="1" applyBorder="1" applyAlignment="1">
      <alignment horizontal="left" wrapText="1"/>
    </xf>
    <xf numFmtId="165" fontId="20" fillId="2" borderId="1" xfId="1" applyFont="1" applyFill="1" applyBorder="1" applyAlignment="1">
      <alignment horizontal="right"/>
    </xf>
    <xf numFmtId="0" fontId="20" fillId="2" borderId="1" xfId="0" applyFont="1" applyFill="1" applyBorder="1" applyAlignment="1">
      <alignment wrapText="1"/>
    </xf>
    <xf numFmtId="49" fontId="19" fillId="15" borderId="1" xfId="0" applyNumberFormat="1" applyFont="1" applyFill="1" applyBorder="1" applyAlignment="1">
      <alignment wrapText="1"/>
    </xf>
    <xf numFmtId="20" fontId="19" fillId="2" borderId="1" xfId="0" applyNumberFormat="1" applyFont="1" applyFill="1" applyBorder="1" applyAlignment="1">
      <alignment horizontal="center"/>
    </xf>
    <xf numFmtId="4" fontId="35" fillId="2" borderId="1" xfId="0" applyNumberFormat="1" applyFont="1" applyFill="1" applyBorder="1" applyAlignment="1">
      <alignment horizontal="center"/>
    </xf>
    <xf numFmtId="49" fontId="19" fillId="15" borderId="1" xfId="0" applyNumberFormat="1" applyFont="1" applyFill="1" applyBorder="1" applyAlignment="1">
      <alignment horizontal="left" wrapText="1"/>
    </xf>
    <xf numFmtId="0" fontId="71" fillId="0" borderId="0" xfId="0" applyFont="1"/>
    <xf numFmtId="0" fontId="32" fillId="21" borderId="1" xfId="0" applyFont="1" applyFill="1" applyBorder="1" applyAlignment="1">
      <alignment horizontal="right" wrapText="1"/>
    </xf>
    <xf numFmtId="165" fontId="91" fillId="2" borderId="1" xfId="1" applyFont="1" applyFill="1" applyBorder="1" applyAlignment="1">
      <alignment horizontal="right"/>
    </xf>
    <xf numFmtId="0" fontId="19" fillId="15" borderId="1" xfId="0" applyFont="1" applyFill="1" applyBorder="1" applyAlignment="1">
      <alignment wrapText="1"/>
    </xf>
    <xf numFmtId="4" fontId="20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/>
    <xf numFmtId="4" fontId="20" fillId="2" borderId="1" xfId="0" applyNumberFormat="1" applyFont="1" applyFill="1" applyBorder="1"/>
    <xf numFmtId="165" fontId="92" fillId="2" borderId="1" xfId="0" applyNumberFormat="1" applyFont="1" applyFill="1" applyBorder="1"/>
    <xf numFmtId="4" fontId="92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 applyAlignment="1">
      <alignment horizontal="right"/>
    </xf>
    <xf numFmtId="4" fontId="20" fillId="2" borderId="1" xfId="1" applyNumberFormat="1" applyFont="1" applyFill="1" applyBorder="1"/>
    <xf numFmtId="165" fontId="92" fillId="2" borderId="1" xfId="1" applyFont="1" applyFill="1" applyBorder="1"/>
    <xf numFmtId="0" fontId="19" fillId="2" borderId="1" xfId="0" applyFont="1" applyFill="1" applyBorder="1" applyAlignment="1">
      <alignment horizontal="center" vertical="center"/>
    </xf>
    <xf numFmtId="49" fontId="70" fillId="2" borderId="1" xfId="0" applyNumberFormat="1" applyFont="1" applyFill="1" applyBorder="1" applyAlignment="1">
      <alignment horizontal="center"/>
    </xf>
    <xf numFmtId="4" fontId="93" fillId="2" borderId="1" xfId="0" applyNumberFormat="1" applyFont="1" applyFill="1" applyBorder="1" applyAlignment="1">
      <alignment horizontal="center"/>
    </xf>
    <xf numFmtId="4" fontId="94" fillId="2" borderId="1" xfId="0" applyNumberFormat="1" applyFont="1" applyFill="1" applyBorder="1" applyAlignment="1">
      <alignment horizontal="left"/>
    </xf>
    <xf numFmtId="4" fontId="16" fillId="2" borderId="1" xfId="0" applyNumberFormat="1" applyFont="1" applyFill="1" applyBorder="1" applyAlignment="1">
      <alignment horizontal="center"/>
    </xf>
    <xf numFmtId="165" fontId="33" fillId="25" borderId="1" xfId="1" applyFont="1" applyFill="1" applyBorder="1" applyAlignment="1">
      <alignment horizontal="right"/>
    </xf>
    <xf numFmtId="0" fontId="1" fillId="2" borderId="0" xfId="0" applyFont="1" applyFill="1" applyBorder="1"/>
    <xf numFmtId="4" fontId="7" fillId="2" borderId="0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/>
    </xf>
    <xf numFmtId="4" fontId="91" fillId="2" borderId="1" xfId="1" applyNumberFormat="1" applyFont="1" applyFill="1" applyBorder="1" applyAlignment="1">
      <alignment horizontal="right"/>
    </xf>
    <xf numFmtId="4" fontId="3" fillId="2" borderId="0" xfId="0" applyNumberFormat="1" applyFont="1" applyFill="1" applyBorder="1" applyAlignment="1">
      <alignment horizontal="center"/>
    </xf>
    <xf numFmtId="0" fontId="1" fillId="9" borderId="0" xfId="0" applyFont="1" applyFill="1"/>
    <xf numFmtId="0" fontId="13" fillId="2" borderId="1" xfId="0" applyFont="1" applyFill="1" applyBorder="1"/>
    <xf numFmtId="0" fontId="15" fillId="2" borderId="1" xfId="0" applyFont="1" applyFill="1" applyBorder="1"/>
    <xf numFmtId="0" fontId="14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17" fontId="2" fillId="2" borderId="1" xfId="0" applyNumberFormat="1" applyFont="1" applyFill="1" applyBorder="1" applyAlignment="1">
      <alignment horizontal="left"/>
    </xf>
    <xf numFmtId="0" fontId="15" fillId="9" borderId="1" xfId="0" applyFont="1" applyFill="1" applyBorder="1"/>
    <xf numFmtId="0" fontId="2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5" fontId="1" fillId="9" borderId="1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1" fillId="2" borderId="1" xfId="0" applyNumberFormat="1" applyFont="1" applyFill="1" applyBorder="1"/>
    <xf numFmtId="165" fontId="21" fillId="9" borderId="1" xfId="1" applyFont="1" applyFill="1" applyBorder="1" applyAlignment="1">
      <alignment horizontal="right"/>
    </xf>
    <xf numFmtId="165" fontId="3" fillId="9" borderId="1" xfId="1" applyFont="1" applyFill="1" applyBorder="1" applyAlignment="1">
      <alignment horizontal="right"/>
    </xf>
    <xf numFmtId="0" fontId="2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165" fontId="1" fillId="2" borderId="4" xfId="1" applyFont="1" applyFill="1" applyBorder="1"/>
    <xf numFmtId="0" fontId="1" fillId="9" borderId="1" xfId="0" applyFont="1" applyFill="1" applyBorder="1"/>
    <xf numFmtId="165" fontId="21" fillId="9" borderId="1" xfId="0" applyNumberFormat="1" applyFont="1" applyFill="1" applyBorder="1"/>
    <xf numFmtId="165" fontId="75" fillId="2" borderId="1" xfId="1" applyFont="1" applyFill="1" applyBorder="1"/>
    <xf numFmtId="165" fontId="75" fillId="2" borderId="1" xfId="0" applyNumberFormat="1" applyFont="1" applyFill="1" applyBorder="1"/>
    <xf numFmtId="165" fontId="1" fillId="9" borderId="1" xfId="1" applyFont="1" applyFill="1" applyBorder="1"/>
    <xf numFmtId="165" fontId="75" fillId="2" borderId="4" xfId="1" applyFont="1" applyFill="1" applyBorder="1"/>
    <xf numFmtId="165" fontId="7" fillId="9" borderId="1" xfId="1" applyFont="1" applyFill="1" applyBorder="1" applyAlignment="1">
      <alignment horizontal="right"/>
    </xf>
    <xf numFmtId="165" fontId="7" fillId="26" borderId="1" xfId="1" applyFont="1" applyFill="1" applyBorder="1" applyAlignment="1">
      <alignment horizontal="right"/>
    </xf>
    <xf numFmtId="165" fontId="7" fillId="27" borderId="1" xfId="1" applyFont="1" applyFill="1" applyBorder="1" applyAlignment="1">
      <alignment horizontal="right"/>
    </xf>
    <xf numFmtId="0" fontId="0" fillId="25" borderId="0" xfId="0" applyFill="1"/>
    <xf numFmtId="0" fontId="58" fillId="25" borderId="0" xfId="0" applyFont="1" applyFill="1"/>
    <xf numFmtId="0" fontId="57" fillId="25" borderId="15" xfId="0" applyFont="1" applyFill="1" applyBorder="1" applyAlignment="1">
      <alignment horizontal="right" wrapText="1"/>
    </xf>
    <xf numFmtId="165" fontId="58" fillId="25" borderId="2" xfId="1" applyFont="1" applyFill="1" applyBorder="1"/>
    <xf numFmtId="4" fontId="0" fillId="2" borderId="1" xfId="0" applyNumberFormat="1" applyFill="1" applyBorder="1"/>
    <xf numFmtId="4" fontId="31" fillId="2" borderId="5" xfId="0" applyNumberFormat="1" applyFont="1" applyFill="1" applyBorder="1"/>
    <xf numFmtId="43" fontId="36" fillId="2" borderId="1" xfId="0" applyNumberFormat="1" applyFont="1" applyFill="1" applyBorder="1"/>
    <xf numFmtId="4" fontId="36" fillId="2" borderId="1" xfId="0" applyNumberFormat="1" applyFont="1" applyFill="1" applyBorder="1"/>
    <xf numFmtId="165" fontId="58" fillId="25" borderId="6" xfId="1" applyFont="1" applyFill="1" applyBorder="1"/>
    <xf numFmtId="4" fontId="36" fillId="24" borderId="1" xfId="0" applyNumberFormat="1" applyFont="1" applyFill="1" applyBorder="1"/>
    <xf numFmtId="4" fontId="36" fillId="9" borderId="1" xfId="0" applyNumberFormat="1" applyFont="1" applyFill="1" applyBorder="1"/>
    <xf numFmtId="4" fontId="58" fillId="2" borderId="1" xfId="0" applyNumberFormat="1" applyFont="1" applyFill="1" applyBorder="1"/>
    <xf numFmtId="0" fontId="90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wrapText="1"/>
    </xf>
    <xf numFmtId="0" fontId="78" fillId="2" borderId="1" xfId="0" applyFont="1" applyFill="1" applyBorder="1" applyAlignment="1">
      <alignment horizontal="left"/>
    </xf>
    <xf numFmtId="165" fontId="0" fillId="0" borderId="1" xfId="0" applyNumberFormat="1" applyBorder="1"/>
    <xf numFmtId="0" fontId="81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90" fillId="13" borderId="1" xfId="0" applyFont="1" applyFill="1" applyBorder="1" applyAlignment="1">
      <alignment horizontal="center"/>
    </xf>
    <xf numFmtId="165" fontId="32" fillId="0" borderId="0" xfId="0" applyNumberFormat="1" applyFont="1"/>
    <xf numFmtId="0" fontId="90" fillId="14" borderId="1" xfId="0" applyFont="1" applyFill="1" applyBorder="1" applyAlignment="1">
      <alignment horizontal="center"/>
    </xf>
    <xf numFmtId="165" fontId="24" fillId="0" borderId="1" xfId="0" applyNumberFormat="1" applyFont="1" applyBorder="1"/>
    <xf numFmtId="4" fontId="3" fillId="0" borderId="0" xfId="0" applyNumberFormat="1" applyFont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65" fontId="1" fillId="0" borderId="0" xfId="1" applyFont="1"/>
    <xf numFmtId="165" fontId="1" fillId="0" borderId="0" xfId="0" applyNumberFormat="1" applyFont="1" applyAlignment="1">
      <alignment horizontal="right"/>
    </xf>
    <xf numFmtId="165" fontId="21" fillId="0" borderId="12" xfId="1" applyFont="1" applyBorder="1" applyAlignment="1"/>
    <xf numFmtId="165" fontId="1" fillId="0" borderId="0" xfId="1" applyFont="1" applyFill="1" applyBorder="1" applyAlignment="1"/>
    <xf numFmtId="165" fontId="21" fillId="0" borderId="10" xfId="1" applyFont="1" applyBorder="1" applyAlignment="1"/>
    <xf numFmtId="165" fontId="3" fillId="0" borderId="0" xfId="1" applyFont="1" applyBorder="1" applyAlignment="1"/>
    <xf numFmtId="165" fontId="1" fillId="0" borderId="1" xfId="0" applyNumberFormat="1" applyFont="1" applyBorder="1" applyAlignment="1">
      <alignment horizontal="center"/>
    </xf>
    <xf numFmtId="165" fontId="1" fillId="0" borderId="0" xfId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4" fontId="1" fillId="2" borderId="1" xfId="0" applyNumberFormat="1" applyFont="1" applyFill="1" applyBorder="1"/>
    <xf numFmtId="0" fontId="1" fillId="2" borderId="1" xfId="0" applyFont="1" applyFill="1" applyBorder="1"/>
    <xf numFmtId="165" fontId="1" fillId="2" borderId="4" xfId="1" applyFont="1" applyFill="1" applyBorder="1" applyAlignment="1">
      <alignment horizontal="right"/>
    </xf>
    <xf numFmtId="4" fontId="6" fillId="2" borderId="4" xfId="0" applyNumberFormat="1" applyFont="1" applyFill="1" applyBorder="1" applyAlignment="1">
      <alignment horizontal="right"/>
    </xf>
    <xf numFmtId="4" fontId="1" fillId="2" borderId="4" xfId="0" applyNumberFormat="1" applyFont="1" applyFill="1" applyBorder="1"/>
    <xf numFmtId="43" fontId="1" fillId="2" borderId="1" xfId="0" applyNumberFormat="1" applyFont="1" applyFill="1" applyBorder="1"/>
    <xf numFmtId="43" fontId="1" fillId="13" borderId="1" xfId="0" applyNumberFormat="1" applyFont="1" applyFill="1" applyBorder="1"/>
    <xf numFmtId="165" fontId="1" fillId="28" borderId="1" xfId="1" applyFont="1" applyFill="1" applyBorder="1" applyAlignment="1">
      <alignment horizontal="right"/>
    </xf>
    <xf numFmtId="165" fontId="75" fillId="2" borderId="1" xfId="1" applyFont="1" applyFill="1" applyBorder="1" applyAlignment="1">
      <alignment horizontal="right"/>
    </xf>
    <xf numFmtId="4" fontId="6" fillId="2" borderId="0" xfId="0" applyNumberFormat="1" applyFont="1" applyFill="1" applyAlignment="1">
      <alignment horizontal="right"/>
    </xf>
    <xf numFmtId="165" fontId="21" fillId="13" borderId="1" xfId="1" applyFont="1" applyFill="1" applyBorder="1" applyAlignment="1">
      <alignment horizontal="right"/>
    </xf>
    <xf numFmtId="165" fontId="1" fillId="2" borderId="1" xfId="1" applyFont="1" applyFill="1" applyBorder="1" applyAlignment="1">
      <alignment horizontal="right"/>
    </xf>
    <xf numFmtId="165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1" fillId="0" borderId="1" xfId="0" quotePrefix="1" applyFont="1" applyBorder="1" applyAlignment="1">
      <alignment horizontal="center"/>
    </xf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165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95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13" fillId="2" borderId="1" xfId="0" applyFont="1" applyFill="1" applyBorder="1"/>
    <xf numFmtId="0" fontId="13" fillId="9" borderId="1" xfId="0" applyFont="1" applyFill="1" applyBorder="1"/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7">
    <cellStyle name="Comma" xfId="1" builtinId="3"/>
    <cellStyle name="Comma 12" xfId="2" xr:uid="{00000000-0005-0000-0000-000031000000}"/>
    <cellStyle name="Comma 2" xfId="3" xr:uid="{00000000-0005-0000-0000-000032000000}"/>
    <cellStyle name="Comma 4" xfId="6" xr:uid="{00000000-0005-0000-0000-000035000000}"/>
    <cellStyle name="Comma 8" xfId="4" xr:uid="{00000000-0005-0000-0000-000033000000}"/>
    <cellStyle name="Normal" xfId="0" builtinId="0"/>
    <cellStyle name="Normal 2" xfId="5" xr:uid="{00000000-0005-0000-0000-00003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 /><Relationship Id="rId117" Type="http://schemas.openxmlformats.org/officeDocument/2006/relationships/externalLink" Target="externalLinks/externalLink15.xml" /><Relationship Id="rId21" Type="http://schemas.openxmlformats.org/officeDocument/2006/relationships/worksheet" Target="worksheets/sheet21.xml" /><Relationship Id="rId42" Type="http://schemas.openxmlformats.org/officeDocument/2006/relationships/worksheet" Target="worksheets/sheet42.xml" /><Relationship Id="rId47" Type="http://schemas.openxmlformats.org/officeDocument/2006/relationships/worksheet" Target="worksheets/sheet47.xml" /><Relationship Id="rId63" Type="http://schemas.openxmlformats.org/officeDocument/2006/relationships/worksheet" Target="worksheets/sheet63.xml" /><Relationship Id="rId68" Type="http://schemas.openxmlformats.org/officeDocument/2006/relationships/worksheet" Target="worksheets/sheet68.xml" /><Relationship Id="rId84" Type="http://schemas.openxmlformats.org/officeDocument/2006/relationships/worksheet" Target="worksheets/sheet84.xml" /><Relationship Id="rId89" Type="http://schemas.openxmlformats.org/officeDocument/2006/relationships/worksheet" Target="worksheets/sheet89.xml" /><Relationship Id="rId112" Type="http://schemas.openxmlformats.org/officeDocument/2006/relationships/externalLink" Target="externalLinks/externalLink10.xml" /><Relationship Id="rId16" Type="http://schemas.openxmlformats.org/officeDocument/2006/relationships/worksheet" Target="worksheets/sheet16.xml" /><Relationship Id="rId107" Type="http://schemas.openxmlformats.org/officeDocument/2006/relationships/externalLink" Target="externalLinks/externalLink5.xml" /><Relationship Id="rId11" Type="http://schemas.openxmlformats.org/officeDocument/2006/relationships/worksheet" Target="worksheets/sheet11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53" Type="http://schemas.openxmlformats.org/officeDocument/2006/relationships/worksheet" Target="worksheets/sheet53.xml" /><Relationship Id="rId58" Type="http://schemas.openxmlformats.org/officeDocument/2006/relationships/worksheet" Target="worksheets/sheet58.xml" /><Relationship Id="rId74" Type="http://schemas.openxmlformats.org/officeDocument/2006/relationships/worksheet" Target="worksheets/sheet74.xml" /><Relationship Id="rId79" Type="http://schemas.openxmlformats.org/officeDocument/2006/relationships/worksheet" Target="worksheets/sheet79.xml" /><Relationship Id="rId102" Type="http://schemas.openxmlformats.org/officeDocument/2006/relationships/worksheet" Target="worksheets/sheet102.xml" /><Relationship Id="rId123" Type="http://schemas.openxmlformats.org/officeDocument/2006/relationships/styles" Target="styles.xml" /><Relationship Id="rId5" Type="http://schemas.openxmlformats.org/officeDocument/2006/relationships/worksheet" Target="worksheets/sheet5.xml" /><Relationship Id="rId61" Type="http://schemas.openxmlformats.org/officeDocument/2006/relationships/worksheet" Target="worksheets/sheet61.xml" /><Relationship Id="rId82" Type="http://schemas.openxmlformats.org/officeDocument/2006/relationships/worksheet" Target="worksheets/sheet82.xml" /><Relationship Id="rId90" Type="http://schemas.openxmlformats.org/officeDocument/2006/relationships/worksheet" Target="worksheets/sheet90.xml" /><Relationship Id="rId95" Type="http://schemas.openxmlformats.org/officeDocument/2006/relationships/worksheet" Target="worksheets/sheet95.xml" /><Relationship Id="rId19" Type="http://schemas.openxmlformats.org/officeDocument/2006/relationships/worksheet" Target="worksheets/sheet1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worksheet" Target="worksheets/sheet43.xml" /><Relationship Id="rId48" Type="http://schemas.openxmlformats.org/officeDocument/2006/relationships/worksheet" Target="worksheets/sheet48.xml" /><Relationship Id="rId56" Type="http://schemas.openxmlformats.org/officeDocument/2006/relationships/worksheet" Target="worksheets/sheet56.xml" /><Relationship Id="rId64" Type="http://schemas.openxmlformats.org/officeDocument/2006/relationships/worksheet" Target="worksheets/sheet64.xml" /><Relationship Id="rId69" Type="http://schemas.openxmlformats.org/officeDocument/2006/relationships/worksheet" Target="worksheets/sheet69.xml" /><Relationship Id="rId77" Type="http://schemas.openxmlformats.org/officeDocument/2006/relationships/worksheet" Target="worksheets/sheet77.xml" /><Relationship Id="rId100" Type="http://schemas.openxmlformats.org/officeDocument/2006/relationships/worksheet" Target="worksheets/sheet100.xml" /><Relationship Id="rId105" Type="http://schemas.openxmlformats.org/officeDocument/2006/relationships/externalLink" Target="externalLinks/externalLink3.xml" /><Relationship Id="rId113" Type="http://schemas.openxmlformats.org/officeDocument/2006/relationships/externalLink" Target="externalLinks/externalLink11.xml" /><Relationship Id="rId118" Type="http://schemas.openxmlformats.org/officeDocument/2006/relationships/externalLink" Target="externalLinks/externalLink16.xml" /><Relationship Id="rId8" Type="http://schemas.openxmlformats.org/officeDocument/2006/relationships/worksheet" Target="worksheets/sheet8.xml" /><Relationship Id="rId51" Type="http://schemas.openxmlformats.org/officeDocument/2006/relationships/worksheet" Target="worksheets/sheet51.xml" /><Relationship Id="rId72" Type="http://schemas.openxmlformats.org/officeDocument/2006/relationships/worksheet" Target="worksheets/sheet72.xml" /><Relationship Id="rId80" Type="http://schemas.openxmlformats.org/officeDocument/2006/relationships/worksheet" Target="worksheets/sheet80.xml" /><Relationship Id="rId85" Type="http://schemas.openxmlformats.org/officeDocument/2006/relationships/worksheet" Target="worksheets/sheet85.xml" /><Relationship Id="rId93" Type="http://schemas.openxmlformats.org/officeDocument/2006/relationships/worksheet" Target="worksheets/sheet93.xml" /><Relationship Id="rId98" Type="http://schemas.openxmlformats.org/officeDocument/2006/relationships/worksheet" Target="worksheets/sheet98.xml" /><Relationship Id="rId121" Type="http://schemas.openxmlformats.org/officeDocument/2006/relationships/externalLink" Target="externalLinks/externalLink19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46" Type="http://schemas.openxmlformats.org/officeDocument/2006/relationships/worksheet" Target="worksheets/sheet46.xml" /><Relationship Id="rId59" Type="http://schemas.openxmlformats.org/officeDocument/2006/relationships/worksheet" Target="worksheets/sheet59.xml" /><Relationship Id="rId67" Type="http://schemas.openxmlformats.org/officeDocument/2006/relationships/worksheet" Target="worksheets/sheet67.xml" /><Relationship Id="rId103" Type="http://schemas.openxmlformats.org/officeDocument/2006/relationships/externalLink" Target="externalLinks/externalLink1.xml" /><Relationship Id="rId108" Type="http://schemas.openxmlformats.org/officeDocument/2006/relationships/externalLink" Target="externalLinks/externalLink6.xml" /><Relationship Id="rId116" Type="http://schemas.openxmlformats.org/officeDocument/2006/relationships/externalLink" Target="externalLinks/externalLink14.xml" /><Relationship Id="rId124" Type="http://schemas.openxmlformats.org/officeDocument/2006/relationships/sharedStrings" Target="sharedStrings.xml" /><Relationship Id="rId20" Type="http://schemas.openxmlformats.org/officeDocument/2006/relationships/worksheet" Target="worksheets/sheet20.xml" /><Relationship Id="rId41" Type="http://schemas.openxmlformats.org/officeDocument/2006/relationships/worksheet" Target="worksheets/sheet41.xml" /><Relationship Id="rId54" Type="http://schemas.openxmlformats.org/officeDocument/2006/relationships/worksheet" Target="worksheets/sheet54.xml" /><Relationship Id="rId62" Type="http://schemas.openxmlformats.org/officeDocument/2006/relationships/worksheet" Target="worksheets/sheet62.xml" /><Relationship Id="rId70" Type="http://schemas.openxmlformats.org/officeDocument/2006/relationships/worksheet" Target="worksheets/sheet70.xml" /><Relationship Id="rId75" Type="http://schemas.openxmlformats.org/officeDocument/2006/relationships/worksheet" Target="worksheets/sheet75.xml" /><Relationship Id="rId83" Type="http://schemas.openxmlformats.org/officeDocument/2006/relationships/worksheet" Target="worksheets/sheet83.xml" /><Relationship Id="rId88" Type="http://schemas.openxmlformats.org/officeDocument/2006/relationships/worksheet" Target="worksheets/sheet88.xml" /><Relationship Id="rId91" Type="http://schemas.openxmlformats.org/officeDocument/2006/relationships/worksheet" Target="worksheets/sheet91.xml" /><Relationship Id="rId96" Type="http://schemas.openxmlformats.org/officeDocument/2006/relationships/worksheet" Target="worksheets/sheet96.xml" /><Relationship Id="rId111" Type="http://schemas.openxmlformats.org/officeDocument/2006/relationships/externalLink" Target="externalLinks/externalLink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49" Type="http://schemas.openxmlformats.org/officeDocument/2006/relationships/worksheet" Target="worksheets/sheet49.xml" /><Relationship Id="rId57" Type="http://schemas.openxmlformats.org/officeDocument/2006/relationships/worksheet" Target="worksheets/sheet57.xml" /><Relationship Id="rId106" Type="http://schemas.openxmlformats.org/officeDocument/2006/relationships/externalLink" Target="externalLinks/externalLink4.xml" /><Relationship Id="rId114" Type="http://schemas.openxmlformats.org/officeDocument/2006/relationships/externalLink" Target="externalLinks/externalLink12.xml" /><Relationship Id="rId119" Type="http://schemas.openxmlformats.org/officeDocument/2006/relationships/externalLink" Target="externalLinks/externalLink17.xml" /><Relationship Id="rId10" Type="http://schemas.openxmlformats.org/officeDocument/2006/relationships/worksheet" Target="worksheets/sheet10.xml" /><Relationship Id="rId31" Type="http://schemas.openxmlformats.org/officeDocument/2006/relationships/worksheet" Target="worksheets/sheet31.xml" /><Relationship Id="rId44" Type="http://schemas.openxmlformats.org/officeDocument/2006/relationships/worksheet" Target="worksheets/sheet44.xml" /><Relationship Id="rId52" Type="http://schemas.openxmlformats.org/officeDocument/2006/relationships/worksheet" Target="worksheets/sheet52.xml" /><Relationship Id="rId60" Type="http://schemas.openxmlformats.org/officeDocument/2006/relationships/worksheet" Target="worksheets/sheet60.xml" /><Relationship Id="rId65" Type="http://schemas.openxmlformats.org/officeDocument/2006/relationships/worksheet" Target="worksheets/sheet65.xml" /><Relationship Id="rId73" Type="http://schemas.openxmlformats.org/officeDocument/2006/relationships/worksheet" Target="worksheets/sheet73.xml" /><Relationship Id="rId78" Type="http://schemas.openxmlformats.org/officeDocument/2006/relationships/worksheet" Target="worksheets/sheet78.xml" /><Relationship Id="rId81" Type="http://schemas.openxmlformats.org/officeDocument/2006/relationships/worksheet" Target="worksheets/sheet81.xml" /><Relationship Id="rId86" Type="http://schemas.openxmlformats.org/officeDocument/2006/relationships/worksheet" Target="worksheets/sheet86.xml" /><Relationship Id="rId94" Type="http://schemas.openxmlformats.org/officeDocument/2006/relationships/worksheet" Target="worksheets/sheet94.xml" /><Relationship Id="rId99" Type="http://schemas.openxmlformats.org/officeDocument/2006/relationships/worksheet" Target="worksheets/sheet99.xml" /><Relationship Id="rId101" Type="http://schemas.openxmlformats.org/officeDocument/2006/relationships/worksheet" Target="worksheets/sheet101.xml" /><Relationship Id="rId122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9" Type="http://schemas.openxmlformats.org/officeDocument/2006/relationships/worksheet" Target="worksheets/sheet39.xml" /><Relationship Id="rId109" Type="http://schemas.openxmlformats.org/officeDocument/2006/relationships/externalLink" Target="externalLinks/externalLink7.xml" /><Relationship Id="rId34" Type="http://schemas.openxmlformats.org/officeDocument/2006/relationships/worksheet" Target="worksheets/sheet34.xml" /><Relationship Id="rId50" Type="http://schemas.openxmlformats.org/officeDocument/2006/relationships/worksheet" Target="worksheets/sheet50.xml" /><Relationship Id="rId55" Type="http://schemas.openxmlformats.org/officeDocument/2006/relationships/worksheet" Target="worksheets/sheet55.xml" /><Relationship Id="rId76" Type="http://schemas.openxmlformats.org/officeDocument/2006/relationships/worksheet" Target="worksheets/sheet76.xml" /><Relationship Id="rId97" Type="http://schemas.openxmlformats.org/officeDocument/2006/relationships/worksheet" Target="worksheets/sheet97.xml" /><Relationship Id="rId104" Type="http://schemas.openxmlformats.org/officeDocument/2006/relationships/externalLink" Target="externalLinks/externalLink2.xml" /><Relationship Id="rId120" Type="http://schemas.openxmlformats.org/officeDocument/2006/relationships/externalLink" Target="externalLinks/externalLink18.xml" /><Relationship Id="rId125" Type="http://schemas.openxmlformats.org/officeDocument/2006/relationships/calcChain" Target="calcChain.xml" /><Relationship Id="rId7" Type="http://schemas.openxmlformats.org/officeDocument/2006/relationships/worksheet" Target="worksheets/sheet7.xml" /><Relationship Id="rId71" Type="http://schemas.openxmlformats.org/officeDocument/2006/relationships/worksheet" Target="worksheets/sheet71.xml" /><Relationship Id="rId92" Type="http://schemas.openxmlformats.org/officeDocument/2006/relationships/worksheet" Target="worksheets/sheet92.xml" /><Relationship Id="rId2" Type="http://schemas.openxmlformats.org/officeDocument/2006/relationships/worksheet" Target="worksheets/sheet2.xml" /><Relationship Id="rId29" Type="http://schemas.openxmlformats.org/officeDocument/2006/relationships/worksheet" Target="worksheets/sheet29.xml" /><Relationship Id="rId24" Type="http://schemas.openxmlformats.org/officeDocument/2006/relationships/worksheet" Target="worksheets/sheet24.xml" /><Relationship Id="rId40" Type="http://schemas.openxmlformats.org/officeDocument/2006/relationships/worksheet" Target="worksheets/sheet40.xml" /><Relationship Id="rId45" Type="http://schemas.openxmlformats.org/officeDocument/2006/relationships/worksheet" Target="worksheets/sheet45.xml" /><Relationship Id="rId66" Type="http://schemas.openxmlformats.org/officeDocument/2006/relationships/worksheet" Target="worksheets/sheet66.xml" /><Relationship Id="rId87" Type="http://schemas.openxmlformats.org/officeDocument/2006/relationships/worksheet" Target="worksheets/sheet87.xml" /><Relationship Id="rId110" Type="http://schemas.openxmlformats.org/officeDocument/2006/relationships/externalLink" Target="externalLinks/externalLink8.xml" /><Relationship Id="rId115" Type="http://schemas.openxmlformats.org/officeDocument/2006/relationships/externalLink" Target="externalLinks/externalLink1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%20C0NLESS%20(2).xls" TargetMode="External" 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2024%20C0NLESS%20(2).xls" TargetMode="External" 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 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2025%20%20Salary%20-%20New%20Staff%20Old%20fig.xlsx" TargetMode="External" 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MAY%20%202025%20Contract,%20Sabbatical,NYSC%20&amp;%20Consul.xls" TargetMode="External" 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5/June%202025%20Payroll/Updated%20Lists%20of%20the%20Institutes'%20Service%20Providers%20(1).xlsx" TargetMode="External" 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 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 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 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 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 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 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 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 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 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 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 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4">
          <cell r="I44">
            <v>539028</v>
          </cell>
        </row>
      </sheetData>
      <sheetData sheetId="2">
        <row r="44">
          <cell r="I44">
            <v>339980.91666666698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FGN 2024 MGT"/>
      <sheetName val=" FGN 2024 MGT Monthly"/>
      <sheetName val="Peculiar Allowance"/>
    </sheetNames>
    <sheetDataSet>
      <sheetData sheetId="0"/>
      <sheetData sheetId="1">
        <row r="40">
          <cell r="L40">
            <v>311094.41666666698</v>
          </cell>
        </row>
        <row r="43">
          <cell r="I43">
            <v>445995.83333333302</v>
          </cell>
        </row>
        <row r="44">
          <cell r="H44">
            <v>523386.5</v>
          </cell>
        </row>
      </sheetData>
      <sheetData sheetId="2">
        <row r="44">
          <cell r="H44">
            <v>329324.58333333302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25 NEW"/>
      <sheetName val="MEMO"/>
      <sheetName val="Sallah 2025"/>
      <sheetName val="Sheet6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1790400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Contract"/>
      <sheetName val="May New Contract"/>
      <sheetName val="CASUAL, SABB &amp; NYSC May"/>
      <sheetName val="CONSULTANTS May"/>
      <sheetName val="No on GL"/>
      <sheetName val="Sheet1"/>
      <sheetName val="Contract Welfare"/>
      <sheetName val="New Contr Welfare"/>
      <sheetName val="CASUAL, SABB &amp; NYSC Welfare"/>
      <sheetName val="CONSULTANTS Welfare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E21">
            <v>2030400</v>
          </cell>
        </row>
      </sheetData>
      <sheetData sheetId="7">
        <row r="42">
          <cell r="E42">
            <v>2947200</v>
          </cell>
        </row>
      </sheetData>
      <sheetData sheetId="8">
        <row r="82">
          <cell r="D82">
            <v>3412803</v>
          </cell>
        </row>
      </sheetData>
      <sheetData sheetId="9">
        <row r="23">
          <cell r="D23">
            <v>1533600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vised Version"/>
    </sheetNames>
    <sheetDataSet>
      <sheetData sheetId="0"/>
      <sheetData sheetId="1">
        <row r="167">
          <cell r="E167">
            <v>2844000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0"/>
  <sheetViews>
    <sheetView zoomScale="90" zoomScaleNormal="90" zoomScaleSheetLayoutView="50" workbookViewId="0">
      <pane xSplit="3" ySplit="7" topLeftCell="Q212" activePane="bottomRight" state="frozen"/>
      <selection pane="bottomLeft"/>
      <selection pane="topRight"/>
      <selection pane="bottomRight" activeCell="A215" sqref="A215:XFD215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6" width="19.28125" style="1" customWidth="1"/>
    <col min="7" max="7" width="18.33984375" style="1" customWidth="1"/>
    <col min="8" max="8" width="18.0703125" style="1" customWidth="1"/>
    <col min="9" max="9" width="17.80078125" style="1" customWidth="1"/>
    <col min="10" max="10" width="21.57421875" style="1" customWidth="1"/>
    <col min="11" max="11" width="9.16796875" style="1" customWidth="1"/>
    <col min="12" max="12" width="18.47265625" style="1" customWidth="1"/>
    <col min="13" max="14" width="17.6640625" style="1" customWidth="1"/>
    <col min="15" max="15" width="16.046875" style="1" customWidth="1"/>
    <col min="16" max="16" width="19.8203125" style="1" customWidth="1"/>
    <col min="17" max="17" width="18.0703125" style="1" customWidth="1"/>
    <col min="18" max="18" width="19.28125" style="1" customWidth="1"/>
    <col min="19" max="19" width="21.84375" style="1" customWidth="1"/>
    <col min="20" max="20" width="18.87890625" style="1" customWidth="1"/>
    <col min="21" max="21" width="13.6171875" style="1"/>
    <col min="22" max="16384" width="9.16796875" style="1"/>
  </cols>
  <sheetData>
    <row r="1" spans="1:20" ht="27" customHeight="1" x14ac:dyDescent="0.3">
      <c r="A1" s="936" t="s">
        <v>0</v>
      </c>
      <c r="B1" s="936"/>
      <c r="C1" s="936"/>
      <c r="D1" s="936"/>
      <c r="E1" s="936"/>
      <c r="F1" s="936"/>
      <c r="G1" s="183"/>
      <c r="H1" s="183"/>
      <c r="I1" s="183"/>
    </row>
    <row r="2" spans="1:20" ht="33.75" customHeight="1" x14ac:dyDescent="0.3">
      <c r="A2" s="61" t="s">
        <v>1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ht="9.75" customHeight="1" x14ac:dyDescent="0.2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184" t="s">
        <v>14</v>
      </c>
      <c r="P4" s="22" t="s">
        <v>15</v>
      </c>
      <c r="Q4" s="184" t="s">
        <v>16</v>
      </c>
      <c r="R4" s="463" t="s">
        <v>17</v>
      </c>
      <c r="S4" s="65" t="s">
        <v>18</v>
      </c>
      <c r="T4" s="589" t="s">
        <v>19</v>
      </c>
    </row>
    <row r="5" spans="1:20" ht="17.25" customHeight="1" x14ac:dyDescent="0.2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/>
      <c r="O5" s="67" t="s">
        <v>20</v>
      </c>
      <c r="P5" s="67" t="s">
        <v>20</v>
      </c>
      <c r="Q5" s="67" t="s">
        <v>20</v>
      </c>
      <c r="R5" s="465" t="s">
        <v>20</v>
      </c>
      <c r="S5" s="67" t="s">
        <v>20</v>
      </c>
      <c r="T5" s="464" t="s">
        <v>20</v>
      </c>
    </row>
    <row r="6" spans="1:20" ht="20.100000000000001" customHeight="1" x14ac:dyDescent="0.2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67"/>
      <c r="R6" s="465"/>
      <c r="S6" s="67"/>
      <c r="T6" s="464"/>
    </row>
    <row r="7" spans="1:20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70">
        <v>1971137.08333333</v>
      </c>
      <c r="F7" s="70"/>
      <c r="G7" s="186">
        <f>250000</f>
        <v>250000</v>
      </c>
      <c r="H7" s="186"/>
      <c r="I7" s="70">
        <v>25235</v>
      </c>
      <c r="J7" s="466">
        <f t="shared" ref="J7:J20" si="0">E7+F7+G7+H7+I7</f>
        <v>2246372.0833333302</v>
      </c>
      <c r="K7" s="70"/>
      <c r="L7" s="70"/>
      <c r="M7" s="70"/>
      <c r="N7" s="70"/>
      <c r="O7" s="70"/>
      <c r="P7" s="70">
        <v>409970.10666666599</v>
      </c>
      <c r="Q7" s="70">
        <v>0</v>
      </c>
      <c r="R7" s="467">
        <f>P7+O7+M7+N7+L7+K7+Q7</f>
        <v>409970.10666666599</v>
      </c>
      <c r="S7" s="70">
        <v>1836401.97666666</v>
      </c>
      <c r="T7" s="466">
        <f t="shared" ref="T7:T21" si="1">J7-R7</f>
        <v>1836401.97666666</v>
      </c>
    </row>
    <row r="8" spans="1:20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70">
        <v>905306.75</v>
      </c>
      <c r="F8" s="70"/>
      <c r="G8" s="186"/>
      <c r="H8" s="186">
        <f>90000</f>
        <v>90000</v>
      </c>
      <c r="I8" s="70">
        <f>100000</f>
        <v>100000</v>
      </c>
      <c r="J8" s="466">
        <f t="shared" si="0"/>
        <v>1095306.75</v>
      </c>
      <c r="K8" s="70"/>
      <c r="L8" s="70">
        <f>250000</f>
        <v>250000</v>
      </c>
      <c r="M8" s="70"/>
      <c r="N8" s="70"/>
      <c r="O8" s="70"/>
      <c r="P8" s="70">
        <v>175060.05098666699</v>
      </c>
      <c r="Q8" s="70">
        <v>72424.539999999994</v>
      </c>
      <c r="R8" s="467">
        <f t="shared" ref="R8:R43" si="2">P8+O8+M8+N8+L8+K8+Q8</f>
        <v>497484.59098666703</v>
      </c>
      <c r="S8" s="70">
        <v>597822.15901333303</v>
      </c>
      <c r="T8" s="466">
        <f t="shared" si="1"/>
        <v>597822.15901333303</v>
      </c>
    </row>
    <row r="9" spans="1:20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70">
        <v>905306.75</v>
      </c>
      <c r="F9" s="70"/>
      <c r="G9" s="186"/>
      <c r="H9" s="186">
        <f>90000</f>
        <v>90000</v>
      </c>
      <c r="I9" s="70">
        <f>200000+100000</f>
        <v>300000</v>
      </c>
      <c r="J9" s="466">
        <f t="shared" si="0"/>
        <v>1295306.75</v>
      </c>
      <c r="K9" s="70"/>
      <c r="L9" s="70"/>
      <c r="M9" s="70"/>
      <c r="N9" s="70"/>
      <c r="O9" s="70"/>
      <c r="P9" s="70">
        <v>227365.56266666701</v>
      </c>
      <c r="Q9" s="70"/>
      <c r="R9" s="467">
        <f t="shared" si="2"/>
        <v>227365.56266666701</v>
      </c>
      <c r="S9" s="70">
        <v>1067941.18733333</v>
      </c>
      <c r="T9" s="466">
        <f t="shared" si="1"/>
        <v>1067941.18733333</v>
      </c>
    </row>
    <row r="10" spans="1:20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70">
        <v>905306.75</v>
      </c>
      <c r="F10" s="70"/>
      <c r="G10" s="186">
        <v>180000</v>
      </c>
      <c r="H10" s="186"/>
      <c r="I10" s="70">
        <v>0</v>
      </c>
      <c r="J10" s="466">
        <f t="shared" si="0"/>
        <v>1085306.75</v>
      </c>
      <c r="K10" s="70"/>
      <c r="L10" s="70">
        <f>50000</f>
        <v>50000</v>
      </c>
      <c r="M10" s="70">
        <v>206000</v>
      </c>
      <c r="N10" s="70"/>
      <c r="O10" s="70">
        <v>13866.737499999999</v>
      </c>
      <c r="P10" s="70">
        <v>170477.63738666699</v>
      </c>
      <c r="Q10" s="70">
        <v>72424.539999999994</v>
      </c>
      <c r="R10" s="467">
        <f t="shared" si="2"/>
        <v>512768.91488666699</v>
      </c>
      <c r="S10" s="70">
        <v>572537.83511333296</v>
      </c>
      <c r="T10" s="466">
        <f t="shared" si="1"/>
        <v>572537.83511333296</v>
      </c>
    </row>
    <row r="11" spans="1:20" ht="20.100000000000001" customHeight="1" x14ac:dyDescent="0.2">
      <c r="A11" s="8">
        <v>5</v>
      </c>
      <c r="B11" s="9" t="s">
        <v>33</v>
      </c>
      <c r="C11" s="10" t="s">
        <v>34</v>
      </c>
      <c r="D11" s="13" t="s">
        <v>35</v>
      </c>
      <c r="E11" s="70">
        <v>879008.91666666698</v>
      </c>
      <c r="F11" s="70">
        <f>26297.8333333367*2</f>
        <v>52595.666666673402</v>
      </c>
      <c r="G11" s="186"/>
      <c r="H11" s="186">
        <f>90000</f>
        <v>90000</v>
      </c>
      <c r="I11" s="70">
        <v>50000</v>
      </c>
      <c r="J11" s="466">
        <f t="shared" si="0"/>
        <v>1071604.58333334</v>
      </c>
      <c r="K11" s="70"/>
      <c r="L11" s="70">
        <f>50000-40000</f>
        <v>10000</v>
      </c>
      <c r="M11" s="70">
        <f>90000+110000</f>
        <v>200000</v>
      </c>
      <c r="N11" s="70"/>
      <c r="O11" s="70">
        <v>13084.6625</v>
      </c>
      <c r="P11" s="70">
        <v>168804.84922666801</v>
      </c>
      <c r="Q11" s="70">
        <v>68216.886666666702</v>
      </c>
      <c r="R11" s="467">
        <f t="shared" si="2"/>
        <v>460106.398393335</v>
      </c>
      <c r="S11" s="70">
        <v>547752.23693999997</v>
      </c>
      <c r="T11" s="466">
        <f t="shared" si="1"/>
        <v>611498.18494000495</v>
      </c>
    </row>
    <row r="12" spans="1:20" ht="20.100000000000001" customHeight="1" x14ac:dyDescent="0.2">
      <c r="A12" s="8">
        <v>6</v>
      </c>
      <c r="B12" s="9" t="s">
        <v>36</v>
      </c>
      <c r="C12" s="2" t="s">
        <v>37</v>
      </c>
      <c r="D12" s="8" t="s">
        <v>38</v>
      </c>
      <c r="E12" s="70">
        <v>722595.5</v>
      </c>
      <c r="F12" s="70"/>
      <c r="G12" s="186">
        <v>160000</v>
      </c>
      <c r="H12" s="186"/>
      <c r="I12" s="70">
        <f>100000+100000</f>
        <v>200000</v>
      </c>
      <c r="J12" s="466">
        <f t="shared" si="0"/>
        <v>1082595.5</v>
      </c>
      <c r="K12" s="70"/>
      <c r="L12" s="70"/>
      <c r="M12" s="70"/>
      <c r="N12" s="70"/>
      <c r="O12" s="70">
        <v>11149.895833333299</v>
      </c>
      <c r="P12" s="70">
        <v>173285.15578666699</v>
      </c>
      <c r="Q12" s="70">
        <v>57807.64</v>
      </c>
      <c r="R12" s="467">
        <f t="shared" si="2"/>
        <v>242242.69162</v>
      </c>
      <c r="S12" s="70">
        <v>840352.80837999994</v>
      </c>
      <c r="T12" s="466">
        <f t="shared" si="1"/>
        <v>840352.80837999994</v>
      </c>
    </row>
    <row r="13" spans="1:20" ht="20.100000000000001" customHeight="1" x14ac:dyDescent="0.2">
      <c r="A13" s="8">
        <v>7</v>
      </c>
      <c r="B13" s="9" t="s">
        <v>39</v>
      </c>
      <c r="C13" s="2" t="s">
        <v>40</v>
      </c>
      <c r="D13" s="13" t="s">
        <v>41</v>
      </c>
      <c r="E13" s="70">
        <v>589657</v>
      </c>
      <c r="F13" s="70"/>
      <c r="G13" s="186"/>
      <c r="H13" s="186">
        <f t="shared" ref="H13" si="3">70000</f>
        <v>70000</v>
      </c>
      <c r="I13" s="70">
        <f>0</f>
        <v>0</v>
      </c>
      <c r="J13" s="466">
        <f t="shared" si="0"/>
        <v>659657</v>
      </c>
      <c r="K13" s="70"/>
      <c r="L13" s="70"/>
      <c r="M13" s="70"/>
      <c r="N13" s="70"/>
      <c r="O13" s="70"/>
      <c r="P13" s="70">
        <v>96263.679146666705</v>
      </c>
      <c r="Q13" s="70">
        <v>47172.56</v>
      </c>
      <c r="R13" s="467">
        <f t="shared" si="2"/>
        <v>143436.23914666701</v>
      </c>
      <c r="S13" s="70">
        <v>516220.76085333299</v>
      </c>
      <c r="T13" s="466">
        <f t="shared" si="1"/>
        <v>516220.76085333299</v>
      </c>
    </row>
    <row r="14" spans="1:20" ht="20.100000000000001" customHeight="1" x14ac:dyDescent="0.2">
      <c r="A14" s="8">
        <v>8</v>
      </c>
      <c r="B14" s="12" t="s">
        <v>42</v>
      </c>
      <c r="C14" s="15" t="s">
        <v>43</v>
      </c>
      <c r="D14" s="13" t="s">
        <v>38</v>
      </c>
      <c r="E14" s="70">
        <v>722595.5</v>
      </c>
      <c r="F14" s="70"/>
      <c r="G14" s="186">
        <v>160000</v>
      </c>
      <c r="H14" s="186"/>
      <c r="I14" s="70">
        <f>50000</f>
        <v>50000</v>
      </c>
      <c r="J14" s="466">
        <f t="shared" si="0"/>
        <v>932595.5</v>
      </c>
      <c r="K14" s="70"/>
      <c r="L14" s="70">
        <f>50000</f>
        <v>50000</v>
      </c>
      <c r="M14" s="70"/>
      <c r="N14" s="70"/>
      <c r="O14" s="70"/>
      <c r="P14" s="70">
        <v>146625.93578666699</v>
      </c>
      <c r="Q14" s="70">
        <v>57807.64</v>
      </c>
      <c r="R14" s="467">
        <f t="shared" si="2"/>
        <v>254433.575786667</v>
      </c>
      <c r="S14" s="70">
        <v>758961.92421333306</v>
      </c>
      <c r="T14" s="466">
        <f t="shared" si="1"/>
        <v>678161.92421333306</v>
      </c>
    </row>
    <row r="15" spans="1:20" ht="20.100000000000001" customHeight="1" x14ac:dyDescent="0.2">
      <c r="A15" s="8">
        <v>9</v>
      </c>
      <c r="B15" s="9" t="s">
        <v>44</v>
      </c>
      <c r="C15" s="2" t="s">
        <v>45</v>
      </c>
      <c r="D15" s="8" t="s">
        <v>46</v>
      </c>
      <c r="E15" s="70">
        <v>558165.25</v>
      </c>
      <c r="F15" s="70"/>
      <c r="G15" s="186">
        <f>140000</f>
        <v>140000</v>
      </c>
      <c r="H15" s="186"/>
      <c r="I15" s="70">
        <f>150000+100000</f>
        <v>250000</v>
      </c>
      <c r="J15" s="466">
        <f t="shared" si="0"/>
        <v>948165.25</v>
      </c>
      <c r="K15" s="70"/>
      <c r="L15" s="70">
        <v>70000</v>
      </c>
      <c r="M15" s="70">
        <v>175000</v>
      </c>
      <c r="N15" s="70"/>
      <c r="O15" s="70"/>
      <c r="P15" s="70">
        <v>152140.97642666701</v>
      </c>
      <c r="Q15" s="70">
        <v>44653.22</v>
      </c>
      <c r="R15" s="467">
        <f t="shared" si="2"/>
        <v>441794.19642666698</v>
      </c>
      <c r="S15" s="70">
        <v>506371.05357333302</v>
      </c>
      <c r="T15" s="466">
        <f t="shared" si="1"/>
        <v>506371.05357333302</v>
      </c>
    </row>
    <row r="16" spans="1:20" ht="20.100000000000001" customHeight="1" x14ac:dyDescent="0.2">
      <c r="A16" s="8">
        <v>10</v>
      </c>
      <c r="B16" s="9" t="s">
        <v>47</v>
      </c>
      <c r="C16" s="2" t="s">
        <v>48</v>
      </c>
      <c r="D16" s="8" t="s">
        <v>49</v>
      </c>
      <c r="E16" s="70">
        <v>700713.91666666605</v>
      </c>
      <c r="F16" s="70"/>
      <c r="G16" s="186"/>
      <c r="H16" s="186">
        <v>80000</v>
      </c>
      <c r="I16" s="70">
        <v>50000</v>
      </c>
      <c r="J16" s="466">
        <f t="shared" si="0"/>
        <v>830713.91666666605</v>
      </c>
      <c r="K16" s="2"/>
      <c r="L16" s="2"/>
      <c r="M16" s="70"/>
      <c r="N16" s="70">
        <v>12000</v>
      </c>
      <c r="O16" s="70"/>
      <c r="P16" s="70">
        <v>127400.772906667</v>
      </c>
      <c r="Q16" s="70">
        <v>56057.113333333298</v>
      </c>
      <c r="R16" s="467">
        <f t="shared" si="2"/>
        <v>195457.88623999999</v>
      </c>
      <c r="S16" s="70">
        <v>647256.03042666602</v>
      </c>
      <c r="T16" s="466">
        <f t="shared" si="1"/>
        <v>635256.03042666602</v>
      </c>
    </row>
    <row r="17" spans="1:20" ht="20.100000000000001" customHeight="1" x14ac:dyDescent="0.2">
      <c r="A17" s="8">
        <v>11</v>
      </c>
      <c r="B17" s="9" t="s">
        <v>50</v>
      </c>
      <c r="C17" s="10" t="s">
        <v>51</v>
      </c>
      <c r="D17" s="13" t="s">
        <v>52</v>
      </c>
      <c r="E17" s="70">
        <v>541351.33333333302</v>
      </c>
      <c r="F17" s="70"/>
      <c r="G17" s="186">
        <f>120000</f>
        <v>120000</v>
      </c>
      <c r="H17" s="186"/>
      <c r="I17" s="70">
        <v>0</v>
      </c>
      <c r="J17" s="466">
        <f t="shared" si="0"/>
        <v>661351.33333333302</v>
      </c>
      <c r="K17" s="70"/>
      <c r="L17" s="70"/>
      <c r="M17" s="70"/>
      <c r="N17" s="70"/>
      <c r="O17" s="70"/>
      <c r="P17" s="70">
        <v>97330.966186666599</v>
      </c>
      <c r="Q17" s="70">
        <v>43308.106666666601</v>
      </c>
      <c r="R17" s="467">
        <f t="shared" si="2"/>
        <v>140639.072853333</v>
      </c>
      <c r="S17" s="70">
        <v>520712.26048</v>
      </c>
      <c r="T17" s="466">
        <f t="shared" si="1"/>
        <v>520712.26048</v>
      </c>
    </row>
    <row r="18" spans="1:20" ht="20.100000000000001" customHeight="1" x14ac:dyDescent="0.2">
      <c r="A18" s="8">
        <v>12</v>
      </c>
      <c r="B18" s="16" t="s">
        <v>53</v>
      </c>
      <c r="C18" s="2" t="s">
        <v>54</v>
      </c>
      <c r="D18" s="13" t="s">
        <v>55</v>
      </c>
      <c r="E18" s="70">
        <v>526725.08333333395</v>
      </c>
      <c r="F18" s="70"/>
      <c r="G18" s="186">
        <f>120000</f>
        <v>120000</v>
      </c>
      <c r="H18" s="186"/>
      <c r="I18" s="70">
        <f>100000+100000</f>
        <v>200000</v>
      </c>
      <c r="J18" s="466">
        <f t="shared" si="0"/>
        <v>846725.08333333395</v>
      </c>
      <c r="K18" s="70"/>
      <c r="L18" s="70">
        <f>30000-20000</f>
        <v>10000</v>
      </c>
      <c r="M18" s="70">
        <f>127777.78</f>
        <v>127777.78</v>
      </c>
      <c r="N18" s="70"/>
      <c r="O18" s="70">
        <v>8226.1229166666708</v>
      </c>
      <c r="P18" s="70">
        <v>131567.969786667</v>
      </c>
      <c r="Q18" s="70">
        <v>42138.006666666697</v>
      </c>
      <c r="R18" s="467">
        <f t="shared" si="2"/>
        <v>319709.87936999998</v>
      </c>
      <c r="S18" s="70">
        <v>558959.65396333404</v>
      </c>
      <c r="T18" s="466">
        <f t="shared" si="1"/>
        <v>527015.20396333397</v>
      </c>
    </row>
    <row r="19" spans="1:20" ht="20.100000000000001" customHeight="1" x14ac:dyDescent="0.2">
      <c r="A19" s="8">
        <v>13</v>
      </c>
      <c r="B19" s="16" t="s">
        <v>56</v>
      </c>
      <c r="C19" s="2" t="s">
        <v>57</v>
      </c>
      <c r="D19" s="13" t="s">
        <v>58</v>
      </c>
      <c r="E19" s="630">
        <v>497472.75</v>
      </c>
      <c r="F19" s="70"/>
      <c r="G19" s="2"/>
      <c r="H19" s="186">
        <v>70000</v>
      </c>
      <c r="I19" s="70"/>
      <c r="J19" s="466">
        <f t="shared" si="0"/>
        <v>567472.75</v>
      </c>
      <c r="K19" s="70"/>
      <c r="L19" s="638">
        <v>50000</v>
      </c>
      <c r="M19" s="638"/>
      <c r="N19" s="912"/>
      <c r="O19" s="913">
        <v>7791.8312500000002</v>
      </c>
      <c r="P19" s="638">
        <v>78484.221626666695</v>
      </c>
      <c r="Q19" s="70">
        <v>39797.82</v>
      </c>
      <c r="R19" s="467">
        <f t="shared" si="2"/>
        <v>176073.87287666701</v>
      </c>
      <c r="S19" s="70">
        <v>391398.87712333299</v>
      </c>
      <c r="T19" s="466">
        <f t="shared" si="1"/>
        <v>391398.87712333299</v>
      </c>
    </row>
    <row r="20" spans="1:20" ht="20.100000000000001" customHeight="1" x14ac:dyDescent="0.2">
      <c r="A20" s="8">
        <v>14</v>
      </c>
      <c r="B20" s="16" t="s">
        <v>59</v>
      </c>
      <c r="C20" s="2" t="s">
        <v>51</v>
      </c>
      <c r="D20" s="13" t="s">
        <v>58</v>
      </c>
      <c r="E20" s="630">
        <v>497472.75</v>
      </c>
      <c r="F20" s="70"/>
      <c r="G20" s="780">
        <v>120000</v>
      </c>
      <c r="H20" s="186"/>
      <c r="I20" s="70"/>
      <c r="J20" s="466">
        <f t="shared" si="0"/>
        <v>617472.75</v>
      </c>
      <c r="K20" s="70"/>
      <c r="L20" s="638"/>
      <c r="M20" s="638"/>
      <c r="N20" s="912"/>
      <c r="O20" s="914"/>
      <c r="P20" s="638">
        <v>89580.253226666697</v>
      </c>
      <c r="Q20" s="70">
        <v>39797.82</v>
      </c>
      <c r="R20" s="467">
        <f t="shared" si="2"/>
        <v>129378.07322666699</v>
      </c>
      <c r="S20" s="70">
        <v>488094.67677333299</v>
      </c>
      <c r="T20" s="466">
        <f t="shared" si="1"/>
        <v>488094.67677333299</v>
      </c>
    </row>
    <row r="21" spans="1:20" ht="20.100000000000001" customHeight="1" x14ac:dyDescent="0.2">
      <c r="A21" s="8">
        <v>15</v>
      </c>
      <c r="B21" s="9" t="s">
        <v>60</v>
      </c>
      <c r="C21" s="10" t="s">
        <v>61</v>
      </c>
      <c r="D21" s="13" t="s">
        <v>62</v>
      </c>
      <c r="E21" s="70">
        <v>496497.16666666698</v>
      </c>
      <c r="F21" s="70"/>
      <c r="G21" s="186"/>
      <c r="H21" s="186">
        <f>60000</f>
        <v>60000</v>
      </c>
      <c r="I21" s="70">
        <f>250000</f>
        <v>250000</v>
      </c>
      <c r="J21" s="466">
        <f>SUM(E21:I21)</f>
        <v>806497.16666666698</v>
      </c>
      <c r="K21" s="70"/>
      <c r="L21" s="70">
        <v>20000</v>
      </c>
      <c r="M21" s="70">
        <f>68750</f>
        <v>68750</v>
      </c>
      <c r="N21" s="70"/>
      <c r="O21" s="70">
        <v>7777.3604166666701</v>
      </c>
      <c r="P21" s="70">
        <v>124394.67298666701</v>
      </c>
      <c r="Q21" s="70">
        <v>39719.773333333302</v>
      </c>
      <c r="R21" s="467">
        <f t="shared" si="2"/>
        <v>260641.806736667</v>
      </c>
      <c r="S21" s="70">
        <v>545855.35993000004</v>
      </c>
      <c r="T21" s="466">
        <f t="shared" si="1"/>
        <v>545855.35993000004</v>
      </c>
    </row>
    <row r="22" spans="1:20" ht="18.75" customHeight="1" x14ac:dyDescent="0.2">
      <c r="A22" s="8">
        <v>16</v>
      </c>
      <c r="B22" s="9" t="s">
        <v>63</v>
      </c>
      <c r="C22" s="10" t="s">
        <v>64</v>
      </c>
      <c r="D22" s="13" t="s">
        <v>65</v>
      </c>
      <c r="E22" s="70">
        <v>482662.66666666698</v>
      </c>
      <c r="F22" s="70"/>
      <c r="G22" s="186"/>
      <c r="H22" s="186">
        <f>60000</f>
        <v>60000</v>
      </c>
      <c r="I22" s="70">
        <f>100000+50000</f>
        <v>150000</v>
      </c>
      <c r="J22" s="466">
        <f t="shared" ref="J22:J41" si="4">E22+F22+G22+H22+I22</f>
        <v>692662.66666666698</v>
      </c>
      <c r="K22" s="70"/>
      <c r="L22" s="70">
        <f>10000</f>
        <v>10000</v>
      </c>
      <c r="M22" s="70">
        <v>292813.77</v>
      </c>
      <c r="N22" s="70"/>
      <c r="O22" s="70">
        <v>7571.9666666666699</v>
      </c>
      <c r="P22" s="70">
        <v>104244.20010666701</v>
      </c>
      <c r="Q22" s="70">
        <v>38613.013333333402</v>
      </c>
      <c r="R22" s="467">
        <f t="shared" si="2"/>
        <v>453242.95010666701</v>
      </c>
      <c r="S22" s="70">
        <v>239419.71656</v>
      </c>
      <c r="T22" s="466">
        <f t="shared" ref="T22:T39" si="5">J22-R22</f>
        <v>239419.71656</v>
      </c>
    </row>
    <row r="23" spans="1:20" ht="20.100000000000001" customHeight="1" x14ac:dyDescent="0.2">
      <c r="A23" s="8">
        <v>17</v>
      </c>
      <c r="B23" s="12" t="s">
        <v>66</v>
      </c>
      <c r="C23" s="15" t="s">
        <v>67</v>
      </c>
      <c r="D23" s="8" t="s">
        <v>68</v>
      </c>
      <c r="E23" s="70">
        <v>454993.58333333302</v>
      </c>
      <c r="F23" s="70"/>
      <c r="G23" s="186">
        <f t="shared" ref="G23" si="6">100000</f>
        <v>100000</v>
      </c>
      <c r="H23" s="186"/>
      <c r="I23" s="70">
        <f>100000+100000</f>
        <v>200000</v>
      </c>
      <c r="J23" s="466">
        <f t="shared" si="4"/>
        <v>754993.58333333302</v>
      </c>
      <c r="K23" s="70"/>
      <c r="L23" s="70">
        <f>50000+100000</f>
        <v>150000</v>
      </c>
      <c r="M23" s="70"/>
      <c r="N23" s="70"/>
      <c r="O23" s="70"/>
      <c r="P23" s="70">
        <v>116636.733226667</v>
      </c>
      <c r="Q23" s="70">
        <v>36399.486666666598</v>
      </c>
      <c r="R23" s="467">
        <f t="shared" si="2"/>
        <v>303036.21989333403</v>
      </c>
      <c r="S23" s="70">
        <v>451957.363439999</v>
      </c>
      <c r="T23" s="466">
        <f t="shared" si="5"/>
        <v>451957.363439999</v>
      </c>
    </row>
    <row r="24" spans="1:20" ht="21.6" customHeight="1" x14ac:dyDescent="0.2">
      <c r="A24" s="8">
        <v>18</v>
      </c>
      <c r="B24" s="9" t="s">
        <v>69</v>
      </c>
      <c r="C24" s="15" t="s">
        <v>70</v>
      </c>
      <c r="D24" s="13" t="s">
        <v>68</v>
      </c>
      <c r="E24" s="70">
        <v>454993.58333333302</v>
      </c>
      <c r="F24" s="70"/>
      <c r="G24" s="186">
        <v>110000</v>
      </c>
      <c r="H24" s="186"/>
      <c r="I24" s="70">
        <v>0</v>
      </c>
      <c r="J24" s="466">
        <f t="shared" si="4"/>
        <v>564993.58333333302</v>
      </c>
      <c r="K24" s="70"/>
      <c r="L24" s="70">
        <v>0</v>
      </c>
      <c r="M24" s="70"/>
      <c r="N24" s="70">
        <v>32000</v>
      </c>
      <c r="O24" s="70"/>
      <c r="P24" s="70">
        <v>80156.733226666605</v>
      </c>
      <c r="Q24" s="70">
        <v>36399.486666666598</v>
      </c>
      <c r="R24" s="467">
        <f t="shared" si="2"/>
        <v>148556.21989333301</v>
      </c>
      <c r="S24" s="70">
        <v>448437.36343999999</v>
      </c>
      <c r="T24" s="466">
        <f t="shared" si="5"/>
        <v>416437.36343999999</v>
      </c>
    </row>
    <row r="25" spans="1:20" ht="20.100000000000001" customHeight="1" x14ac:dyDescent="0.2">
      <c r="A25" s="8">
        <v>19</v>
      </c>
      <c r="B25" s="12" t="s">
        <v>71</v>
      </c>
      <c r="C25" s="15" t="s">
        <v>72</v>
      </c>
      <c r="D25" s="8" t="s">
        <v>73</v>
      </c>
      <c r="E25" s="70">
        <v>381140.66666666599</v>
      </c>
      <c r="F25" s="70"/>
      <c r="G25" s="186"/>
      <c r="H25" s="186">
        <f>50000+10000</f>
        <v>60000</v>
      </c>
      <c r="I25" s="70">
        <f>100000+100000</f>
        <v>200000</v>
      </c>
      <c r="J25" s="466">
        <f t="shared" si="4"/>
        <v>641140.66666666605</v>
      </c>
      <c r="K25" s="70"/>
      <c r="L25" s="70">
        <v>150000</v>
      </c>
      <c r="M25" s="70"/>
      <c r="N25" s="70"/>
      <c r="O25" s="70"/>
      <c r="P25" s="70">
        <v>95911.354026666595</v>
      </c>
      <c r="Q25" s="70">
        <v>30491.253333333301</v>
      </c>
      <c r="R25" s="467">
        <f t="shared" si="2"/>
        <v>276402.60736000002</v>
      </c>
      <c r="S25" s="70">
        <v>364738.05930666602</v>
      </c>
      <c r="T25" s="466">
        <f t="shared" si="5"/>
        <v>364738.05930666602</v>
      </c>
    </row>
    <row r="26" spans="1:20" ht="20.100000000000001" customHeight="1" x14ac:dyDescent="0.2">
      <c r="A26" s="8">
        <v>20</v>
      </c>
      <c r="B26" s="12" t="s">
        <v>74</v>
      </c>
      <c r="C26" s="15" t="s">
        <v>75</v>
      </c>
      <c r="D26" s="8" t="s">
        <v>76</v>
      </c>
      <c r="E26" s="70">
        <v>381140.66666666599</v>
      </c>
      <c r="F26" s="70"/>
      <c r="G26" s="186"/>
      <c r="H26" s="186">
        <v>60000</v>
      </c>
      <c r="I26" s="70"/>
      <c r="J26" s="466">
        <f t="shared" si="4"/>
        <v>441140.66666666599</v>
      </c>
      <c r="K26" s="70"/>
      <c r="L26" s="70">
        <v>50000</v>
      </c>
      <c r="M26" s="70"/>
      <c r="N26" s="915">
        <v>12000</v>
      </c>
      <c r="O26" s="860">
        <v>6021.8645833333203</v>
      </c>
      <c r="P26" s="70">
        <v>57511.3540266665</v>
      </c>
      <c r="Q26" s="70">
        <v>30491.253333333301</v>
      </c>
      <c r="R26" s="467">
        <f t="shared" si="2"/>
        <v>156024.47194333299</v>
      </c>
      <c r="S26" s="70">
        <v>297116.194723333</v>
      </c>
      <c r="T26" s="466">
        <f t="shared" si="5"/>
        <v>285116.194723333</v>
      </c>
    </row>
    <row r="27" spans="1:20" ht="18.75" customHeight="1" x14ac:dyDescent="0.2">
      <c r="A27" s="8">
        <v>21</v>
      </c>
      <c r="B27" s="2" t="s">
        <v>77</v>
      </c>
      <c r="C27" s="2" t="s">
        <v>78</v>
      </c>
      <c r="D27" s="8" t="s">
        <v>79</v>
      </c>
      <c r="E27" s="70">
        <v>355320.66666666698</v>
      </c>
      <c r="F27" s="70"/>
      <c r="G27" s="186"/>
      <c r="H27" s="186">
        <f>50000+10000</f>
        <v>60000</v>
      </c>
      <c r="I27" s="70"/>
      <c r="J27" s="466">
        <f t="shared" si="4"/>
        <v>415320.66666666698</v>
      </c>
      <c r="K27" s="70"/>
      <c r="L27" s="70">
        <v>10000</v>
      </c>
      <c r="M27" s="70">
        <v>43750</v>
      </c>
      <c r="N27" s="70"/>
      <c r="O27" s="70">
        <v>5690.3937500000002</v>
      </c>
      <c r="P27" s="70">
        <v>52950.509226666698</v>
      </c>
      <c r="Q27" s="70">
        <v>28425.653333333401</v>
      </c>
      <c r="R27" s="467">
        <f t="shared" si="2"/>
        <v>140816.55631000001</v>
      </c>
      <c r="S27" s="70">
        <v>274504.11035666702</v>
      </c>
      <c r="T27" s="466">
        <f t="shared" si="5"/>
        <v>274504.11035666702</v>
      </c>
    </row>
    <row r="28" spans="1:20" ht="18.75" customHeight="1" x14ac:dyDescent="0.2">
      <c r="A28" s="8">
        <v>22</v>
      </c>
      <c r="B28" s="16" t="s">
        <v>80</v>
      </c>
      <c r="C28" s="10" t="s">
        <v>78</v>
      </c>
      <c r="D28" s="13" t="s">
        <v>79</v>
      </c>
      <c r="E28" s="70">
        <v>355320.66666666698</v>
      </c>
      <c r="F28" s="70"/>
      <c r="G28" s="186"/>
      <c r="H28" s="186">
        <f>50000+10000</f>
        <v>60000</v>
      </c>
      <c r="I28" s="70"/>
      <c r="J28" s="466">
        <f t="shared" si="4"/>
        <v>415320.66666666698</v>
      </c>
      <c r="K28" s="70"/>
      <c r="L28" s="70"/>
      <c r="M28" s="70"/>
      <c r="N28" s="70"/>
      <c r="O28" s="70">
        <v>5690.3937500000002</v>
      </c>
      <c r="P28" s="70">
        <v>52950.509226666698</v>
      </c>
      <c r="Q28" s="70">
        <v>28425.653333333401</v>
      </c>
      <c r="R28" s="467">
        <f t="shared" si="2"/>
        <v>87066.556310000102</v>
      </c>
      <c r="S28" s="70">
        <v>328254.11035666702</v>
      </c>
      <c r="T28" s="466">
        <f t="shared" si="5"/>
        <v>328254.11035666702</v>
      </c>
    </row>
    <row r="29" spans="1:20" ht="20.100000000000001" customHeight="1" x14ac:dyDescent="0.2">
      <c r="A29" s="8">
        <v>23</v>
      </c>
      <c r="B29" s="9" t="s">
        <v>81</v>
      </c>
      <c r="C29" s="15" t="s">
        <v>67</v>
      </c>
      <c r="D29" s="8" t="s">
        <v>79</v>
      </c>
      <c r="E29" s="70">
        <v>355320.66666666698</v>
      </c>
      <c r="F29" s="70"/>
      <c r="G29" s="186">
        <f t="shared" ref="G29" si="7">100000</f>
        <v>100000</v>
      </c>
      <c r="H29" s="186"/>
      <c r="I29" s="70"/>
      <c r="J29" s="466">
        <f t="shared" si="4"/>
        <v>455320.66666666698</v>
      </c>
      <c r="K29" s="70"/>
      <c r="L29" s="70">
        <f>10000</f>
        <v>10000</v>
      </c>
      <c r="M29" s="70">
        <v>127777.78</v>
      </c>
      <c r="N29" s="70"/>
      <c r="O29" s="70"/>
      <c r="P29" s="70">
        <v>60630.509226666698</v>
      </c>
      <c r="Q29" s="70">
        <v>28425.653333333401</v>
      </c>
      <c r="R29" s="467">
        <f t="shared" si="2"/>
        <v>226833.94256</v>
      </c>
      <c r="S29" s="70">
        <v>228486.72410666701</v>
      </c>
      <c r="T29" s="466">
        <f t="shared" si="5"/>
        <v>228486.72410666701</v>
      </c>
    </row>
    <row r="30" spans="1:20" ht="18.75" customHeight="1" x14ac:dyDescent="0.2">
      <c r="A30" s="8">
        <v>24</v>
      </c>
      <c r="B30" s="16" t="s">
        <v>82</v>
      </c>
      <c r="C30" s="10" t="s">
        <v>83</v>
      </c>
      <c r="D30" s="13" t="s">
        <v>84</v>
      </c>
      <c r="E30" s="70">
        <v>347016.16666666599</v>
      </c>
      <c r="F30" s="70"/>
      <c r="G30" s="186"/>
      <c r="H30" s="186">
        <f t="shared" ref="H30:H39" si="8">60000</f>
        <v>60000</v>
      </c>
      <c r="I30" s="2"/>
      <c r="J30" s="466">
        <f t="shared" si="4"/>
        <v>407016.16666666599</v>
      </c>
      <c r="K30" s="70"/>
      <c r="L30" s="70">
        <f>20000</f>
        <v>20000</v>
      </c>
      <c r="M30" s="70">
        <f>17500</f>
        <v>17500</v>
      </c>
      <c r="N30" s="70"/>
      <c r="O30" s="70"/>
      <c r="P30" s="70">
        <v>51483.602346666499</v>
      </c>
      <c r="Q30" s="70">
        <v>27761.293333333299</v>
      </c>
      <c r="R30" s="467">
        <f t="shared" si="2"/>
        <v>116744.89568</v>
      </c>
      <c r="S30" s="70">
        <v>290271.27098666597</v>
      </c>
      <c r="T30" s="466">
        <f t="shared" si="5"/>
        <v>290271.27098666597</v>
      </c>
    </row>
    <row r="31" spans="1:20" ht="18.75" customHeight="1" x14ac:dyDescent="0.2">
      <c r="A31" s="8">
        <v>25</v>
      </c>
      <c r="B31" s="16" t="s">
        <v>85</v>
      </c>
      <c r="C31" s="2" t="s">
        <v>86</v>
      </c>
      <c r="D31" s="8" t="s">
        <v>87</v>
      </c>
      <c r="E31" s="70">
        <v>338711.66666666698</v>
      </c>
      <c r="F31" s="70"/>
      <c r="G31" s="186"/>
      <c r="H31" s="186">
        <f t="shared" si="8"/>
        <v>60000</v>
      </c>
      <c r="I31" s="70"/>
      <c r="J31" s="466">
        <f t="shared" si="4"/>
        <v>398711.66666666698</v>
      </c>
      <c r="K31" s="70"/>
      <c r="L31" s="70">
        <f>30000+20000</f>
        <v>50000</v>
      </c>
      <c r="M31" s="70">
        <v>0</v>
      </c>
      <c r="N31" s="70"/>
      <c r="O31" s="70"/>
      <c r="P31" s="70">
        <v>50016.695466666701</v>
      </c>
      <c r="Q31" s="70">
        <v>27096.9333333334</v>
      </c>
      <c r="R31" s="467">
        <f t="shared" si="2"/>
        <v>127113.62880000001</v>
      </c>
      <c r="S31" s="70">
        <v>271598.03786666697</v>
      </c>
      <c r="T31" s="466">
        <f t="shared" si="5"/>
        <v>271598.03786666697</v>
      </c>
    </row>
    <row r="32" spans="1:20" ht="18.75" customHeight="1" x14ac:dyDescent="0.2">
      <c r="A32" s="8">
        <v>26</v>
      </c>
      <c r="B32" s="16" t="s">
        <v>88</v>
      </c>
      <c r="C32" s="2" t="s">
        <v>86</v>
      </c>
      <c r="D32" s="8" t="s">
        <v>87</v>
      </c>
      <c r="E32" s="70">
        <v>338711.66666666698</v>
      </c>
      <c r="F32" s="70"/>
      <c r="G32" s="186"/>
      <c r="H32" s="186">
        <f t="shared" si="8"/>
        <v>60000</v>
      </c>
      <c r="I32" s="70"/>
      <c r="J32" s="466">
        <f t="shared" si="4"/>
        <v>398711.66666666698</v>
      </c>
      <c r="K32" s="70"/>
      <c r="L32" s="70"/>
      <c r="M32" s="70">
        <v>0</v>
      </c>
      <c r="N32" s="70"/>
      <c r="O32" s="70"/>
      <c r="P32" s="70">
        <v>50016.695466666701</v>
      </c>
      <c r="Q32" s="70">
        <v>27096.9333333334</v>
      </c>
      <c r="R32" s="467">
        <f t="shared" si="2"/>
        <v>77113.628800000093</v>
      </c>
      <c r="S32" s="70">
        <v>321598.03786666697</v>
      </c>
      <c r="T32" s="466">
        <f t="shared" si="5"/>
        <v>321598.03786666697</v>
      </c>
    </row>
    <row r="33" spans="1:20" ht="18.75" customHeight="1" x14ac:dyDescent="0.2">
      <c r="A33" s="8">
        <v>27</v>
      </c>
      <c r="B33" s="16" t="s">
        <v>89</v>
      </c>
      <c r="C33" s="15" t="s">
        <v>90</v>
      </c>
      <c r="D33" s="13" t="s">
        <v>79</v>
      </c>
      <c r="E33" s="70">
        <v>355320.66666666698</v>
      </c>
      <c r="F33" s="70"/>
      <c r="G33" s="186"/>
      <c r="H33" s="186">
        <f t="shared" si="8"/>
        <v>60000</v>
      </c>
      <c r="I33" s="70"/>
      <c r="J33" s="466">
        <f t="shared" si="4"/>
        <v>415320.66666666698</v>
      </c>
      <c r="K33" s="70"/>
      <c r="L33" s="70">
        <f>10000</f>
        <v>10000</v>
      </c>
      <c r="M33" s="70">
        <v>161429.76000000001</v>
      </c>
      <c r="N33" s="70"/>
      <c r="O33" s="70">
        <v>5690.3937500000002</v>
      </c>
      <c r="P33" s="186">
        <v>52950.509226666698</v>
      </c>
      <c r="Q33" s="186">
        <v>28425.653333333401</v>
      </c>
      <c r="R33" s="467">
        <f t="shared" si="2"/>
        <v>258496.31630999999</v>
      </c>
      <c r="S33" s="70">
        <v>156824.35035666701</v>
      </c>
      <c r="T33" s="466">
        <f t="shared" si="5"/>
        <v>156824.35035666701</v>
      </c>
    </row>
    <row r="34" spans="1:20" ht="18.75" customHeight="1" x14ac:dyDescent="0.2">
      <c r="A34" s="8">
        <v>28</v>
      </c>
      <c r="B34" s="16" t="s">
        <v>91</v>
      </c>
      <c r="C34" s="2" t="s">
        <v>78</v>
      </c>
      <c r="D34" s="8" t="s">
        <v>87</v>
      </c>
      <c r="E34" s="70">
        <v>338711.66666666698</v>
      </c>
      <c r="F34" s="70"/>
      <c r="G34" s="186"/>
      <c r="H34" s="186">
        <f t="shared" si="8"/>
        <v>60000</v>
      </c>
      <c r="I34" s="70"/>
      <c r="J34" s="466">
        <f t="shared" ref="J34" si="9">E34+F34+G34+H34+I34</f>
        <v>398711.66666666698</v>
      </c>
      <c r="K34" s="70"/>
      <c r="L34" s="70"/>
      <c r="M34" s="70">
        <v>0</v>
      </c>
      <c r="N34" s="70"/>
      <c r="O34" s="70"/>
      <c r="P34" s="70">
        <v>49761.581226666698</v>
      </c>
      <c r="Q34" s="70">
        <v>27096.9333333334</v>
      </c>
      <c r="R34" s="467">
        <f t="shared" si="2"/>
        <v>76858.514560000098</v>
      </c>
      <c r="S34" s="70">
        <v>321853.152106667</v>
      </c>
      <c r="T34" s="466">
        <f t="shared" ref="T34" si="10">J34-R34</f>
        <v>321853.152106667</v>
      </c>
    </row>
    <row r="35" spans="1:20" ht="18.75" customHeight="1" x14ac:dyDescent="0.2">
      <c r="A35" s="8">
        <v>29</v>
      </c>
      <c r="B35" s="16" t="s">
        <v>92</v>
      </c>
      <c r="C35" s="2" t="s">
        <v>93</v>
      </c>
      <c r="D35" s="8" t="s">
        <v>87</v>
      </c>
      <c r="E35" s="70">
        <v>338711.66666666698</v>
      </c>
      <c r="F35" s="70"/>
      <c r="G35" s="186"/>
      <c r="H35" s="186">
        <f t="shared" si="8"/>
        <v>60000</v>
      </c>
      <c r="I35" s="70"/>
      <c r="J35" s="466">
        <f t="shared" si="4"/>
        <v>398711.66666666698</v>
      </c>
      <c r="K35" s="70"/>
      <c r="L35" s="70">
        <f>0</f>
        <v>0</v>
      </c>
      <c r="M35" s="70"/>
      <c r="N35" s="70"/>
      <c r="O35" s="70"/>
      <c r="P35" s="70">
        <v>49761.581226666698</v>
      </c>
      <c r="Q35" s="70">
        <v>27096.9333333334</v>
      </c>
      <c r="R35" s="467">
        <f t="shared" si="2"/>
        <v>76858.514560000098</v>
      </c>
      <c r="S35" s="70">
        <v>321853.152106667</v>
      </c>
      <c r="T35" s="466">
        <f t="shared" si="5"/>
        <v>321853.152106667</v>
      </c>
    </row>
    <row r="36" spans="1:20" ht="18.75" customHeight="1" x14ac:dyDescent="0.2">
      <c r="A36" s="8">
        <v>30</v>
      </c>
      <c r="B36" s="16" t="s">
        <v>94</v>
      </c>
      <c r="C36" s="2" t="s">
        <v>95</v>
      </c>
      <c r="D36" s="8" t="s">
        <v>96</v>
      </c>
      <c r="E36" s="70">
        <v>330407.08333333302</v>
      </c>
      <c r="F36" s="70"/>
      <c r="G36" s="186"/>
      <c r="H36" s="186">
        <f t="shared" si="8"/>
        <v>60000</v>
      </c>
      <c r="I36" s="70"/>
      <c r="J36" s="467">
        <f t="shared" si="4"/>
        <v>390407.08333333302</v>
      </c>
      <c r="K36" s="70"/>
      <c r="L36" s="70">
        <v>50000</v>
      </c>
      <c r="M36" s="70"/>
      <c r="N36" s="70"/>
      <c r="O36" s="70"/>
      <c r="P36" s="70">
        <v>48549.773866666699</v>
      </c>
      <c r="Q36" s="70">
        <v>26432.566666666698</v>
      </c>
      <c r="R36" s="467">
        <f t="shared" si="2"/>
        <v>124982.340533333</v>
      </c>
      <c r="S36" s="70">
        <v>265424.74280000001</v>
      </c>
      <c r="T36" s="467">
        <f t="shared" si="5"/>
        <v>265424.74280000001</v>
      </c>
    </row>
    <row r="37" spans="1:20" ht="18.75" customHeight="1" x14ac:dyDescent="0.2">
      <c r="A37" s="8">
        <v>31</v>
      </c>
      <c r="B37" s="16" t="s">
        <v>97</v>
      </c>
      <c r="C37" s="2" t="s">
        <v>95</v>
      </c>
      <c r="D37" s="8" t="s">
        <v>96</v>
      </c>
      <c r="E37" s="70">
        <v>330408.08333333302</v>
      </c>
      <c r="F37" s="70"/>
      <c r="G37" s="186"/>
      <c r="H37" s="186">
        <f t="shared" si="8"/>
        <v>60000</v>
      </c>
      <c r="I37" s="70"/>
      <c r="J37" s="467">
        <f t="shared" si="4"/>
        <v>390408.08333333302</v>
      </c>
      <c r="K37" s="70"/>
      <c r="L37" s="70">
        <v>50000</v>
      </c>
      <c r="M37" s="70">
        <v>15000</v>
      </c>
      <c r="N37" s="70"/>
      <c r="O37" s="70"/>
      <c r="P37" s="70">
        <v>48549.950506666697</v>
      </c>
      <c r="Q37" s="70">
        <v>26432.6466666667</v>
      </c>
      <c r="R37" s="467">
        <f t="shared" si="2"/>
        <v>139982.59717333299</v>
      </c>
      <c r="S37" s="70">
        <v>250425.48616</v>
      </c>
      <c r="T37" s="467">
        <f t="shared" si="5"/>
        <v>250425.48616</v>
      </c>
    </row>
    <row r="38" spans="1:20" ht="18.75" customHeight="1" x14ac:dyDescent="0.2">
      <c r="A38" s="8">
        <v>32</v>
      </c>
      <c r="B38" s="16" t="s">
        <v>98</v>
      </c>
      <c r="C38" s="2" t="s">
        <v>83</v>
      </c>
      <c r="D38" s="8" t="s">
        <v>96</v>
      </c>
      <c r="E38" s="70">
        <v>330409.08333333302</v>
      </c>
      <c r="F38" s="70"/>
      <c r="G38" s="186"/>
      <c r="H38" s="186">
        <f t="shared" si="8"/>
        <v>60000</v>
      </c>
      <c r="I38" s="70"/>
      <c r="J38" s="467">
        <f t="shared" si="4"/>
        <v>390409.08333333302</v>
      </c>
      <c r="K38" s="70"/>
      <c r="L38" s="70"/>
      <c r="M38" s="70"/>
      <c r="N38" s="70"/>
      <c r="O38" s="70"/>
      <c r="P38" s="70">
        <v>48550.127146666702</v>
      </c>
      <c r="Q38" s="70">
        <v>26432.726666666698</v>
      </c>
      <c r="R38" s="467">
        <f t="shared" si="2"/>
        <v>74982.853813333393</v>
      </c>
      <c r="S38" s="70">
        <v>315426.22951999999</v>
      </c>
      <c r="T38" s="467">
        <f t="shared" si="5"/>
        <v>315426.22951999999</v>
      </c>
    </row>
    <row r="39" spans="1:20" ht="18.75" customHeight="1" x14ac:dyDescent="0.2">
      <c r="A39" s="8">
        <v>33</v>
      </c>
      <c r="B39" s="16" t="s">
        <v>99</v>
      </c>
      <c r="C39" s="2" t="s">
        <v>78</v>
      </c>
      <c r="D39" s="8" t="s">
        <v>96</v>
      </c>
      <c r="E39" s="70">
        <v>330409.08333333302</v>
      </c>
      <c r="F39" s="70"/>
      <c r="G39" s="186"/>
      <c r="H39" s="186">
        <f t="shared" si="8"/>
        <v>60000</v>
      </c>
      <c r="I39" s="70"/>
      <c r="J39" s="467">
        <f t="shared" si="4"/>
        <v>390409.08333333302</v>
      </c>
      <c r="K39" s="70"/>
      <c r="L39" s="70"/>
      <c r="M39" s="70"/>
      <c r="N39" s="70"/>
      <c r="O39" s="70"/>
      <c r="P39" s="70">
        <v>48550.127146666702</v>
      </c>
      <c r="Q39" s="70">
        <v>26432.726666666698</v>
      </c>
      <c r="R39" s="467">
        <f t="shared" si="2"/>
        <v>74982.853813333393</v>
      </c>
      <c r="S39" s="70">
        <v>315426.22951999999</v>
      </c>
      <c r="T39" s="467">
        <f t="shared" si="5"/>
        <v>315426.22951999999</v>
      </c>
    </row>
    <row r="40" spans="1:20" ht="18.75" customHeight="1" x14ac:dyDescent="0.2">
      <c r="A40" s="8">
        <v>34</v>
      </c>
      <c r="B40" s="16" t="s">
        <v>100</v>
      </c>
      <c r="C40" s="10" t="s">
        <v>101</v>
      </c>
      <c r="D40" s="13" t="s">
        <v>102</v>
      </c>
      <c r="E40" s="70">
        <v>301910.75</v>
      </c>
      <c r="F40" s="70"/>
      <c r="G40" s="186"/>
      <c r="H40" s="186">
        <v>50000</v>
      </c>
      <c r="I40" s="70"/>
      <c r="J40" s="466">
        <f t="shared" si="4"/>
        <v>351910.75</v>
      </c>
      <c r="K40" s="70"/>
      <c r="L40" s="70">
        <v>20000</v>
      </c>
      <c r="M40" s="70">
        <v>0</v>
      </c>
      <c r="N40" s="915"/>
      <c r="O40" s="860">
        <v>4909.1104166666801</v>
      </c>
      <c r="P40" s="70">
        <v>42229.992186666699</v>
      </c>
      <c r="Q40" s="70">
        <v>24152.86</v>
      </c>
      <c r="R40" s="467">
        <f t="shared" si="2"/>
        <v>91291.962603333406</v>
      </c>
      <c r="S40" s="70">
        <v>260618.787396667</v>
      </c>
      <c r="T40" s="466">
        <f t="shared" ref="T40:T43" si="11">J40-R40</f>
        <v>260618.787396667</v>
      </c>
    </row>
    <row r="41" spans="1:20" ht="18.75" customHeight="1" x14ac:dyDescent="0.2">
      <c r="A41" s="8">
        <v>35</v>
      </c>
      <c r="B41" s="16" t="s">
        <v>103</v>
      </c>
      <c r="C41" s="10" t="s">
        <v>104</v>
      </c>
      <c r="D41" s="13" t="s">
        <v>105</v>
      </c>
      <c r="E41" s="630">
        <v>294900.83333333401</v>
      </c>
      <c r="F41" s="70"/>
      <c r="G41" s="186"/>
      <c r="H41" s="186">
        <v>50000</v>
      </c>
      <c r="I41" s="70"/>
      <c r="J41" s="466">
        <f t="shared" si="4"/>
        <v>344900.83333333401</v>
      </c>
      <c r="K41" s="70"/>
      <c r="L41" s="638">
        <v>50000</v>
      </c>
      <c r="M41" s="638">
        <v>45833.33</v>
      </c>
      <c r="N41" s="916">
        <v>52000</v>
      </c>
      <c r="O41" s="860">
        <v>4804.4854166666801</v>
      </c>
      <c r="P41" s="638">
        <v>41146.5394666668</v>
      </c>
      <c r="Q41" s="639">
        <v>23592.066666666698</v>
      </c>
      <c r="R41" s="467">
        <f t="shared" si="2"/>
        <v>217376.42155</v>
      </c>
      <c r="S41" s="70">
        <v>179524.41178333401</v>
      </c>
      <c r="T41" s="466">
        <f t="shared" si="11"/>
        <v>127524.411783334</v>
      </c>
    </row>
    <row r="42" spans="1:20" ht="20.100000000000001" customHeight="1" x14ac:dyDescent="0.2">
      <c r="A42" s="8">
        <v>36</v>
      </c>
      <c r="B42" s="16" t="s">
        <v>106</v>
      </c>
      <c r="C42" s="10" t="s">
        <v>107</v>
      </c>
      <c r="D42" s="13" t="s">
        <v>108</v>
      </c>
      <c r="E42" s="70">
        <v>287890.91666666698</v>
      </c>
      <c r="F42" s="70"/>
      <c r="G42" s="186"/>
      <c r="H42" s="186">
        <f>50000</f>
        <v>50000</v>
      </c>
      <c r="I42" s="70"/>
      <c r="J42" s="467">
        <f>SUM(E42:I42)</f>
        <v>337890.91666666698</v>
      </c>
      <c r="K42" s="70"/>
      <c r="L42" s="638">
        <v>10000</v>
      </c>
      <c r="M42" s="638"/>
      <c r="N42" s="638"/>
      <c r="O42" s="780">
        <f>4699.86</f>
        <v>4699.8599999999997</v>
      </c>
      <c r="P42" s="638">
        <v>39273.510266666701</v>
      </c>
      <c r="Q42" s="638">
        <v>23031.273333333302</v>
      </c>
      <c r="R42" s="467">
        <f t="shared" si="2"/>
        <v>77004.643599999996</v>
      </c>
      <c r="S42" s="70">
        <v>264796.55658666702</v>
      </c>
      <c r="T42" s="467">
        <f t="shared" si="11"/>
        <v>260886.273066667</v>
      </c>
    </row>
    <row r="43" spans="1:20" ht="20.100000000000001" customHeight="1" x14ac:dyDescent="0.2">
      <c r="A43" s="8">
        <v>37</v>
      </c>
      <c r="B43" s="16" t="s">
        <v>109</v>
      </c>
      <c r="C43" s="10" t="s">
        <v>110</v>
      </c>
      <c r="D43" s="13" t="s">
        <v>108</v>
      </c>
      <c r="E43" s="70">
        <v>287891.91666666698</v>
      </c>
      <c r="F43" s="70"/>
      <c r="G43" s="186"/>
      <c r="H43" s="186">
        <f>50000</f>
        <v>50000</v>
      </c>
      <c r="I43" s="70"/>
      <c r="J43" s="467">
        <f>SUM(E43:I43)</f>
        <v>337891.91666666698</v>
      </c>
      <c r="K43" s="70"/>
      <c r="L43" s="638"/>
      <c r="M43" s="638"/>
      <c r="N43" s="638"/>
      <c r="O43" s="2"/>
      <c r="P43" s="638">
        <v>40063.2413066667</v>
      </c>
      <c r="Q43" s="638">
        <v>23031.3533333333</v>
      </c>
      <c r="R43" s="467">
        <f t="shared" si="2"/>
        <v>63094.594640000003</v>
      </c>
      <c r="S43" s="70">
        <v>274797.32202666701</v>
      </c>
      <c r="T43" s="467">
        <f t="shared" si="11"/>
        <v>274797.32202666701</v>
      </c>
    </row>
    <row r="44" spans="1:20" ht="26.25" customHeight="1" x14ac:dyDescent="0.2">
      <c r="A44" s="8"/>
      <c r="B44" s="18" t="s">
        <v>111</v>
      </c>
      <c r="C44" s="19">
        <v>37</v>
      </c>
      <c r="D44" s="13"/>
      <c r="E44" s="187">
        <f>SUM(E7:E43)</f>
        <v>19191616.916666701</v>
      </c>
      <c r="F44" s="187">
        <f t="shared" ref="F44:U44" si="12">SUM(F7:F43)</f>
        <v>52595.666666673402</v>
      </c>
      <c r="G44" s="187">
        <f t="shared" si="12"/>
        <v>1560000</v>
      </c>
      <c r="H44" s="187">
        <f t="shared" si="12"/>
        <v>1650000</v>
      </c>
      <c r="I44" s="187">
        <f t="shared" si="12"/>
        <v>2025235</v>
      </c>
      <c r="J44" s="187">
        <f t="shared" si="12"/>
        <v>24479447.583333299</v>
      </c>
      <c r="K44" s="187">
        <f t="shared" si="12"/>
        <v>0</v>
      </c>
      <c r="L44" s="187">
        <f t="shared" si="12"/>
        <v>1150000</v>
      </c>
      <c r="M44" s="187">
        <f t="shared" si="12"/>
        <v>1481632.42</v>
      </c>
      <c r="N44" s="187">
        <f>SUM(N7:N43)</f>
        <v>108000</v>
      </c>
      <c r="O44" s="187">
        <f>SUM(O7:O43)</f>
        <v>106975.07875</v>
      </c>
      <c r="P44" s="187">
        <f>SUM(P7:P43)</f>
        <v>3650648.6399466698</v>
      </c>
      <c r="Q44" s="187">
        <f>SUM(Q7:Q43)</f>
        <v>1303110.02</v>
      </c>
      <c r="R44" s="187">
        <f>SUM(R7:R43)</f>
        <v>7800366.1586966701</v>
      </c>
      <c r="S44" s="187">
        <v>16839990.210156702</v>
      </c>
      <c r="T44" s="187">
        <f>SUM(T7:T43)</f>
        <v>16679081.424636699</v>
      </c>
    </row>
    <row r="45" spans="1:20" ht="18.75" customHeight="1" x14ac:dyDescent="0.2">
      <c r="A45" s="8"/>
      <c r="B45" s="20"/>
      <c r="C45" s="2"/>
      <c r="D45" s="13"/>
      <c r="E45" s="187"/>
      <c r="F45" s="187"/>
      <c r="G45" s="186"/>
      <c r="H45" s="186"/>
      <c r="I45" s="187"/>
      <c r="J45" s="471"/>
      <c r="K45" s="187"/>
      <c r="L45" s="187"/>
      <c r="M45" s="187"/>
      <c r="N45" s="187"/>
      <c r="O45" s="187"/>
      <c r="P45" s="187"/>
      <c r="Q45" s="187"/>
      <c r="R45" s="472"/>
      <c r="S45" s="187"/>
      <c r="T45" s="471"/>
    </row>
    <row r="46" spans="1:20" ht="18.75" customHeight="1" x14ac:dyDescent="0.2">
      <c r="A46" s="8"/>
      <c r="B46" s="18" t="s">
        <v>112</v>
      </c>
      <c r="C46" s="2"/>
      <c r="D46" s="13"/>
      <c r="E46" s="70"/>
      <c r="F46" s="70"/>
      <c r="G46" s="186"/>
      <c r="H46" s="186"/>
      <c r="I46" s="70"/>
      <c r="J46" s="466"/>
      <c r="K46" s="70"/>
      <c r="L46" s="70"/>
      <c r="M46" s="70"/>
      <c r="N46" s="70"/>
      <c r="O46" s="70"/>
      <c r="P46" s="70"/>
      <c r="Q46" s="70"/>
      <c r="R46" s="467"/>
      <c r="S46" s="70"/>
      <c r="T46" s="466"/>
    </row>
    <row r="47" spans="1:20" ht="18.75" customHeight="1" x14ac:dyDescent="0.2">
      <c r="A47" s="8">
        <v>1</v>
      </c>
      <c r="B47" s="16" t="s">
        <v>113</v>
      </c>
      <c r="C47" s="2" t="s">
        <v>114</v>
      </c>
      <c r="D47" s="8" t="s">
        <v>115</v>
      </c>
      <c r="E47" s="70">
        <v>1747106.41666666</v>
      </c>
      <c r="F47" s="70"/>
      <c r="G47" s="186"/>
      <c r="H47" s="186">
        <f>100000</f>
        <v>100000</v>
      </c>
      <c r="I47" s="70"/>
      <c r="J47" s="466">
        <f t="shared" ref="J47:J52" si="13">SUM(E47:I47)</f>
        <v>1847106.41666666</v>
      </c>
      <c r="K47" s="70">
        <f>'JULY 2025'!F227</f>
        <v>0</v>
      </c>
      <c r="L47" s="70">
        <f>300000</f>
        <v>300000</v>
      </c>
      <c r="M47" s="70">
        <f>458333.33</f>
        <v>458333.33</v>
      </c>
      <c r="N47" s="70"/>
      <c r="O47" s="70"/>
      <c r="P47" s="70">
        <v>306475.54410666501</v>
      </c>
      <c r="Q47" s="70">
        <v>139768.51333333299</v>
      </c>
      <c r="R47" s="467">
        <f>P47+O47+M47+N47+L47+K47+Q47</f>
        <v>1204577.38744</v>
      </c>
      <c r="S47" s="70">
        <v>642529.02922666003</v>
      </c>
      <c r="T47" s="466">
        <f t="shared" ref="T47:T52" si="14">J47-R47</f>
        <v>642529.02922666201</v>
      </c>
    </row>
    <row r="48" spans="1:20" ht="18.75" customHeight="1" x14ac:dyDescent="0.2">
      <c r="A48" s="8">
        <v>2</v>
      </c>
      <c r="B48" s="16" t="s">
        <v>116</v>
      </c>
      <c r="C48" s="2" t="s">
        <v>117</v>
      </c>
      <c r="D48" s="8" t="s">
        <v>76</v>
      </c>
      <c r="E48" s="70">
        <v>381140.66666666599</v>
      </c>
      <c r="F48" s="70"/>
      <c r="G48" s="186"/>
      <c r="H48" s="186">
        <f>60000</f>
        <v>60000</v>
      </c>
      <c r="I48" s="70"/>
      <c r="J48" s="466">
        <f t="shared" si="13"/>
        <v>441140.66666666599</v>
      </c>
      <c r="K48" s="70"/>
      <c r="L48" s="70">
        <f>20000</f>
        <v>20000</v>
      </c>
      <c r="M48" s="70">
        <v>73333.33</v>
      </c>
      <c r="N48" s="70">
        <v>22000</v>
      </c>
      <c r="O48" s="70">
        <v>6021.8645833333203</v>
      </c>
      <c r="P48" s="70">
        <v>57511.3540266665</v>
      </c>
      <c r="Q48" s="70">
        <v>30491.253333333301</v>
      </c>
      <c r="R48" s="467">
        <f>P48+O48+M48+N48+L48+K48+Q48</f>
        <v>209357.801943333</v>
      </c>
      <c r="S48" s="70">
        <v>281282.86472333298</v>
      </c>
      <c r="T48" s="466">
        <f t="shared" si="14"/>
        <v>231782.86472333301</v>
      </c>
    </row>
    <row r="49" spans="1:20" ht="18.75" customHeight="1" x14ac:dyDescent="0.2">
      <c r="A49" s="8">
        <v>3</v>
      </c>
      <c r="B49" s="9" t="s">
        <v>118</v>
      </c>
      <c r="C49" s="2" t="s">
        <v>117</v>
      </c>
      <c r="D49" s="13" t="s">
        <v>119</v>
      </c>
      <c r="E49" s="70">
        <v>390135.83333333401</v>
      </c>
      <c r="F49" s="70"/>
      <c r="G49" s="186"/>
      <c r="H49" s="186">
        <f>50000+10000</f>
        <v>60000</v>
      </c>
      <c r="I49" s="70"/>
      <c r="J49" s="466">
        <f t="shared" si="13"/>
        <v>450135.83333333401</v>
      </c>
      <c r="K49" s="70"/>
      <c r="L49" s="70">
        <f>10000</f>
        <v>10000</v>
      </c>
      <c r="M49" s="70"/>
      <c r="N49" s="70"/>
      <c r="O49" s="70"/>
      <c r="P49" s="70">
        <v>59100.260266666803</v>
      </c>
      <c r="Q49" s="70">
        <v>31210.866666666701</v>
      </c>
      <c r="R49" s="467">
        <f>P49+O49+M49+N49+L49+K49+Q49</f>
        <v>100311.126933333</v>
      </c>
      <c r="S49" s="70">
        <v>349824.70640000101</v>
      </c>
      <c r="T49" s="466">
        <f t="shared" si="14"/>
        <v>349824.70640000002</v>
      </c>
    </row>
    <row r="50" spans="1:20" ht="20.100000000000001" customHeight="1" x14ac:dyDescent="0.2">
      <c r="A50" s="8">
        <v>4</v>
      </c>
      <c r="B50" s="16" t="s">
        <v>120</v>
      </c>
      <c r="C50" s="2" t="s">
        <v>117</v>
      </c>
      <c r="D50" s="13" t="s">
        <v>73</v>
      </c>
      <c r="E50" s="70">
        <v>372145.33333333302</v>
      </c>
      <c r="F50" s="70"/>
      <c r="G50" s="186"/>
      <c r="H50" s="186">
        <v>60000</v>
      </c>
      <c r="I50" s="70"/>
      <c r="J50" s="467">
        <f t="shared" si="13"/>
        <v>432145.33333333302</v>
      </c>
      <c r="K50" s="70"/>
      <c r="L50" s="638">
        <f>100000</f>
        <v>100000</v>
      </c>
      <c r="M50" s="638"/>
      <c r="N50" s="912"/>
      <c r="O50" s="914"/>
      <c r="P50" s="638">
        <v>55922.418346666702</v>
      </c>
      <c r="Q50" s="639">
        <v>29771.6266666667</v>
      </c>
      <c r="R50" s="467">
        <f>P50+O50+M50+N50+L50+K50+Q50</f>
        <v>185694.045013333</v>
      </c>
      <c r="S50" s="70">
        <v>241007.952903333</v>
      </c>
      <c r="T50" s="467">
        <f t="shared" si="14"/>
        <v>246451.28831999999</v>
      </c>
    </row>
    <row r="51" spans="1:20" ht="18.75" customHeight="1" x14ac:dyDescent="0.2">
      <c r="A51" s="8">
        <v>5</v>
      </c>
      <c r="B51" s="9" t="s">
        <v>121</v>
      </c>
      <c r="C51" s="2" t="s">
        <v>122</v>
      </c>
      <c r="D51" s="13" t="s">
        <v>87</v>
      </c>
      <c r="E51" s="630">
        <v>338711.66666666698</v>
      </c>
      <c r="F51" s="70"/>
      <c r="G51" s="186"/>
      <c r="H51" s="186">
        <v>60000</v>
      </c>
      <c r="I51" s="70"/>
      <c r="J51" s="466">
        <f t="shared" si="13"/>
        <v>398711.66666666698</v>
      </c>
      <c r="K51" s="70"/>
      <c r="L51" s="638">
        <v>50000</v>
      </c>
      <c r="M51" s="638">
        <v>98878.69</v>
      </c>
      <c r="N51" s="912"/>
      <c r="O51" s="913">
        <v>5443.3354166666804</v>
      </c>
      <c r="P51" s="638">
        <v>50016.695466666701</v>
      </c>
      <c r="Q51" s="639">
        <v>27096.9333333334</v>
      </c>
      <c r="R51" s="467">
        <f>P51+O51+M51+N51+L51+K51+Q51</f>
        <v>231435.654216667</v>
      </c>
      <c r="S51" s="70">
        <v>172719.347866667</v>
      </c>
      <c r="T51" s="466">
        <f t="shared" si="14"/>
        <v>167276.01245000001</v>
      </c>
    </row>
    <row r="52" spans="1:20" ht="20.100000000000001" customHeight="1" x14ac:dyDescent="0.2">
      <c r="A52" s="8">
        <v>6</v>
      </c>
      <c r="B52" s="16" t="s">
        <v>123</v>
      </c>
      <c r="C52" s="10" t="s">
        <v>124</v>
      </c>
      <c r="D52" s="13" t="s">
        <v>108</v>
      </c>
      <c r="E52" s="70">
        <v>287890.91666666698</v>
      </c>
      <c r="F52" s="70"/>
      <c r="G52" s="186"/>
      <c r="H52" s="186">
        <v>50000</v>
      </c>
      <c r="I52" s="70"/>
      <c r="J52" s="467">
        <f t="shared" si="13"/>
        <v>337890.91666666698</v>
      </c>
      <c r="K52" s="70"/>
      <c r="L52" s="638"/>
      <c r="M52" s="638"/>
      <c r="N52" s="912"/>
      <c r="O52" s="914"/>
      <c r="P52" s="638">
        <v>40063.086746666697</v>
      </c>
      <c r="Q52" s="639">
        <v>23031.273333333302</v>
      </c>
      <c r="R52" s="467">
        <f>P52+O52+M52+N52+L52+K52+Q52</f>
        <v>63094.360079999999</v>
      </c>
      <c r="S52" s="70">
        <v>274796.55658666702</v>
      </c>
      <c r="T52" s="467">
        <f t="shared" si="14"/>
        <v>274796.55658666702</v>
      </c>
    </row>
    <row r="53" spans="1:20" ht="19.5" customHeight="1" x14ac:dyDescent="0.2">
      <c r="A53" s="8"/>
      <c r="B53" s="12"/>
      <c r="C53" s="19">
        <v>6</v>
      </c>
      <c r="D53" s="8"/>
      <c r="E53" s="187">
        <f>SUM(E47:E52)</f>
        <v>3517130.8333333302</v>
      </c>
      <c r="F53" s="187">
        <f t="shared" ref="F53:T53" si="15">SUM(F47:F52)</f>
        <v>0</v>
      </c>
      <c r="G53" s="187">
        <f t="shared" si="15"/>
        <v>0</v>
      </c>
      <c r="H53" s="187">
        <f t="shared" si="15"/>
        <v>390000</v>
      </c>
      <c r="I53" s="187">
        <f t="shared" si="15"/>
        <v>0</v>
      </c>
      <c r="J53" s="187">
        <f t="shared" si="15"/>
        <v>3907130.8333333302</v>
      </c>
      <c r="K53" s="187">
        <f t="shared" si="15"/>
        <v>0</v>
      </c>
      <c r="L53" s="187">
        <f t="shared" si="15"/>
        <v>480000</v>
      </c>
      <c r="M53" s="187">
        <f t="shared" si="15"/>
        <v>630545.35</v>
      </c>
      <c r="N53" s="187">
        <f>SUM(N47:N52)</f>
        <v>22000</v>
      </c>
      <c r="O53" s="187">
        <f>SUM(O47:O52)</f>
        <v>11465.2</v>
      </c>
      <c r="P53" s="187">
        <f>SUM(P47:P52)</f>
        <v>569089.358959998</v>
      </c>
      <c r="Q53" s="187">
        <f>SUM(Q47:Q52)</f>
        <v>281370.46666666598</v>
      </c>
      <c r="R53" s="187">
        <f>SUM(R47:R52)</f>
        <v>1994470.37562666</v>
      </c>
      <c r="S53" s="187">
        <v>1962160.45770666</v>
      </c>
      <c r="T53" s="187">
        <f>SUM(T47:T52)</f>
        <v>1912660.45770666</v>
      </c>
    </row>
    <row r="54" spans="1:20" ht="20.100000000000001" customHeight="1" x14ac:dyDescent="0.2">
      <c r="A54" s="8"/>
      <c r="B54" s="12"/>
      <c r="C54" s="2"/>
      <c r="D54" s="8"/>
      <c r="E54" s="187"/>
      <c r="F54" s="187"/>
      <c r="G54" s="186"/>
      <c r="H54" s="186"/>
      <c r="I54" s="187"/>
      <c r="J54" s="471"/>
      <c r="K54" s="187"/>
      <c r="L54" s="187"/>
      <c r="M54" s="187"/>
      <c r="N54" s="187"/>
      <c r="O54" s="187"/>
      <c r="P54" s="187"/>
      <c r="Q54" s="187"/>
      <c r="R54" s="467"/>
      <c r="S54" s="70"/>
      <c r="T54" s="466"/>
    </row>
    <row r="55" spans="1:20" ht="20.100000000000001" customHeight="1" x14ac:dyDescent="0.2">
      <c r="A55" s="8"/>
      <c r="B55" s="21" t="s">
        <v>125</v>
      </c>
      <c r="C55" s="3"/>
      <c r="D55" s="22"/>
      <c r="E55" s="187"/>
      <c r="F55" s="187"/>
      <c r="G55" s="186"/>
      <c r="H55" s="186"/>
      <c r="I55" s="70"/>
      <c r="J55" s="466"/>
      <c r="K55" s="70"/>
      <c r="L55" s="70"/>
      <c r="M55" s="70"/>
      <c r="N55" s="70"/>
      <c r="O55" s="70"/>
      <c r="P55" s="70"/>
      <c r="Q55" s="70"/>
      <c r="R55" s="467"/>
      <c r="S55" s="70"/>
      <c r="T55" s="466"/>
    </row>
    <row r="56" spans="1:20" ht="20.100000000000001" customHeight="1" x14ac:dyDescent="0.2">
      <c r="A56" s="8">
        <v>1</v>
      </c>
      <c r="B56" s="9" t="s">
        <v>126</v>
      </c>
      <c r="C56" s="2" t="s">
        <v>127</v>
      </c>
      <c r="D56" s="8" t="s">
        <v>128</v>
      </c>
      <c r="E56" s="70">
        <v>1647612</v>
      </c>
      <c r="F56" s="70">
        <f>'Changes in July'!J6</f>
        <v>2417414.1625000001</v>
      </c>
      <c r="G56" s="186">
        <f>200000</f>
        <v>200000</v>
      </c>
      <c r="H56" s="186"/>
      <c r="I56" s="70"/>
      <c r="J56" s="466">
        <f>SUM(E56:I56)</f>
        <v>4265026.1624999996</v>
      </c>
      <c r="K56" s="70"/>
      <c r="L56" s="70">
        <f>80000+23000</f>
        <v>103000</v>
      </c>
      <c r="M56" s="70">
        <f>246905.96</f>
        <v>246905.96</v>
      </c>
      <c r="N56" s="70"/>
      <c r="O56" s="70"/>
      <c r="P56" s="70">
        <f>303177.162346667+404555.06</f>
        <v>707732.22234666697</v>
      </c>
      <c r="Q56" s="70">
        <v>131808.95999999999</v>
      </c>
      <c r="R56" s="467">
        <f>P56+O56+M56+N56+L56+K56+Q56</f>
        <v>1189447.1423466699</v>
      </c>
      <c r="S56" s="70">
        <v>570636.19901333295</v>
      </c>
      <c r="T56" s="466">
        <f t="shared" ref="T56:T61" si="16">J56-R56</f>
        <v>3075579.0201533302</v>
      </c>
    </row>
    <row r="57" spans="1:20" ht="20.100000000000001" customHeight="1" x14ac:dyDescent="0.2">
      <c r="A57" s="8">
        <v>2</v>
      </c>
      <c r="B57" s="9" t="s">
        <v>129</v>
      </c>
      <c r="C57" s="2" t="s">
        <v>130</v>
      </c>
      <c r="D57" s="8" t="s">
        <v>131</v>
      </c>
      <c r="E57" s="70">
        <v>744477</v>
      </c>
      <c r="F57" s="70"/>
      <c r="G57" s="186">
        <f>160000</f>
        <v>160000</v>
      </c>
      <c r="H57" s="186"/>
      <c r="I57" s="70"/>
      <c r="J57" s="466">
        <f t="shared" ref="J56:J65" si="17">SUM(E57:I57)</f>
        <v>904477</v>
      </c>
      <c r="K57" s="70"/>
      <c r="L57" s="70">
        <f>30000</f>
        <v>30000</v>
      </c>
      <c r="M57" s="70">
        <v>223059.88</v>
      </c>
      <c r="N57" s="70"/>
      <c r="O57" s="70"/>
      <c r="P57" s="70">
        <v>140891.083946667</v>
      </c>
      <c r="Q57" s="70">
        <v>59558.16</v>
      </c>
      <c r="R57" s="467">
        <f t="shared" ref="R57:R66" si="18">P57+O57+M57+N57+L57+K57+Q57</f>
        <v>453509.12394666701</v>
      </c>
      <c r="S57" s="70">
        <v>450967.87605333299</v>
      </c>
      <c r="T57" s="466">
        <f t="shared" si="16"/>
        <v>450967.87605333299</v>
      </c>
    </row>
    <row r="58" spans="1:20" ht="20.100000000000001" customHeight="1" x14ac:dyDescent="0.2">
      <c r="A58" s="8">
        <v>3</v>
      </c>
      <c r="B58" s="9" t="s">
        <v>132</v>
      </c>
      <c r="C58" s="2" t="s">
        <v>130</v>
      </c>
      <c r="D58" s="8" t="s">
        <v>131</v>
      </c>
      <c r="E58" s="70">
        <v>744477</v>
      </c>
      <c r="F58" s="70"/>
      <c r="G58" s="186">
        <f>140000+20000</f>
        <v>160000</v>
      </c>
      <c r="H58" s="186"/>
      <c r="I58" s="70">
        <v>0</v>
      </c>
      <c r="J58" s="466">
        <f t="shared" si="17"/>
        <v>904477</v>
      </c>
      <c r="K58" s="70"/>
      <c r="L58" s="70"/>
      <c r="M58" s="70"/>
      <c r="N58" s="70">
        <v>52000</v>
      </c>
      <c r="O58" s="70">
        <v>11475.262500000001</v>
      </c>
      <c r="P58" s="70">
        <v>138687.83354666701</v>
      </c>
      <c r="Q58" s="70">
        <v>59558.16</v>
      </c>
      <c r="R58" s="467">
        <f t="shared" si="18"/>
        <v>261721.256046667</v>
      </c>
      <c r="S58" s="70">
        <v>694755.743953333</v>
      </c>
      <c r="T58" s="466">
        <f t="shared" si="16"/>
        <v>642755.743953333</v>
      </c>
    </row>
    <row r="59" spans="1:20" ht="20.100000000000001" customHeight="1" x14ac:dyDescent="0.2">
      <c r="A59" s="8">
        <v>4</v>
      </c>
      <c r="B59" s="9" t="s">
        <v>133</v>
      </c>
      <c r="C59" s="2" t="s">
        <v>130</v>
      </c>
      <c r="D59" s="8" t="s">
        <v>38</v>
      </c>
      <c r="E59" s="70">
        <v>722595.5</v>
      </c>
      <c r="F59" s="70"/>
      <c r="G59" s="186">
        <f>140000+20000</f>
        <v>160000</v>
      </c>
      <c r="H59" s="186"/>
      <c r="I59" s="70"/>
      <c r="J59" s="466">
        <f t="shared" si="17"/>
        <v>882595.5</v>
      </c>
      <c r="K59" s="70"/>
      <c r="L59" s="70">
        <f>15000</f>
        <v>15000</v>
      </c>
      <c r="M59" s="70">
        <v>99000</v>
      </c>
      <c r="N59" s="70"/>
      <c r="O59" s="70"/>
      <c r="P59" s="70">
        <v>137025.93578666699</v>
      </c>
      <c r="Q59" s="70">
        <v>57807.64</v>
      </c>
      <c r="R59" s="467">
        <f t="shared" si="18"/>
        <v>308833.575786667</v>
      </c>
      <c r="S59" s="70">
        <v>573761.92421333306</v>
      </c>
      <c r="T59" s="466">
        <f t="shared" si="16"/>
        <v>573761.92421333306</v>
      </c>
    </row>
    <row r="60" spans="1:20" ht="20.100000000000001" customHeight="1" x14ac:dyDescent="0.2">
      <c r="A60" s="8">
        <v>5</v>
      </c>
      <c r="B60" s="12" t="s">
        <v>134</v>
      </c>
      <c r="C60" s="2" t="s">
        <v>130</v>
      </c>
      <c r="D60" s="8" t="s">
        <v>49</v>
      </c>
      <c r="E60" s="70">
        <v>700713.91666666605</v>
      </c>
      <c r="F60" s="70"/>
      <c r="G60" s="186">
        <f>160000</f>
        <v>160000</v>
      </c>
      <c r="H60" s="186"/>
      <c r="I60" s="70"/>
      <c r="J60" s="466">
        <f t="shared" si="17"/>
        <v>860713.91666666605</v>
      </c>
      <c r="K60" s="70"/>
      <c r="L60" s="70"/>
      <c r="M60" s="70"/>
      <c r="N60" s="70">
        <v>22000</v>
      </c>
      <c r="O60" s="70">
        <v>0</v>
      </c>
      <c r="P60" s="70">
        <v>133160.772906667</v>
      </c>
      <c r="Q60" s="70">
        <v>56057.113333333298</v>
      </c>
      <c r="R60" s="467">
        <f t="shared" si="18"/>
        <v>211217.88623999999</v>
      </c>
      <c r="S60" s="70">
        <v>671496.03042666602</v>
      </c>
      <c r="T60" s="466">
        <f t="shared" si="16"/>
        <v>649496.03042666602</v>
      </c>
    </row>
    <row r="61" spans="1:20" ht="20.100000000000001" customHeight="1" x14ac:dyDescent="0.2">
      <c r="A61" s="8">
        <v>6</v>
      </c>
      <c r="B61" s="16" t="s">
        <v>135</v>
      </c>
      <c r="C61" s="2" t="s">
        <v>136</v>
      </c>
      <c r="D61" s="13" t="s">
        <v>137</v>
      </c>
      <c r="E61" s="186">
        <v>441159</v>
      </c>
      <c r="F61" s="70"/>
      <c r="G61" s="186">
        <f>110000</f>
        <v>110000</v>
      </c>
      <c r="H61" s="186"/>
      <c r="I61" s="70"/>
      <c r="J61" s="467">
        <f t="shared" si="17"/>
        <v>551159</v>
      </c>
      <c r="K61" s="70"/>
      <c r="L61" s="70"/>
      <c r="M61" s="70"/>
      <c r="N61" s="70">
        <v>22000</v>
      </c>
      <c r="O61" s="70"/>
      <c r="P61" s="70">
        <v>77712.992426666693</v>
      </c>
      <c r="Q61" s="70">
        <v>35292.720000000001</v>
      </c>
      <c r="R61" s="467">
        <f t="shared" si="18"/>
        <v>135005.71242666701</v>
      </c>
      <c r="S61" s="70">
        <v>438153.28757333301</v>
      </c>
      <c r="T61" s="467">
        <f t="shared" si="16"/>
        <v>416153.28757333301</v>
      </c>
    </row>
    <row r="62" spans="1:20" ht="20.100000000000001" customHeight="1" x14ac:dyDescent="0.2">
      <c r="A62" s="8">
        <v>7</v>
      </c>
      <c r="B62" s="9" t="s">
        <v>138</v>
      </c>
      <c r="C62" s="2" t="s">
        <v>139</v>
      </c>
      <c r="D62" s="8" t="s">
        <v>119</v>
      </c>
      <c r="E62" s="70">
        <v>390135.83333333401</v>
      </c>
      <c r="F62" s="70"/>
      <c r="G62" s="186">
        <v>100000</v>
      </c>
      <c r="H62" s="186"/>
      <c r="I62" s="70"/>
      <c r="J62" s="466">
        <f t="shared" si="17"/>
        <v>490135.83333333401</v>
      </c>
      <c r="K62" s="70"/>
      <c r="L62" s="70"/>
      <c r="M62" s="70"/>
      <c r="N62" s="70"/>
      <c r="O62" s="70"/>
      <c r="P62" s="70">
        <v>66780.260266666795</v>
      </c>
      <c r="Q62" s="70">
        <v>31210.866666666701</v>
      </c>
      <c r="R62" s="467">
        <f t="shared" si="18"/>
        <v>97991.126933333493</v>
      </c>
      <c r="S62" s="70">
        <v>392144.70640000002</v>
      </c>
      <c r="T62" s="466">
        <f t="shared" ref="T62:T66" si="19">J62-R62</f>
        <v>392144.70640000002</v>
      </c>
    </row>
    <row r="63" spans="1:20" ht="20.100000000000001" customHeight="1" x14ac:dyDescent="0.2">
      <c r="A63" s="8">
        <v>8</v>
      </c>
      <c r="B63" s="9" t="s">
        <v>140</v>
      </c>
      <c r="C63" s="2" t="s">
        <v>141</v>
      </c>
      <c r="D63" s="8" t="s">
        <v>73</v>
      </c>
      <c r="E63" s="70">
        <v>372145.33333333302</v>
      </c>
      <c r="F63" s="70"/>
      <c r="G63" s="186">
        <f t="shared" ref="G63:G66" si="20">100000</f>
        <v>100000</v>
      </c>
      <c r="H63" s="186"/>
      <c r="I63" s="70"/>
      <c r="J63" s="467">
        <f t="shared" si="17"/>
        <v>472145.33333333302</v>
      </c>
      <c r="K63" s="70"/>
      <c r="L63" s="70"/>
      <c r="M63" s="70"/>
      <c r="N63" s="70"/>
      <c r="O63" s="70"/>
      <c r="P63" s="70">
        <v>63602.418346666702</v>
      </c>
      <c r="Q63" s="70">
        <v>29771.6266666667</v>
      </c>
      <c r="R63" s="467">
        <f t="shared" si="18"/>
        <v>93374.045013333394</v>
      </c>
      <c r="S63" s="70">
        <v>378771.28831999999</v>
      </c>
      <c r="T63" s="467">
        <f t="shared" si="19"/>
        <v>378771.28831999999</v>
      </c>
    </row>
    <row r="64" spans="1:20" ht="20.100000000000001" customHeight="1" x14ac:dyDescent="0.2">
      <c r="A64" s="8">
        <v>9</v>
      </c>
      <c r="B64" s="9" t="s">
        <v>142</v>
      </c>
      <c r="C64" s="2" t="s">
        <v>139</v>
      </c>
      <c r="D64" s="8" t="s">
        <v>84</v>
      </c>
      <c r="E64" s="70">
        <v>347016.16666666599</v>
      </c>
      <c r="F64" s="70"/>
      <c r="G64" s="186">
        <f t="shared" si="20"/>
        <v>100000</v>
      </c>
      <c r="H64" s="186"/>
      <c r="I64" s="70"/>
      <c r="J64" s="466">
        <f t="shared" si="17"/>
        <v>447016.16666666599</v>
      </c>
      <c r="K64" s="70"/>
      <c r="L64" s="70"/>
      <c r="M64" s="70"/>
      <c r="N64" s="70"/>
      <c r="O64" s="70"/>
      <c r="P64" s="70">
        <v>59163.602346666499</v>
      </c>
      <c r="Q64" s="70">
        <v>27761.293333333299</v>
      </c>
      <c r="R64" s="467">
        <f t="shared" si="18"/>
        <v>86924.895679999798</v>
      </c>
      <c r="S64" s="70">
        <v>360091.27098666597</v>
      </c>
      <c r="T64" s="466">
        <f t="shared" si="19"/>
        <v>360091.27098666597</v>
      </c>
    </row>
    <row r="65" spans="1:20" ht="20.100000000000001" customHeight="1" x14ac:dyDescent="0.2">
      <c r="A65" s="8">
        <v>10</v>
      </c>
      <c r="B65" s="9" t="s">
        <v>143</v>
      </c>
      <c r="C65" s="2" t="s">
        <v>139</v>
      </c>
      <c r="D65" s="8" t="s">
        <v>84</v>
      </c>
      <c r="E65" s="70">
        <v>347016.16666666599</v>
      </c>
      <c r="F65" s="70"/>
      <c r="G65" s="186">
        <f t="shared" si="20"/>
        <v>100000</v>
      </c>
      <c r="H65" s="186"/>
      <c r="I65" s="70"/>
      <c r="J65" s="466">
        <f t="shared" si="17"/>
        <v>447016.16666666599</v>
      </c>
      <c r="K65" s="70"/>
      <c r="L65" s="70"/>
      <c r="M65" s="70"/>
      <c r="N65" s="70"/>
      <c r="O65" s="70"/>
      <c r="P65" s="70">
        <v>59163.602346666499</v>
      </c>
      <c r="Q65" s="70">
        <v>27761.293333333299</v>
      </c>
      <c r="R65" s="467">
        <f t="shared" si="18"/>
        <v>86924.895679999798</v>
      </c>
      <c r="S65" s="70">
        <v>360091.27098666597</v>
      </c>
      <c r="T65" s="466">
        <f t="shared" si="19"/>
        <v>360091.27098666597</v>
      </c>
    </row>
    <row r="66" spans="1:20" ht="18.75" customHeight="1" x14ac:dyDescent="0.2">
      <c r="A66" s="8">
        <v>11</v>
      </c>
      <c r="B66" s="16" t="s">
        <v>144</v>
      </c>
      <c r="C66" s="2" t="s">
        <v>139</v>
      </c>
      <c r="D66" s="8" t="s">
        <v>96</v>
      </c>
      <c r="E66" s="70">
        <v>330407.08333333302</v>
      </c>
      <c r="F66" s="70"/>
      <c r="G66" s="186">
        <f t="shared" si="20"/>
        <v>100000</v>
      </c>
      <c r="H66" s="186"/>
      <c r="I66" s="70"/>
      <c r="J66" s="467">
        <f>E66+F66+G66+H66+I66</f>
        <v>430407.08333333302</v>
      </c>
      <c r="K66" s="70"/>
      <c r="L66" s="70"/>
      <c r="M66" s="70"/>
      <c r="N66" s="70"/>
      <c r="O66" s="70"/>
      <c r="P66" s="70">
        <f>56229.7738666667+13919.3</f>
        <v>70149.073866666702</v>
      </c>
      <c r="Q66" s="70">
        <v>26432.566666666698</v>
      </c>
      <c r="R66" s="467">
        <f t="shared" si="18"/>
        <v>96581.640533333397</v>
      </c>
      <c r="S66" s="70">
        <v>533825.44279999996</v>
      </c>
      <c r="T66" s="467">
        <f t="shared" si="19"/>
        <v>333825.44280000002</v>
      </c>
    </row>
    <row r="67" spans="1:20" ht="25.5" customHeight="1" x14ac:dyDescent="0.5">
      <c r="A67" s="8"/>
      <c r="B67" s="18" t="s">
        <v>111</v>
      </c>
      <c r="C67" s="19">
        <v>11</v>
      </c>
      <c r="D67" s="19"/>
      <c r="E67" s="78">
        <f>SUM(E56:E66)</f>
        <v>6787755</v>
      </c>
      <c r="F67" s="78">
        <f t="shared" ref="F67:S67" si="21">SUM(F56:F66)</f>
        <v>2417414.1625000001</v>
      </c>
      <c r="G67" s="78">
        <f t="shared" si="21"/>
        <v>1450000</v>
      </c>
      <c r="H67" s="78">
        <f t="shared" si="21"/>
        <v>0</v>
      </c>
      <c r="I67" s="78">
        <f t="shared" si="21"/>
        <v>0</v>
      </c>
      <c r="J67" s="78">
        <f t="shared" si="21"/>
        <v>10655169.1625</v>
      </c>
      <c r="K67" s="78">
        <f t="shared" si="21"/>
        <v>0</v>
      </c>
      <c r="L67" s="78">
        <f t="shared" si="21"/>
        <v>148000</v>
      </c>
      <c r="M67" s="78">
        <f t="shared" si="21"/>
        <v>568965.84</v>
      </c>
      <c r="N67" s="78">
        <f>SUM(N56:N66)</f>
        <v>96000</v>
      </c>
      <c r="O67" s="78">
        <f>SUM(O56:O66)</f>
        <v>11475.262500000001</v>
      </c>
      <c r="P67" s="78">
        <f>SUM(P56:P66)</f>
        <v>1654069.79813333</v>
      </c>
      <c r="Q67" s="78">
        <f>SUM(Q56:Q66)</f>
        <v>543020.4</v>
      </c>
      <c r="R67" s="78">
        <f>SUM(R56:R66)</f>
        <v>3021531.3006333299</v>
      </c>
      <c r="S67" s="78">
        <v>5424695.0407266598</v>
      </c>
      <c r="T67" s="78">
        <f>SUM(T56:T66)</f>
        <v>7633637.8618666604</v>
      </c>
    </row>
    <row r="68" spans="1:20" ht="20.100000000000001" customHeight="1" x14ac:dyDescent="0.2">
      <c r="A68" s="8"/>
      <c r="B68" s="20"/>
      <c r="C68" s="19"/>
      <c r="D68" s="19"/>
      <c r="E68" s="122"/>
      <c r="F68" s="122"/>
      <c r="G68" s="186"/>
      <c r="H68" s="186"/>
      <c r="I68" s="122"/>
      <c r="J68" s="473"/>
      <c r="K68" s="122"/>
      <c r="L68" s="122"/>
      <c r="M68" s="122"/>
      <c r="N68" s="122"/>
      <c r="O68" s="122"/>
      <c r="P68" s="122"/>
      <c r="Q68" s="122"/>
      <c r="R68" s="474"/>
      <c r="S68" s="122"/>
      <c r="T68" s="473"/>
    </row>
    <row r="69" spans="1:20" ht="20.100000000000001" customHeight="1" x14ac:dyDescent="0.2">
      <c r="A69" s="8"/>
      <c r="B69" s="18" t="s">
        <v>145</v>
      </c>
      <c r="C69" s="19"/>
      <c r="D69" s="19"/>
      <c r="E69" s="122"/>
      <c r="F69" s="122"/>
      <c r="G69" s="186"/>
      <c r="H69" s="186"/>
      <c r="I69" s="122"/>
      <c r="J69" s="473"/>
      <c r="K69" s="122"/>
      <c r="L69" s="122"/>
      <c r="M69" s="122"/>
      <c r="N69" s="122"/>
      <c r="O69" s="122"/>
      <c r="P69" s="122"/>
      <c r="Q69" s="122"/>
      <c r="R69" s="474"/>
      <c r="S69" s="122"/>
      <c r="T69" s="473"/>
    </row>
    <row r="70" spans="1:20" ht="20.100000000000001" customHeight="1" x14ac:dyDescent="0.2">
      <c r="A70" s="8">
        <v>1</v>
      </c>
      <c r="B70" s="9" t="s">
        <v>146</v>
      </c>
      <c r="C70" s="10" t="s">
        <v>147</v>
      </c>
      <c r="D70" s="13" t="s">
        <v>115</v>
      </c>
      <c r="E70" s="70">
        <v>1747106.41666666</v>
      </c>
      <c r="F70" s="70"/>
      <c r="G70" s="186">
        <f>200000</f>
        <v>200000</v>
      </c>
      <c r="H70" s="186"/>
      <c r="I70" s="70">
        <v>0</v>
      </c>
      <c r="J70" s="466">
        <f>SUM(E70:I70)</f>
        <v>1947106.41666666</v>
      </c>
      <c r="K70" s="70"/>
      <c r="L70" s="70">
        <v>250000</v>
      </c>
      <c r="M70" s="70"/>
      <c r="N70" s="70">
        <v>502000</v>
      </c>
      <c r="O70" s="70">
        <v>0</v>
      </c>
      <c r="P70" s="630">
        <v>325675.54410666501</v>
      </c>
      <c r="Q70" s="630">
        <v>139768.51333333299</v>
      </c>
      <c r="R70" s="467">
        <f>P70+O70+M70+N70+L70+K70+Q70</f>
        <v>1217444.0574399999</v>
      </c>
      <c r="S70" s="70">
        <v>1231662.3592266601</v>
      </c>
      <c r="T70" s="466">
        <f>J70-R70</f>
        <v>729662.35922666197</v>
      </c>
    </row>
    <row r="71" spans="1:20" ht="20.100000000000001" customHeight="1" x14ac:dyDescent="0.2">
      <c r="A71" s="8">
        <v>2</v>
      </c>
      <c r="B71" s="9" t="s">
        <v>148</v>
      </c>
      <c r="C71" s="10" t="s">
        <v>149</v>
      </c>
      <c r="D71" s="13" t="s">
        <v>150</v>
      </c>
      <c r="E71" s="70">
        <v>744477</v>
      </c>
      <c r="F71" s="70"/>
      <c r="G71" s="186"/>
      <c r="H71" s="186">
        <v>80000</v>
      </c>
      <c r="I71" s="70"/>
      <c r="J71" s="466">
        <f>SUM(E71:I71)</f>
        <v>824477</v>
      </c>
      <c r="K71" s="70"/>
      <c r="L71" s="70">
        <v>50000</v>
      </c>
      <c r="M71" s="70">
        <v>345000</v>
      </c>
      <c r="N71" s="70"/>
      <c r="O71" s="70">
        <v>0</v>
      </c>
      <c r="P71" s="630">
        <v>125531.083946667</v>
      </c>
      <c r="Q71" s="630">
        <v>59558.16</v>
      </c>
      <c r="R71" s="467">
        <f>P71+O71+M71+N71+L71+K71+Q71</f>
        <v>580089.24394666695</v>
      </c>
      <c r="S71" s="70">
        <v>444387.756053333</v>
      </c>
      <c r="T71" s="466">
        <f>J71-R71</f>
        <v>244387.756053333</v>
      </c>
    </row>
    <row r="72" spans="1:20" ht="20.100000000000001" customHeight="1" x14ac:dyDescent="0.5">
      <c r="A72" s="8"/>
      <c r="B72" s="18" t="s">
        <v>111</v>
      </c>
      <c r="C72" s="19">
        <v>2</v>
      </c>
      <c r="D72" s="19"/>
      <c r="E72" s="78">
        <f>SUM(E70:E71)</f>
        <v>2491583.41666666</v>
      </c>
      <c r="F72" s="78">
        <f>SUM(F70:F71)</f>
        <v>0</v>
      </c>
      <c r="G72" s="78">
        <f t="shared" ref="G72:S72" si="22">SUM(G70:G71)</f>
        <v>200000</v>
      </c>
      <c r="H72" s="78">
        <f t="shared" si="22"/>
        <v>80000</v>
      </c>
      <c r="I72" s="78">
        <f t="shared" si="22"/>
        <v>0</v>
      </c>
      <c r="J72" s="78">
        <f t="shared" si="22"/>
        <v>2771583.41666666</v>
      </c>
      <c r="K72" s="78">
        <f t="shared" si="22"/>
        <v>0</v>
      </c>
      <c r="L72" s="78">
        <f t="shared" si="22"/>
        <v>300000</v>
      </c>
      <c r="M72" s="78">
        <f t="shared" si="22"/>
        <v>345000</v>
      </c>
      <c r="N72" s="78">
        <f>SUM(N70:N71)</f>
        <v>502000</v>
      </c>
      <c r="O72" s="78">
        <f>SUM(O70:O71)</f>
        <v>0</v>
      </c>
      <c r="P72" s="78">
        <f>SUM(P70:P71)</f>
        <v>451206.62805333198</v>
      </c>
      <c r="Q72" s="78">
        <f>SUM(Q70:Q71)</f>
        <v>199326.67333333299</v>
      </c>
      <c r="R72" s="78">
        <f>SUM(R70:R71)</f>
        <v>1797533.30138667</v>
      </c>
      <c r="S72" s="78">
        <v>1676050.11527999</v>
      </c>
      <c r="T72" s="78">
        <f>SUM(T70:T71)</f>
        <v>974050.11527999502</v>
      </c>
    </row>
    <row r="73" spans="1:20" ht="20.100000000000001" customHeight="1" x14ac:dyDescent="0.2">
      <c r="A73" s="8"/>
      <c r="B73" s="18"/>
      <c r="C73" s="19"/>
      <c r="D73" s="19"/>
      <c r="E73" s="122"/>
      <c r="F73" s="122"/>
      <c r="G73" s="186"/>
      <c r="H73" s="186"/>
      <c r="I73" s="122"/>
      <c r="J73" s="473"/>
      <c r="K73" s="122"/>
      <c r="L73" s="122"/>
      <c r="M73" s="122"/>
      <c r="N73" s="122"/>
      <c r="O73" s="122"/>
      <c r="P73" s="122"/>
      <c r="Q73" s="122"/>
      <c r="R73" s="474"/>
      <c r="S73" s="122"/>
      <c r="T73" s="473"/>
    </row>
    <row r="74" spans="1:20" ht="20.100000000000001" customHeight="1" x14ac:dyDescent="0.2">
      <c r="A74" s="8"/>
      <c r="B74" s="18" t="s">
        <v>151</v>
      </c>
      <c r="C74" s="19"/>
      <c r="D74" s="19"/>
      <c r="E74" s="122"/>
      <c r="F74" s="122"/>
      <c r="G74" s="186"/>
      <c r="H74" s="186"/>
      <c r="I74" s="122"/>
      <c r="J74" s="473"/>
      <c r="K74" s="122"/>
      <c r="L74" s="122"/>
      <c r="M74" s="122"/>
      <c r="N74" s="122"/>
      <c r="O74" s="122"/>
      <c r="P74" s="122"/>
      <c r="Q74" s="122"/>
      <c r="R74" s="474"/>
      <c r="S74" s="122"/>
      <c r="T74" s="473"/>
    </row>
    <row r="75" spans="1:20" ht="20.100000000000001" customHeight="1" x14ac:dyDescent="0.2">
      <c r="A75" s="8">
        <v>1</v>
      </c>
      <c r="B75" s="12" t="s">
        <v>152</v>
      </c>
      <c r="C75" s="2" t="s">
        <v>153</v>
      </c>
      <c r="D75" s="8" t="s">
        <v>154</v>
      </c>
      <c r="E75" s="70">
        <v>905306.75</v>
      </c>
      <c r="F75" s="70"/>
      <c r="G75" s="186">
        <v>180000</v>
      </c>
      <c r="H75" s="186"/>
      <c r="I75" s="70">
        <v>0</v>
      </c>
      <c r="J75" s="466">
        <f t="shared" ref="J75:J82" si="23">SUM(E75:I75)</f>
        <v>1085306.75</v>
      </c>
      <c r="K75" s="70"/>
      <c r="L75" s="70">
        <f>60000</f>
        <v>60000</v>
      </c>
      <c r="M75" s="70">
        <f>163103.59</f>
        <v>163103.59</v>
      </c>
      <c r="N75" s="70"/>
      <c r="O75" s="70">
        <v>13866.737499999999</v>
      </c>
      <c r="P75" s="70">
        <v>170477.63738666699</v>
      </c>
      <c r="Q75" s="70">
        <v>72424.539999999994</v>
      </c>
      <c r="R75" s="467">
        <f>P75+O75+M75+N75+L75+K75+Q75</f>
        <v>479872.50488666701</v>
      </c>
      <c r="S75" s="70">
        <v>605434.24511333299</v>
      </c>
      <c r="T75" s="466">
        <f t="shared" ref="T75:T78" si="24">J75-R75</f>
        <v>605434.24511333299</v>
      </c>
    </row>
    <row r="76" spans="1:20" ht="20.100000000000001" customHeight="1" x14ac:dyDescent="0.2">
      <c r="A76" s="8">
        <v>2</v>
      </c>
      <c r="B76" s="9" t="s">
        <v>155</v>
      </c>
      <c r="C76" s="2" t="s">
        <v>156</v>
      </c>
      <c r="D76" s="8" t="s">
        <v>46</v>
      </c>
      <c r="E76" s="70">
        <v>558165.25</v>
      </c>
      <c r="F76" s="70"/>
      <c r="G76" s="186">
        <v>140000</v>
      </c>
      <c r="H76" s="186"/>
      <c r="I76" s="70"/>
      <c r="J76" s="466">
        <f t="shared" si="23"/>
        <v>698165.25</v>
      </c>
      <c r="K76" s="70"/>
      <c r="L76" s="70">
        <f>110000+90000</f>
        <v>200000</v>
      </c>
      <c r="M76" s="70"/>
      <c r="N76" s="70">
        <v>82000</v>
      </c>
      <c r="O76" s="70"/>
      <c r="P76" s="70">
        <v>104140.976426667</v>
      </c>
      <c r="Q76" s="70">
        <v>44653.22</v>
      </c>
      <c r="R76" s="467">
        <f t="shared" ref="R76:R84" si="25">P76+O76+M76+N76+L76+K76+Q76</f>
        <v>430794.19642666698</v>
      </c>
      <c r="S76" s="70">
        <v>349371.05357333302</v>
      </c>
      <c r="T76" s="466">
        <f t="shared" si="24"/>
        <v>267371.05357333302</v>
      </c>
    </row>
    <row r="77" spans="1:20" ht="20.100000000000001" customHeight="1" x14ac:dyDescent="0.2">
      <c r="A77" s="8">
        <v>3</v>
      </c>
      <c r="B77" s="16" t="s">
        <v>157</v>
      </c>
      <c r="C77" s="15" t="s">
        <v>158</v>
      </c>
      <c r="D77" s="13" t="s">
        <v>159</v>
      </c>
      <c r="E77" s="70">
        <v>482846.58333333302</v>
      </c>
      <c r="F77" s="70"/>
      <c r="G77" s="186">
        <f>120000</f>
        <v>120000</v>
      </c>
      <c r="H77" s="186"/>
      <c r="I77" s="70">
        <v>0</v>
      </c>
      <c r="J77" s="467">
        <f t="shared" si="23"/>
        <v>602846.58333333302</v>
      </c>
      <c r="K77" s="70"/>
      <c r="L77" s="70">
        <v>30000</v>
      </c>
      <c r="M77" s="70">
        <v>15000</v>
      </c>
      <c r="N77" s="70"/>
      <c r="O77" s="70"/>
      <c r="P77" s="70">
        <v>86996.687146666707</v>
      </c>
      <c r="Q77" s="70">
        <v>38627.726666666698</v>
      </c>
      <c r="R77" s="467">
        <f t="shared" si="25"/>
        <v>170624.413813333</v>
      </c>
      <c r="S77" s="70">
        <v>432222.16952</v>
      </c>
      <c r="T77" s="467">
        <f t="shared" si="24"/>
        <v>432222.16952</v>
      </c>
    </row>
    <row r="78" spans="1:20" ht="20.100000000000001" customHeight="1" x14ac:dyDescent="0.2">
      <c r="A78" s="8">
        <v>4</v>
      </c>
      <c r="B78" s="16" t="s">
        <v>160</v>
      </c>
      <c r="C78" s="15" t="s">
        <v>158</v>
      </c>
      <c r="D78" s="13" t="s">
        <v>159</v>
      </c>
      <c r="E78" s="70">
        <v>482846.58333333302</v>
      </c>
      <c r="F78" s="70"/>
      <c r="G78" s="186">
        <f>120000</f>
        <v>120000</v>
      </c>
      <c r="H78" s="186"/>
      <c r="I78" s="70">
        <v>0</v>
      </c>
      <c r="J78" s="467">
        <f t="shared" si="23"/>
        <v>602846.58333333302</v>
      </c>
      <c r="K78" s="70"/>
      <c r="L78" s="70">
        <v>100000</v>
      </c>
      <c r="M78" s="70"/>
      <c r="N78" s="70"/>
      <c r="O78" s="70"/>
      <c r="P78" s="70">
        <v>86996.687146666707</v>
      </c>
      <c r="Q78" s="70">
        <v>38627.726666666698</v>
      </c>
      <c r="R78" s="467">
        <f t="shared" si="25"/>
        <v>225624.413813333</v>
      </c>
      <c r="S78" s="70">
        <v>377222.16952</v>
      </c>
      <c r="T78" s="467">
        <f t="shared" si="24"/>
        <v>377222.16952</v>
      </c>
    </row>
    <row r="79" spans="1:20" ht="20.100000000000001" customHeight="1" x14ac:dyDescent="0.2">
      <c r="A79" s="8">
        <v>5</v>
      </c>
      <c r="B79" s="9" t="s">
        <v>161</v>
      </c>
      <c r="C79" s="2" t="s">
        <v>139</v>
      </c>
      <c r="D79" s="8" t="s">
        <v>162</v>
      </c>
      <c r="E79" s="70">
        <v>468828.16666666698</v>
      </c>
      <c r="F79" s="70"/>
      <c r="G79" s="186">
        <f>110000</f>
        <v>110000</v>
      </c>
      <c r="H79" s="186"/>
      <c r="I79" s="70">
        <v>0</v>
      </c>
      <c r="J79" s="466">
        <f t="shared" si="23"/>
        <v>578828.16666666698</v>
      </c>
      <c r="K79" s="70"/>
      <c r="L79" s="70">
        <v>10000</v>
      </c>
      <c r="M79" s="70">
        <f>163196.67</f>
        <v>163196.67000000001</v>
      </c>
      <c r="N79" s="70"/>
      <c r="O79" s="70"/>
      <c r="P79" s="70">
        <v>82600.474026666707</v>
      </c>
      <c r="Q79" s="70">
        <v>37506.253333333399</v>
      </c>
      <c r="R79" s="467">
        <f t="shared" si="25"/>
        <v>293303.39736</v>
      </c>
      <c r="S79" s="70">
        <v>285524.76930666697</v>
      </c>
      <c r="T79" s="466">
        <f t="shared" ref="T79:T84" si="26">J79-R79</f>
        <v>285524.76930666697</v>
      </c>
    </row>
    <row r="80" spans="1:20" ht="20.100000000000001" customHeight="1" x14ac:dyDescent="0.2">
      <c r="A80" s="8">
        <v>6</v>
      </c>
      <c r="B80" s="9" t="s">
        <v>163</v>
      </c>
      <c r="C80" s="15" t="s">
        <v>70</v>
      </c>
      <c r="D80" s="8" t="s">
        <v>162</v>
      </c>
      <c r="E80" s="70">
        <v>468828.16666666698</v>
      </c>
      <c r="F80" s="70"/>
      <c r="G80" s="186">
        <f t="shared" ref="G80:G82" si="27">110000</f>
        <v>110000</v>
      </c>
      <c r="H80" s="186"/>
      <c r="I80" s="70">
        <v>0</v>
      </c>
      <c r="J80" s="466">
        <f t="shared" si="23"/>
        <v>578828.16666666698</v>
      </c>
      <c r="K80" s="70"/>
      <c r="L80" s="70">
        <f>52000-2000</f>
        <v>50000</v>
      </c>
      <c r="M80" s="70"/>
      <c r="N80" s="70">
        <v>52000</v>
      </c>
      <c r="O80" s="70"/>
      <c r="P80" s="70">
        <v>82600.474026666707</v>
      </c>
      <c r="Q80" s="70">
        <v>37506.253333333399</v>
      </c>
      <c r="R80" s="467">
        <f t="shared" si="25"/>
        <v>222106.72735999999</v>
      </c>
      <c r="S80" s="70">
        <v>408721.43930666702</v>
      </c>
      <c r="T80" s="466">
        <f t="shared" si="26"/>
        <v>356721.43930666702</v>
      </c>
    </row>
    <row r="81" spans="1:20" ht="20.100000000000001" customHeight="1" x14ac:dyDescent="0.2">
      <c r="A81" s="8">
        <v>7</v>
      </c>
      <c r="B81" s="9" t="s">
        <v>164</v>
      </c>
      <c r="C81" s="15" t="s">
        <v>70</v>
      </c>
      <c r="D81" s="8" t="s">
        <v>162</v>
      </c>
      <c r="E81" s="70">
        <v>468828.16666666698</v>
      </c>
      <c r="F81" s="70"/>
      <c r="G81" s="186">
        <f t="shared" si="27"/>
        <v>110000</v>
      </c>
      <c r="H81" s="186"/>
      <c r="I81" s="70">
        <v>0</v>
      </c>
      <c r="J81" s="466">
        <f t="shared" si="23"/>
        <v>578828.16666666698</v>
      </c>
      <c r="K81" s="70"/>
      <c r="L81" s="70">
        <f>67000-2000</f>
        <v>65000</v>
      </c>
      <c r="M81" s="70"/>
      <c r="N81" s="70">
        <v>42000</v>
      </c>
      <c r="O81" s="70"/>
      <c r="P81" s="70">
        <v>82600.474026666707</v>
      </c>
      <c r="Q81" s="70">
        <v>37506.253333333399</v>
      </c>
      <c r="R81" s="467">
        <f t="shared" si="25"/>
        <v>227106.72735999999</v>
      </c>
      <c r="S81" s="70">
        <v>393721.43930666702</v>
      </c>
      <c r="T81" s="466">
        <f t="shared" si="26"/>
        <v>351721.43930666702</v>
      </c>
    </row>
    <row r="82" spans="1:20" ht="20.100000000000001" customHeight="1" x14ac:dyDescent="0.2">
      <c r="A82" s="8">
        <v>8</v>
      </c>
      <c r="B82" s="9" t="s">
        <v>165</v>
      </c>
      <c r="C82" s="2" t="s">
        <v>166</v>
      </c>
      <c r="D82" s="8" t="s">
        <v>65</v>
      </c>
      <c r="E82" s="417">
        <v>482662.66666666698</v>
      </c>
      <c r="F82" s="70"/>
      <c r="G82" s="186">
        <f t="shared" si="27"/>
        <v>110000</v>
      </c>
      <c r="H82" s="186"/>
      <c r="I82" s="70"/>
      <c r="J82" s="466">
        <f t="shared" si="23"/>
        <v>592662.66666666698</v>
      </c>
      <c r="K82" s="70"/>
      <c r="L82" s="70">
        <f>80000+20000</f>
        <v>100000</v>
      </c>
      <c r="M82" s="70"/>
      <c r="N82" s="70">
        <v>102000</v>
      </c>
      <c r="O82" s="70"/>
      <c r="P82" s="70">
        <v>85044.2001066667</v>
      </c>
      <c r="Q82" s="70">
        <v>38613.013333333402</v>
      </c>
      <c r="R82" s="467">
        <f t="shared" si="25"/>
        <v>325657.21344000002</v>
      </c>
      <c r="S82" s="70">
        <v>369005.45322666701</v>
      </c>
      <c r="T82" s="466">
        <f t="shared" si="26"/>
        <v>267005.45322666701</v>
      </c>
    </row>
    <row r="83" spans="1:20" ht="20.100000000000001" customHeight="1" x14ac:dyDescent="0.2">
      <c r="A83" s="8">
        <v>9</v>
      </c>
      <c r="B83" s="12" t="s">
        <v>167</v>
      </c>
      <c r="C83" s="15" t="s">
        <v>64</v>
      </c>
      <c r="D83" s="8" t="s">
        <v>137</v>
      </c>
      <c r="E83" s="70">
        <v>441159</v>
      </c>
      <c r="F83" s="70"/>
      <c r="G83" s="186">
        <v>110000</v>
      </c>
      <c r="H83" s="186"/>
      <c r="I83" s="70"/>
      <c r="J83" s="467">
        <f>E83+F83+G83+H83+I83</f>
        <v>551159</v>
      </c>
      <c r="K83" s="70"/>
      <c r="L83" s="70">
        <v>20000</v>
      </c>
      <c r="M83" s="70">
        <v>50000</v>
      </c>
      <c r="N83" s="70"/>
      <c r="O83" s="70"/>
      <c r="P83" s="70">
        <v>77712.992426666693</v>
      </c>
      <c r="Q83" s="70">
        <v>35292.720000000001</v>
      </c>
      <c r="R83" s="467">
        <f t="shared" si="25"/>
        <v>183005.71242666701</v>
      </c>
      <c r="S83" s="70">
        <v>368153.28757333301</v>
      </c>
      <c r="T83" s="467">
        <f t="shared" si="26"/>
        <v>368153.28757333301</v>
      </c>
    </row>
    <row r="84" spans="1:20" ht="21.6" customHeight="1" x14ac:dyDescent="0.2">
      <c r="A84" s="8">
        <v>10</v>
      </c>
      <c r="B84" s="9" t="s">
        <v>168</v>
      </c>
      <c r="C84" s="2" t="s">
        <v>139</v>
      </c>
      <c r="D84" s="8" t="s">
        <v>119</v>
      </c>
      <c r="E84" s="186">
        <v>390135.83333333401</v>
      </c>
      <c r="F84" s="70"/>
      <c r="G84" s="186">
        <v>100000</v>
      </c>
      <c r="H84" s="186"/>
      <c r="I84" s="70"/>
      <c r="J84" s="466">
        <f>SUM(E84:I84)</f>
        <v>490135.83333333401</v>
      </c>
      <c r="K84" s="2"/>
      <c r="L84" s="2"/>
      <c r="M84" s="2"/>
      <c r="N84" s="917">
        <v>32000</v>
      </c>
      <c r="O84" s="860">
        <v>6154.2791666666799</v>
      </c>
      <c r="P84" s="70">
        <v>65598.638666666797</v>
      </c>
      <c r="Q84" s="70">
        <v>31210.866666666701</v>
      </c>
      <c r="R84" s="467">
        <f t="shared" si="25"/>
        <v>134963.78450000001</v>
      </c>
      <c r="S84" s="918">
        <v>385990.42723333399</v>
      </c>
      <c r="T84" s="919">
        <f t="shared" si="26"/>
        <v>355172.048833334</v>
      </c>
    </row>
    <row r="85" spans="1:20" ht="27" customHeight="1" x14ac:dyDescent="0.5">
      <c r="A85" s="8"/>
      <c r="B85" s="18" t="s">
        <v>111</v>
      </c>
      <c r="C85" s="19">
        <v>10</v>
      </c>
      <c r="D85" s="19"/>
      <c r="E85" s="78">
        <f>SUM(E75:E84)</f>
        <v>5149607.1666666698</v>
      </c>
      <c r="F85" s="78">
        <f>SUM(F75:F84)</f>
        <v>0</v>
      </c>
      <c r="G85" s="78">
        <f t="shared" ref="G85:Q85" si="28">SUM(G75:G84)</f>
        <v>1210000</v>
      </c>
      <c r="H85" s="78">
        <f t="shared" si="28"/>
        <v>0</v>
      </c>
      <c r="I85" s="78">
        <f t="shared" si="28"/>
        <v>0</v>
      </c>
      <c r="J85" s="78">
        <f t="shared" si="28"/>
        <v>6359607.1666666698</v>
      </c>
      <c r="K85" s="78">
        <f t="shared" si="28"/>
        <v>0</v>
      </c>
      <c r="L85" s="78">
        <f t="shared" si="28"/>
        <v>635000</v>
      </c>
      <c r="M85" s="78">
        <f t="shared" si="28"/>
        <v>391300.26</v>
      </c>
      <c r="N85" s="78">
        <f>SUM(N75:N84)</f>
        <v>310000</v>
      </c>
      <c r="O85" s="78">
        <f>SUM(O75:O84)</f>
        <v>20021.016666666699</v>
      </c>
      <c r="P85" s="78">
        <f>SUM(P75:P84)</f>
        <v>924769.24138666806</v>
      </c>
      <c r="Q85" s="78">
        <f>SUM(Q75:Q84)</f>
        <v>411968.573333334</v>
      </c>
      <c r="R85" s="78">
        <f>SUM(R75:R84)</f>
        <v>2693059.0913866698</v>
      </c>
      <c r="S85" s="78">
        <v>3975366.4536799998</v>
      </c>
      <c r="T85" s="78">
        <f>SUM(T75:T84)</f>
        <v>3666548.07528</v>
      </c>
    </row>
    <row r="86" spans="1:20" ht="20.100000000000001" customHeight="1" x14ac:dyDescent="0.2">
      <c r="A86" s="8"/>
      <c r="B86" s="20"/>
      <c r="C86" s="19"/>
      <c r="D86" s="19"/>
      <c r="E86" s="122"/>
      <c r="F86" s="122"/>
      <c r="G86" s="186"/>
      <c r="H86" s="186"/>
      <c r="I86" s="122"/>
      <c r="J86" s="473"/>
      <c r="K86" s="122"/>
      <c r="L86" s="122"/>
      <c r="M86" s="122"/>
      <c r="N86" s="122"/>
      <c r="O86" s="122"/>
      <c r="P86" s="122"/>
      <c r="Q86" s="122"/>
      <c r="R86" s="474"/>
      <c r="S86" s="122"/>
      <c r="T86" s="473"/>
    </row>
    <row r="87" spans="1:20" ht="20.100000000000001" customHeight="1" x14ac:dyDescent="0.2">
      <c r="A87" s="8"/>
      <c r="B87" s="18" t="s">
        <v>169</v>
      </c>
      <c r="C87" s="19"/>
      <c r="D87" s="19"/>
      <c r="E87" s="122"/>
      <c r="F87" s="122"/>
      <c r="G87" s="186"/>
      <c r="H87" s="186"/>
      <c r="I87" s="122"/>
      <c r="J87" s="473"/>
      <c r="K87" s="122"/>
      <c r="L87" s="122"/>
      <c r="M87" s="122"/>
      <c r="N87" s="122"/>
      <c r="O87" s="122"/>
      <c r="P87" s="122"/>
      <c r="Q87" s="122"/>
      <c r="R87" s="474"/>
      <c r="S87" s="122"/>
      <c r="T87" s="473"/>
    </row>
    <row r="88" spans="1:20" ht="20.100000000000001" customHeight="1" x14ac:dyDescent="0.2">
      <c r="A88" s="8">
        <v>1</v>
      </c>
      <c r="B88" s="9" t="s">
        <v>170</v>
      </c>
      <c r="C88" s="2" t="s">
        <v>171</v>
      </c>
      <c r="D88" s="8" t="s">
        <v>115</v>
      </c>
      <c r="E88" s="70">
        <v>1747106.41666666</v>
      </c>
      <c r="F88" s="70"/>
      <c r="G88" s="186">
        <f>200000</f>
        <v>200000</v>
      </c>
      <c r="H88" s="186"/>
      <c r="I88" s="70">
        <v>0</v>
      </c>
      <c r="J88" s="466">
        <f t="shared" ref="J88:J95" si="29">SUM(E88:I88)</f>
        <v>1947106.41666666</v>
      </c>
      <c r="K88" s="70"/>
      <c r="L88" s="70">
        <v>350000</v>
      </c>
      <c r="M88" s="70">
        <f>0</f>
        <v>0</v>
      </c>
      <c r="N88" s="70"/>
      <c r="O88" s="70">
        <v>0</v>
      </c>
      <c r="P88" s="70">
        <v>325675.54410666501</v>
      </c>
      <c r="Q88" s="70">
        <v>139768.51333333299</v>
      </c>
      <c r="R88" s="467">
        <f>P88+O88+M88+N88+L88+K88+Q88</f>
        <v>815444.05743999803</v>
      </c>
      <c r="S88" s="70">
        <v>1131662.3592266601</v>
      </c>
      <c r="T88" s="466">
        <f t="shared" ref="T88:T95" si="30">J88-R88</f>
        <v>1131662.3592266601</v>
      </c>
    </row>
    <row r="89" spans="1:20" ht="20.100000000000001" customHeight="1" x14ac:dyDescent="0.2">
      <c r="A89" s="8">
        <v>2</v>
      </c>
      <c r="B89" s="9" t="s">
        <v>172</v>
      </c>
      <c r="C89" s="2" t="s">
        <v>173</v>
      </c>
      <c r="D89" s="8" t="s">
        <v>49</v>
      </c>
      <c r="E89" s="70">
        <v>722595.5</v>
      </c>
      <c r="F89" s="70"/>
      <c r="G89" s="186">
        <v>160000</v>
      </c>
      <c r="H89" s="186"/>
      <c r="I89" s="70"/>
      <c r="J89" s="466">
        <f t="shared" si="29"/>
        <v>882595.5</v>
      </c>
      <c r="K89" s="70"/>
      <c r="L89" s="70"/>
      <c r="M89" s="70"/>
      <c r="N89" s="70"/>
      <c r="O89" s="70"/>
      <c r="P89" s="70">
        <v>137025.93578666699</v>
      </c>
      <c r="Q89" s="70">
        <v>57807.64</v>
      </c>
      <c r="R89" s="467">
        <f t="shared" ref="R89:R95" si="31">P89+O89+M89+N89+L89+K89+Q89</f>
        <v>194833.575786667</v>
      </c>
      <c r="S89" s="70">
        <v>687761.92421333306</v>
      </c>
      <c r="T89" s="466">
        <f t="shared" si="30"/>
        <v>687761.92421333306</v>
      </c>
    </row>
    <row r="90" spans="1:20" ht="20.100000000000001" customHeight="1" x14ac:dyDescent="0.2">
      <c r="A90" s="8">
        <v>3</v>
      </c>
      <c r="B90" s="9" t="s">
        <v>174</v>
      </c>
      <c r="C90" s="2" t="s">
        <v>175</v>
      </c>
      <c r="D90" s="13" t="s">
        <v>176</v>
      </c>
      <c r="E90" s="70">
        <v>573911.08333333395</v>
      </c>
      <c r="F90" s="70"/>
      <c r="G90" s="186">
        <f>140000</f>
        <v>140000</v>
      </c>
      <c r="H90" s="186"/>
      <c r="I90" s="70">
        <v>0</v>
      </c>
      <c r="J90" s="466">
        <f t="shared" si="29"/>
        <v>713911.08333333395</v>
      </c>
      <c r="K90" s="70"/>
      <c r="L90" s="70">
        <v>20000</v>
      </c>
      <c r="M90" s="70">
        <v>210785.51</v>
      </c>
      <c r="N90" s="70"/>
      <c r="O90" s="70">
        <v>8926.6666666666806</v>
      </c>
      <c r="P90" s="70">
        <v>105208.40042666699</v>
      </c>
      <c r="Q90" s="70">
        <v>45912.886666666702</v>
      </c>
      <c r="R90" s="467">
        <f t="shared" si="31"/>
        <v>390833.46376000001</v>
      </c>
      <c r="S90" s="70">
        <v>323077.619573334</v>
      </c>
      <c r="T90" s="466">
        <f t="shared" si="30"/>
        <v>323077.619573334</v>
      </c>
    </row>
    <row r="91" spans="1:20" ht="20.100000000000001" customHeight="1" x14ac:dyDescent="0.2">
      <c r="A91" s="8">
        <v>3</v>
      </c>
      <c r="B91" s="9" t="s">
        <v>177</v>
      </c>
      <c r="C91" s="10" t="s">
        <v>178</v>
      </c>
      <c r="D91" s="13" t="s">
        <v>159</v>
      </c>
      <c r="E91" s="70">
        <v>482846.58333333401</v>
      </c>
      <c r="F91" s="70">
        <f>50000*7.57</f>
        <v>378500</v>
      </c>
      <c r="G91" s="186">
        <v>120000</v>
      </c>
      <c r="H91" s="186"/>
      <c r="I91" s="70"/>
      <c r="J91" s="466">
        <f t="shared" si="29"/>
        <v>981346.58333333395</v>
      </c>
      <c r="K91" s="70"/>
      <c r="L91" s="70"/>
      <c r="M91" s="70"/>
      <c r="N91" s="70"/>
      <c r="O91" s="70">
        <v>7574.6854166666699</v>
      </c>
      <c r="P91" s="70">
        <v>158214.34754666701</v>
      </c>
      <c r="Q91" s="70">
        <v>38627.726666666698</v>
      </c>
      <c r="R91" s="467">
        <f t="shared" si="31"/>
        <v>204416.75962999999</v>
      </c>
      <c r="S91" s="70">
        <v>430701.82370333403</v>
      </c>
      <c r="T91" s="466">
        <f t="shared" si="30"/>
        <v>776929.82370333304</v>
      </c>
    </row>
    <row r="92" spans="1:20" ht="20.100000000000001" customHeight="1" x14ac:dyDescent="0.2">
      <c r="A92" s="8">
        <v>4</v>
      </c>
      <c r="B92" s="9" t="s">
        <v>179</v>
      </c>
      <c r="C92" s="2" t="s">
        <v>180</v>
      </c>
      <c r="D92" s="13" t="s">
        <v>159</v>
      </c>
      <c r="E92" s="70">
        <v>482846.58333333302</v>
      </c>
      <c r="F92" s="70"/>
      <c r="G92" s="186">
        <f>120000</f>
        <v>120000</v>
      </c>
      <c r="H92" s="186"/>
      <c r="I92" s="70">
        <v>0</v>
      </c>
      <c r="J92" s="467">
        <f t="shared" si="29"/>
        <v>602846.58333333302</v>
      </c>
      <c r="K92" s="70"/>
      <c r="L92" s="70">
        <v>100000</v>
      </c>
      <c r="M92" s="70">
        <v>50000</v>
      </c>
      <c r="N92" s="70">
        <v>102000</v>
      </c>
      <c r="O92" s="70"/>
      <c r="P92" s="70">
        <v>86996.687146666707</v>
      </c>
      <c r="Q92" s="70">
        <v>38627.726666666698</v>
      </c>
      <c r="R92" s="467">
        <f t="shared" si="31"/>
        <v>377624.41381333303</v>
      </c>
      <c r="S92" s="70">
        <v>375222.16952</v>
      </c>
      <c r="T92" s="467">
        <f t="shared" si="30"/>
        <v>225222.16952</v>
      </c>
    </row>
    <row r="93" spans="1:20" ht="20.100000000000001" customHeight="1" x14ac:dyDescent="0.2">
      <c r="A93" s="8">
        <v>5</v>
      </c>
      <c r="B93" s="9" t="s">
        <v>181</v>
      </c>
      <c r="C93" s="2" t="s">
        <v>182</v>
      </c>
      <c r="D93" s="8" t="s">
        <v>68</v>
      </c>
      <c r="E93" s="70">
        <v>454993.58333333302</v>
      </c>
      <c r="F93" s="70"/>
      <c r="G93" s="186">
        <f>110000</f>
        <v>110000</v>
      </c>
      <c r="H93" s="186"/>
      <c r="I93" s="70"/>
      <c r="J93" s="466">
        <f t="shared" si="29"/>
        <v>564993.58333333302</v>
      </c>
      <c r="K93" s="70"/>
      <c r="L93" s="70">
        <f>50000</f>
        <v>50000</v>
      </c>
      <c r="M93" s="70">
        <f>50000</f>
        <v>50000</v>
      </c>
      <c r="N93" s="70"/>
      <c r="O93" s="70"/>
      <c r="P93" s="70">
        <v>80156.733226666605</v>
      </c>
      <c r="Q93" s="70">
        <v>36399.486666666598</v>
      </c>
      <c r="R93" s="467">
        <f t="shared" si="31"/>
        <v>216556.21989333301</v>
      </c>
      <c r="S93" s="70">
        <v>348437.36343999999</v>
      </c>
      <c r="T93" s="466">
        <f t="shared" si="30"/>
        <v>348437.36343999999</v>
      </c>
    </row>
    <row r="94" spans="1:20" ht="20.100000000000001" customHeight="1" x14ac:dyDescent="0.2">
      <c r="A94" s="8">
        <v>6</v>
      </c>
      <c r="B94" s="9" t="s">
        <v>183</v>
      </c>
      <c r="C94" s="2" t="s">
        <v>184</v>
      </c>
      <c r="D94" s="8" t="s">
        <v>87</v>
      </c>
      <c r="E94" s="70">
        <v>347016.16666666599</v>
      </c>
      <c r="F94" s="70"/>
      <c r="G94" s="186">
        <v>100000</v>
      </c>
      <c r="H94" s="186"/>
      <c r="I94" s="70"/>
      <c r="J94" s="466">
        <f t="shared" si="29"/>
        <v>447016.16666666599</v>
      </c>
      <c r="K94" s="70"/>
      <c r="L94" s="70"/>
      <c r="M94" s="70"/>
      <c r="N94" s="70"/>
      <c r="O94" s="70">
        <v>5566.8645833333203</v>
      </c>
      <c r="P94" s="70">
        <v>59163.602346666499</v>
      </c>
      <c r="Q94" s="70">
        <v>27761.293333333299</v>
      </c>
      <c r="R94" s="467">
        <f t="shared" si="31"/>
        <v>92491.760263333097</v>
      </c>
      <c r="S94" s="70">
        <v>354524.40640333301</v>
      </c>
      <c r="T94" s="466">
        <f t="shared" si="30"/>
        <v>354524.40640333301</v>
      </c>
    </row>
    <row r="95" spans="1:20" ht="20.100000000000001" customHeight="1" x14ac:dyDescent="0.2">
      <c r="A95" s="8">
        <v>7</v>
      </c>
      <c r="B95" s="9" t="s">
        <v>185</v>
      </c>
      <c r="C95" s="2" t="s">
        <v>186</v>
      </c>
      <c r="D95" s="8" t="s">
        <v>102</v>
      </c>
      <c r="E95" s="70">
        <v>301910.75</v>
      </c>
      <c r="F95" s="70"/>
      <c r="G95" s="186">
        <v>100000</v>
      </c>
      <c r="H95" s="186">
        <v>0</v>
      </c>
      <c r="I95" s="70"/>
      <c r="J95" s="466">
        <f t="shared" si="29"/>
        <v>401910.75</v>
      </c>
      <c r="K95" s="70"/>
      <c r="L95" s="70">
        <v>80000</v>
      </c>
      <c r="M95" s="70">
        <v>0</v>
      </c>
      <c r="N95" s="70"/>
      <c r="O95" s="70">
        <v>0</v>
      </c>
      <c r="P95" s="70">
        <v>51196.181546666703</v>
      </c>
      <c r="Q95" s="70">
        <v>24152.86</v>
      </c>
      <c r="R95" s="467">
        <f t="shared" si="31"/>
        <v>155349.04154666699</v>
      </c>
      <c r="S95" s="70">
        <v>246561.70845333301</v>
      </c>
      <c r="T95" s="466">
        <f t="shared" si="30"/>
        <v>246561.70845333301</v>
      </c>
    </row>
    <row r="96" spans="1:20" ht="20.100000000000001" customHeight="1" x14ac:dyDescent="0.5">
      <c r="A96" s="8"/>
      <c r="B96" s="18" t="s">
        <v>111</v>
      </c>
      <c r="C96" s="19">
        <v>7</v>
      </c>
      <c r="D96" s="19"/>
      <c r="E96" s="78">
        <f>SUM(E88:E95)</f>
        <v>5113226.6666666605</v>
      </c>
      <c r="F96" s="78">
        <f>SUM(F88:F95)</f>
        <v>378500</v>
      </c>
      <c r="G96" s="78">
        <f t="shared" ref="G96:S96" si="32">SUM(G88:G95)</f>
        <v>1050000</v>
      </c>
      <c r="H96" s="78">
        <f t="shared" si="32"/>
        <v>0</v>
      </c>
      <c r="I96" s="78">
        <f t="shared" si="32"/>
        <v>0</v>
      </c>
      <c r="J96" s="78">
        <f t="shared" si="32"/>
        <v>6541726.6666666605</v>
      </c>
      <c r="K96" s="78">
        <f t="shared" si="32"/>
        <v>0</v>
      </c>
      <c r="L96" s="78">
        <f t="shared" si="32"/>
        <v>600000</v>
      </c>
      <c r="M96" s="78">
        <f t="shared" si="32"/>
        <v>310785.51</v>
      </c>
      <c r="N96" s="78">
        <f>SUM(N88:N95)</f>
        <v>102000</v>
      </c>
      <c r="O96" s="78">
        <f>SUM(O88:O95)</f>
        <v>22068.2166666667</v>
      </c>
      <c r="P96" s="78">
        <f>SUM(P88:P95)</f>
        <v>1003637.43213333</v>
      </c>
      <c r="Q96" s="78">
        <f>SUM(Q88:Q95)</f>
        <v>409058.13333333301</v>
      </c>
      <c r="R96" s="78">
        <f>SUM(R88:R95)</f>
        <v>2447549.2921333299</v>
      </c>
      <c r="S96" s="78">
        <v>3467247.5508299898</v>
      </c>
      <c r="T96" s="78">
        <f>SUM(T88:T95)</f>
        <v>4094177.3745333301</v>
      </c>
    </row>
    <row r="97" spans="1:20" ht="20.100000000000001" customHeight="1" x14ac:dyDescent="0.2">
      <c r="A97" s="8"/>
      <c r="B97" s="18"/>
      <c r="C97" s="19"/>
      <c r="D97" s="19"/>
      <c r="E97" s="122"/>
      <c r="F97" s="122"/>
      <c r="G97" s="186"/>
      <c r="H97" s="186"/>
      <c r="I97" s="122"/>
      <c r="J97" s="473"/>
      <c r="K97" s="122"/>
      <c r="L97" s="122"/>
      <c r="M97" s="122"/>
      <c r="N97" s="122"/>
      <c r="O97" s="122"/>
      <c r="P97" s="122"/>
      <c r="Q97" s="122"/>
      <c r="R97" s="467"/>
      <c r="S97" s="70"/>
      <c r="T97" s="466"/>
    </row>
    <row r="98" spans="1:20" ht="20.100000000000001" customHeight="1" x14ac:dyDescent="0.2">
      <c r="A98" s="8"/>
      <c r="B98" s="18" t="s">
        <v>187</v>
      </c>
      <c r="C98" s="23"/>
      <c r="D98" s="19"/>
      <c r="E98" s="122"/>
      <c r="F98" s="122"/>
      <c r="G98" s="186"/>
      <c r="H98" s="186"/>
      <c r="I98" s="122"/>
      <c r="J98" s="473"/>
      <c r="K98" s="122"/>
      <c r="L98" s="122"/>
      <c r="M98" s="122"/>
      <c r="N98" s="122"/>
      <c r="O98" s="122"/>
      <c r="P98" s="122"/>
      <c r="Q98" s="122"/>
      <c r="R98" s="467"/>
      <c r="S98" s="70"/>
      <c r="T98" s="466"/>
    </row>
    <row r="99" spans="1:20" ht="20.100000000000001" customHeight="1" x14ac:dyDescent="0.2">
      <c r="A99" s="8">
        <v>1</v>
      </c>
      <c r="B99" s="9" t="s">
        <v>188</v>
      </c>
      <c r="C99" s="2" t="s">
        <v>189</v>
      </c>
      <c r="D99" s="8" t="s">
        <v>128</v>
      </c>
      <c r="E99" s="70">
        <v>1647612</v>
      </c>
      <c r="F99" s="70"/>
      <c r="G99" s="186">
        <f>200000</f>
        <v>200000</v>
      </c>
      <c r="H99" s="186"/>
      <c r="I99" s="70"/>
      <c r="J99" s="466">
        <f>SUM(E99:I99)</f>
        <v>1847612</v>
      </c>
      <c r="K99" s="70"/>
      <c r="L99" s="70">
        <f>30000</f>
        <v>30000</v>
      </c>
      <c r="M99" s="70">
        <v>98750</v>
      </c>
      <c r="N99" s="70"/>
      <c r="O99" s="70">
        <v>25644.208333333299</v>
      </c>
      <c r="P99" s="70">
        <v>303177.16234666703</v>
      </c>
      <c r="Q99" s="70">
        <v>131808.95999999999</v>
      </c>
      <c r="R99" s="467">
        <f>P99+O99+M99+N99+L99+K99+Q99</f>
        <v>589380.33068000001</v>
      </c>
      <c r="S99" s="70">
        <v>1258231.6693200001</v>
      </c>
      <c r="T99" s="466">
        <f>J99-R99</f>
        <v>1258231.6693200001</v>
      </c>
    </row>
    <row r="100" spans="1:20" ht="20.100000000000001" customHeight="1" x14ac:dyDescent="0.2">
      <c r="A100" s="8">
        <v>2</v>
      </c>
      <c r="B100" s="9" t="s">
        <v>190</v>
      </c>
      <c r="C100" s="2" t="s">
        <v>191</v>
      </c>
      <c r="D100" s="8" t="s">
        <v>192</v>
      </c>
      <c r="E100" s="70">
        <v>852711.08333333302</v>
      </c>
      <c r="F100" s="70"/>
      <c r="G100" s="186">
        <f>180000</f>
        <v>180000</v>
      </c>
      <c r="H100" s="186"/>
      <c r="I100" s="70">
        <f>100000+100000</f>
        <v>200000</v>
      </c>
      <c r="J100" s="466">
        <f>SUM(E100:I100)</f>
        <v>1232711.08333333</v>
      </c>
      <c r="K100" s="70"/>
      <c r="L100" s="70"/>
      <c r="M100" s="70"/>
      <c r="N100" s="70"/>
      <c r="O100" s="70"/>
      <c r="P100" s="70">
        <v>202249.55242666599</v>
      </c>
      <c r="Q100" s="70">
        <v>68216.8866666666</v>
      </c>
      <c r="R100" s="467">
        <f t="shared" ref="R100:R109" si="33">P100+O100+M100+N100+L100+K100+Q100</f>
        <v>270466.43909333303</v>
      </c>
      <c r="S100" s="70">
        <v>962244.64423999703</v>
      </c>
      <c r="T100" s="466">
        <f>J100-R100</f>
        <v>962244.64423999703</v>
      </c>
    </row>
    <row r="101" spans="1:20" ht="20.100000000000001" customHeight="1" x14ac:dyDescent="0.2">
      <c r="A101" s="8">
        <v>3</v>
      </c>
      <c r="B101" s="9" t="s">
        <v>193</v>
      </c>
      <c r="C101" s="2" t="s">
        <v>130</v>
      </c>
      <c r="D101" s="8" t="s">
        <v>38</v>
      </c>
      <c r="E101" s="70">
        <v>722595.5</v>
      </c>
      <c r="F101" s="70"/>
      <c r="G101" s="186">
        <v>160000</v>
      </c>
      <c r="H101" s="186"/>
      <c r="I101" s="70"/>
      <c r="J101" s="466">
        <f t="shared" ref="J101:J109" si="34">SUM(E101:I101)</f>
        <v>882595.5</v>
      </c>
      <c r="K101" s="70"/>
      <c r="L101" s="70">
        <f>50000</f>
        <v>50000</v>
      </c>
      <c r="M101" s="186"/>
      <c r="N101" s="186"/>
      <c r="O101" s="70"/>
      <c r="P101" s="70">
        <v>137025.93578666699</v>
      </c>
      <c r="Q101" s="70">
        <v>57807.64</v>
      </c>
      <c r="R101" s="467">
        <f t="shared" si="33"/>
        <v>244833.575786667</v>
      </c>
      <c r="S101" s="70">
        <v>637761.92421333306</v>
      </c>
      <c r="T101" s="466">
        <f t="shared" ref="T101:T109" si="35">J101-R101</f>
        <v>637761.92421333306</v>
      </c>
    </row>
    <row r="102" spans="1:20" ht="21.6" customHeight="1" x14ac:dyDescent="0.2">
      <c r="A102" s="8">
        <v>4</v>
      </c>
      <c r="B102" s="9" t="s">
        <v>194</v>
      </c>
      <c r="C102" s="2" t="s">
        <v>156</v>
      </c>
      <c r="D102" s="13" t="s">
        <v>46</v>
      </c>
      <c r="E102" s="70">
        <v>558165.25</v>
      </c>
      <c r="F102" s="70"/>
      <c r="G102" s="186">
        <f>140000</f>
        <v>140000</v>
      </c>
      <c r="H102" s="186"/>
      <c r="I102" s="70">
        <v>0</v>
      </c>
      <c r="J102" s="466">
        <f t="shared" si="34"/>
        <v>698165.25</v>
      </c>
      <c r="K102" s="70"/>
      <c r="L102" s="70">
        <f>50000</f>
        <v>50000</v>
      </c>
      <c r="M102" s="70">
        <f>77638.89</f>
        <v>77638.89</v>
      </c>
      <c r="N102" s="70"/>
      <c r="O102" s="70"/>
      <c r="P102" s="70">
        <v>104140.976426667</v>
      </c>
      <c r="Q102" s="70">
        <v>44653.22</v>
      </c>
      <c r="R102" s="467">
        <f t="shared" si="33"/>
        <v>276433.086426667</v>
      </c>
      <c r="S102" s="70">
        <v>421732.163573333</v>
      </c>
      <c r="T102" s="466">
        <f t="shared" si="35"/>
        <v>421732.163573333</v>
      </c>
    </row>
    <row r="103" spans="1:20" ht="21.6" customHeight="1" x14ac:dyDescent="0.2">
      <c r="A103" s="8">
        <v>5</v>
      </c>
      <c r="B103" s="9" t="s">
        <v>195</v>
      </c>
      <c r="C103" s="2" t="s">
        <v>156</v>
      </c>
      <c r="D103" s="13" t="s">
        <v>46</v>
      </c>
      <c r="E103" s="70">
        <v>558166.25</v>
      </c>
      <c r="F103" s="70"/>
      <c r="G103" s="186">
        <f>140000</f>
        <v>140000</v>
      </c>
      <c r="H103" s="186"/>
      <c r="I103" s="70">
        <v>0</v>
      </c>
      <c r="J103" s="466">
        <f t="shared" si="34"/>
        <v>698166.25</v>
      </c>
      <c r="K103" s="70"/>
      <c r="L103" s="70">
        <v>0</v>
      </c>
      <c r="M103" s="70">
        <v>0</v>
      </c>
      <c r="N103" s="70"/>
      <c r="O103" s="70">
        <v>8692.9229166666701</v>
      </c>
      <c r="P103" s="70">
        <v>102472.11186666699</v>
      </c>
      <c r="Q103" s="70">
        <v>44653.3</v>
      </c>
      <c r="R103" s="467">
        <f t="shared" si="33"/>
        <v>155818.33478333399</v>
      </c>
      <c r="S103" s="70">
        <v>542347.91521666595</v>
      </c>
      <c r="T103" s="466">
        <f t="shared" si="35"/>
        <v>542347.91521666595</v>
      </c>
    </row>
    <row r="104" spans="1:20" ht="21.6" customHeight="1" x14ac:dyDescent="0.2">
      <c r="A104" s="8">
        <v>6</v>
      </c>
      <c r="B104" s="9" t="s">
        <v>196</v>
      </c>
      <c r="C104" s="10" t="s">
        <v>156</v>
      </c>
      <c r="D104" s="13" t="s">
        <v>197</v>
      </c>
      <c r="E104" s="70">
        <v>542419.5</v>
      </c>
      <c r="F104" s="70"/>
      <c r="G104" s="186">
        <f>140000</f>
        <v>140000</v>
      </c>
      <c r="H104" s="186"/>
      <c r="I104" s="70">
        <v>0</v>
      </c>
      <c r="J104" s="466">
        <f t="shared" si="34"/>
        <v>682419.5</v>
      </c>
      <c r="K104" s="70"/>
      <c r="L104" s="70">
        <f>100000-100000</f>
        <v>0</v>
      </c>
      <c r="M104" s="70"/>
      <c r="N104" s="70"/>
      <c r="O104" s="70"/>
      <c r="P104" s="70">
        <v>101359.647146667</v>
      </c>
      <c r="Q104" s="70">
        <v>43393.56</v>
      </c>
      <c r="R104" s="467">
        <f t="shared" si="33"/>
        <v>144753.207146667</v>
      </c>
      <c r="S104" s="70">
        <v>537666.29285333306</v>
      </c>
      <c r="T104" s="466">
        <f t="shared" si="35"/>
        <v>537666.29285333306</v>
      </c>
    </row>
    <row r="105" spans="1:20" ht="21.6" customHeight="1" x14ac:dyDescent="0.2">
      <c r="A105" s="8">
        <v>7</v>
      </c>
      <c r="B105" s="9" t="s">
        <v>198</v>
      </c>
      <c r="C105" s="15" t="s">
        <v>70</v>
      </c>
      <c r="D105" s="13" t="s">
        <v>162</v>
      </c>
      <c r="E105" s="70">
        <v>468828.16666666698</v>
      </c>
      <c r="F105" s="70"/>
      <c r="G105" s="186">
        <f t="shared" ref="G105" si="36">110000</f>
        <v>110000</v>
      </c>
      <c r="H105" s="186"/>
      <c r="I105" s="70">
        <v>0</v>
      </c>
      <c r="J105" s="466">
        <f t="shared" si="34"/>
        <v>578828.16666666698</v>
      </c>
      <c r="K105" s="70"/>
      <c r="L105" s="70">
        <f>20000</f>
        <v>20000</v>
      </c>
      <c r="M105" s="70">
        <v>43750</v>
      </c>
      <c r="N105" s="70">
        <v>22000</v>
      </c>
      <c r="O105" s="70"/>
      <c r="P105" s="70">
        <v>82600.474026666707</v>
      </c>
      <c r="Q105" s="70">
        <v>37506.253333333399</v>
      </c>
      <c r="R105" s="467">
        <f t="shared" si="33"/>
        <v>205856.72735999999</v>
      </c>
      <c r="S105" s="70">
        <v>394971.43930666702</v>
      </c>
      <c r="T105" s="466">
        <f t="shared" si="35"/>
        <v>372971.43930666702</v>
      </c>
    </row>
    <row r="106" spans="1:20" ht="21.6" customHeight="1" x14ac:dyDescent="0.2">
      <c r="A106" s="8">
        <v>8</v>
      </c>
      <c r="B106" s="9" t="s">
        <v>199</v>
      </c>
      <c r="C106" s="15" t="s">
        <v>158</v>
      </c>
      <c r="D106" s="13" t="s">
        <v>200</v>
      </c>
      <c r="E106" s="70">
        <v>497472.75</v>
      </c>
      <c r="F106" s="70"/>
      <c r="G106" s="186">
        <v>120000</v>
      </c>
      <c r="H106" s="186"/>
      <c r="I106" s="70">
        <v>0</v>
      </c>
      <c r="J106" s="466">
        <f t="shared" si="34"/>
        <v>617472.75</v>
      </c>
      <c r="K106" s="70"/>
      <c r="L106" s="70">
        <v>0</v>
      </c>
      <c r="M106" s="70"/>
      <c r="N106" s="70">
        <v>32000</v>
      </c>
      <c r="O106" s="70">
        <v>7791.8312500000002</v>
      </c>
      <c r="P106" s="70">
        <v>88084.221626666695</v>
      </c>
      <c r="Q106" s="70">
        <v>39797.82</v>
      </c>
      <c r="R106" s="467">
        <f t="shared" si="33"/>
        <v>167673.87287666701</v>
      </c>
      <c r="S106" s="70">
        <v>481798.87712333299</v>
      </c>
      <c r="T106" s="466">
        <f t="shared" si="35"/>
        <v>449798.87712333299</v>
      </c>
    </row>
    <row r="107" spans="1:20" ht="20.100000000000001" customHeight="1" x14ac:dyDescent="0.2">
      <c r="A107" s="8">
        <v>9</v>
      </c>
      <c r="B107" s="16" t="s">
        <v>201</v>
      </c>
      <c r="C107" s="2" t="s">
        <v>136</v>
      </c>
      <c r="D107" s="13" t="s">
        <v>137</v>
      </c>
      <c r="E107" s="186">
        <v>441159</v>
      </c>
      <c r="F107" s="70"/>
      <c r="G107" s="186">
        <f>110000</f>
        <v>110000</v>
      </c>
      <c r="H107" s="186"/>
      <c r="I107" s="70"/>
      <c r="J107" s="467">
        <f t="shared" si="34"/>
        <v>551159</v>
      </c>
      <c r="K107" s="70"/>
      <c r="L107" s="70">
        <v>40000</v>
      </c>
      <c r="M107" s="70">
        <v>60000</v>
      </c>
      <c r="N107" s="70"/>
      <c r="O107" s="70"/>
      <c r="P107" s="70">
        <v>77712.992426666693</v>
      </c>
      <c r="Q107" s="70">
        <v>35292.720000000001</v>
      </c>
      <c r="R107" s="467">
        <f t="shared" si="33"/>
        <v>213005.71242666701</v>
      </c>
      <c r="S107" s="70">
        <v>338153.28757333301</v>
      </c>
      <c r="T107" s="467">
        <f t="shared" si="35"/>
        <v>338153.28757333301</v>
      </c>
    </row>
    <row r="108" spans="1:20" ht="21.6" customHeight="1" x14ac:dyDescent="0.2">
      <c r="A108" s="8">
        <v>10</v>
      </c>
      <c r="B108" s="9" t="s">
        <v>202</v>
      </c>
      <c r="C108" s="2" t="s">
        <v>203</v>
      </c>
      <c r="D108" s="8" t="s">
        <v>119</v>
      </c>
      <c r="E108" s="186">
        <v>390135.83333333401</v>
      </c>
      <c r="F108" s="70"/>
      <c r="G108" s="186">
        <v>100000</v>
      </c>
      <c r="H108" s="186"/>
      <c r="I108" s="70"/>
      <c r="J108" s="466">
        <f t="shared" si="34"/>
        <v>490135.83333333401</v>
      </c>
      <c r="K108" s="70"/>
      <c r="L108" s="70"/>
      <c r="M108" s="70"/>
      <c r="N108" s="70"/>
      <c r="O108" s="70"/>
      <c r="P108" s="70">
        <v>66780.260266666795</v>
      </c>
      <c r="Q108" s="70">
        <v>31210.866666666701</v>
      </c>
      <c r="R108" s="467">
        <f t="shared" si="33"/>
        <v>97991.126933333493</v>
      </c>
      <c r="S108" s="70">
        <v>392144.70640000002</v>
      </c>
      <c r="T108" s="466">
        <f t="shared" si="35"/>
        <v>392144.70640000002</v>
      </c>
    </row>
    <row r="109" spans="1:20" ht="21.6" customHeight="1" x14ac:dyDescent="0.2">
      <c r="A109" s="8">
        <v>11</v>
      </c>
      <c r="B109" s="9" t="s">
        <v>204</v>
      </c>
      <c r="C109" s="15" t="s">
        <v>205</v>
      </c>
      <c r="D109" s="13" t="s">
        <v>206</v>
      </c>
      <c r="E109" s="186">
        <v>308920.66666666698</v>
      </c>
      <c r="F109" s="70"/>
      <c r="G109" s="186">
        <f t="shared" ref="G109" si="37">100000</f>
        <v>100000</v>
      </c>
      <c r="H109" s="186"/>
      <c r="I109" s="70"/>
      <c r="J109" s="466">
        <f t="shared" si="34"/>
        <v>408920.66666666698</v>
      </c>
      <c r="K109" s="70"/>
      <c r="L109" s="70">
        <v>50000</v>
      </c>
      <c r="M109" s="70"/>
      <c r="N109" s="70"/>
      <c r="O109" s="70">
        <v>5013.7354166666801</v>
      </c>
      <c r="P109" s="70">
        <v>52434.4132266667</v>
      </c>
      <c r="Q109" s="70">
        <v>24713.653333333401</v>
      </c>
      <c r="R109" s="467">
        <f t="shared" si="33"/>
        <v>132161.80197666699</v>
      </c>
      <c r="S109" s="70">
        <v>276758.86469000002</v>
      </c>
      <c r="T109" s="466">
        <f t="shared" si="35"/>
        <v>276758.86469000002</v>
      </c>
    </row>
    <row r="110" spans="1:20" ht="20.100000000000001" customHeight="1" x14ac:dyDescent="0.5">
      <c r="A110" s="8"/>
      <c r="B110" s="18" t="s">
        <v>111</v>
      </c>
      <c r="C110" s="19">
        <v>11</v>
      </c>
      <c r="D110" s="19"/>
      <c r="E110" s="78">
        <f>SUM(E99:E109)</f>
        <v>6988186</v>
      </c>
      <c r="F110" s="78">
        <f>SUM(F99:F109)</f>
        <v>0</v>
      </c>
      <c r="G110" s="78">
        <f t="shared" ref="G110:S110" si="38">SUM(G99:G109)</f>
        <v>1500000</v>
      </c>
      <c r="H110" s="78">
        <f t="shared" si="38"/>
        <v>0</v>
      </c>
      <c r="I110" s="78">
        <f t="shared" si="38"/>
        <v>200000</v>
      </c>
      <c r="J110" s="78">
        <f t="shared" si="38"/>
        <v>8688186</v>
      </c>
      <c r="K110" s="78">
        <f t="shared" si="38"/>
        <v>0</v>
      </c>
      <c r="L110" s="78">
        <f t="shared" si="38"/>
        <v>240000</v>
      </c>
      <c r="M110" s="78">
        <f t="shared" si="38"/>
        <v>280138.89</v>
      </c>
      <c r="N110" s="78">
        <f>SUM(N99:N109)</f>
        <v>54000</v>
      </c>
      <c r="O110" s="78">
        <f>SUM(O99:O109)</f>
        <v>47142.697916666599</v>
      </c>
      <c r="P110" s="78">
        <f>SUM(P99:P109)</f>
        <v>1318037.7475733301</v>
      </c>
      <c r="Q110" s="78">
        <f>SUM(Q99:Q109)</f>
        <v>559054.88</v>
      </c>
      <c r="R110" s="78">
        <f>SUM(R99:R109)</f>
        <v>2498374.2154899999</v>
      </c>
      <c r="S110" s="78">
        <v>6243811.7845099997</v>
      </c>
      <c r="T110" s="78">
        <f>SUM(T99:T109)</f>
        <v>6189811.7845099997</v>
      </c>
    </row>
    <row r="111" spans="1:20" ht="20.100000000000001" customHeight="1" x14ac:dyDescent="0.2">
      <c r="A111" s="8"/>
      <c r="B111" s="20"/>
      <c r="C111" s="19"/>
      <c r="D111" s="19"/>
      <c r="E111" s="122"/>
      <c r="F111" s="122"/>
      <c r="G111" s="186"/>
      <c r="H111" s="186"/>
      <c r="I111" s="122"/>
      <c r="J111" s="473"/>
      <c r="K111" s="122"/>
      <c r="L111" s="122"/>
      <c r="M111" s="122"/>
      <c r="N111" s="122"/>
      <c r="O111" s="122"/>
      <c r="P111" s="122"/>
      <c r="Q111" s="122"/>
      <c r="R111" s="474"/>
      <c r="S111" s="122"/>
      <c r="T111" s="473"/>
    </row>
    <row r="112" spans="1:20" ht="20.100000000000001" customHeight="1" x14ac:dyDescent="0.2">
      <c r="A112" s="8"/>
      <c r="B112" s="18" t="s">
        <v>207</v>
      </c>
      <c r="C112" s="19"/>
      <c r="D112" s="19"/>
      <c r="E112" s="122"/>
      <c r="F112" s="122"/>
      <c r="G112" s="186"/>
      <c r="H112" s="186"/>
      <c r="I112" s="122"/>
      <c r="J112" s="473"/>
      <c r="K112" s="122"/>
      <c r="L112" s="122"/>
      <c r="M112" s="122"/>
      <c r="N112" s="122"/>
      <c r="O112" s="122"/>
      <c r="P112" s="122"/>
      <c r="Q112" s="122"/>
      <c r="R112" s="474"/>
      <c r="S112" s="122"/>
      <c r="T112" s="473"/>
    </row>
    <row r="113" spans="1:20" ht="20.100000000000001" customHeight="1" x14ac:dyDescent="0.2">
      <c r="A113" s="8">
        <v>1</v>
      </c>
      <c r="B113" s="12" t="s">
        <v>208</v>
      </c>
      <c r="C113" s="2" t="s">
        <v>209</v>
      </c>
      <c r="D113" s="14" t="s">
        <v>210</v>
      </c>
      <c r="E113" s="70">
        <v>1697359.33333333</v>
      </c>
      <c r="F113" s="70"/>
      <c r="G113" s="186"/>
      <c r="H113" s="186">
        <f>100000</f>
        <v>100000</v>
      </c>
      <c r="I113" s="70"/>
      <c r="J113" s="466">
        <f>E113+F113+G113+H113+I113</f>
        <v>1797359.33333333</v>
      </c>
      <c r="K113" s="70"/>
      <c r="L113" s="70">
        <v>60000</v>
      </c>
      <c r="M113" s="70">
        <v>440000</v>
      </c>
      <c r="N113" s="70"/>
      <c r="O113" s="70">
        <v>26406.820833333299</v>
      </c>
      <c r="P113" s="70">
        <v>292618.10970666597</v>
      </c>
      <c r="Q113" s="70">
        <v>135788.746666666</v>
      </c>
      <c r="R113" s="467">
        <f>P113+O113+M113+N113+L113+K113+Q113</f>
        <v>954813.67720666504</v>
      </c>
      <c r="S113" s="70">
        <v>842545.65612666495</v>
      </c>
      <c r="T113" s="466">
        <f t="shared" ref="T113:T118" si="39">J113-R113</f>
        <v>842545.65612666495</v>
      </c>
    </row>
    <row r="114" spans="1:20" ht="20.100000000000001" customHeight="1" x14ac:dyDescent="0.2">
      <c r="A114" s="8">
        <v>2</v>
      </c>
      <c r="B114" s="9" t="s">
        <v>211</v>
      </c>
      <c r="C114" s="2" t="s">
        <v>212</v>
      </c>
      <c r="D114" s="13" t="s">
        <v>176</v>
      </c>
      <c r="E114" s="70">
        <v>573911.08333333395</v>
      </c>
      <c r="F114" s="70"/>
      <c r="G114" s="186"/>
      <c r="H114" s="186">
        <v>70000</v>
      </c>
      <c r="I114" s="70">
        <v>0</v>
      </c>
      <c r="J114" s="466">
        <f>E114+F114+G114+H114+I114</f>
        <v>643911.08333333395</v>
      </c>
      <c r="K114" s="70"/>
      <c r="L114" s="70">
        <f>10000</f>
        <v>10000</v>
      </c>
      <c r="M114" s="70">
        <v>0</v>
      </c>
      <c r="N114" s="70">
        <v>102000</v>
      </c>
      <c r="O114" s="70"/>
      <c r="P114" s="70">
        <v>93482.320426666804</v>
      </c>
      <c r="Q114" s="70">
        <v>45912.886666666702</v>
      </c>
      <c r="R114" s="467">
        <f>P114+O114+M114+N114+L114+K114+Q114</f>
        <v>251395.207093334</v>
      </c>
      <c r="S114" s="70">
        <v>494515.87624000001</v>
      </c>
      <c r="T114" s="466">
        <f t="shared" si="39"/>
        <v>392515.87624000001</v>
      </c>
    </row>
    <row r="115" spans="1:20" ht="20.100000000000001" customHeight="1" x14ac:dyDescent="0.2">
      <c r="A115" s="8">
        <v>3</v>
      </c>
      <c r="B115" s="9" t="s">
        <v>213</v>
      </c>
      <c r="C115" s="10" t="s">
        <v>214</v>
      </c>
      <c r="D115" s="13" t="s">
        <v>200</v>
      </c>
      <c r="E115" s="70">
        <v>497472.75</v>
      </c>
      <c r="F115" s="70"/>
      <c r="G115" s="186"/>
      <c r="H115" s="186">
        <f>70000</f>
        <v>70000</v>
      </c>
      <c r="I115" s="70">
        <v>0</v>
      </c>
      <c r="J115" s="466">
        <f>SUM(E115:I115)</f>
        <v>567472.75</v>
      </c>
      <c r="K115" s="70"/>
      <c r="L115" s="70">
        <v>40000</v>
      </c>
      <c r="M115" s="70">
        <v>87500</v>
      </c>
      <c r="N115" s="70"/>
      <c r="O115" s="70">
        <v>7791.8312500000002</v>
      </c>
      <c r="P115" s="70">
        <v>78484.221626666695</v>
      </c>
      <c r="Q115" s="70">
        <v>39797.82</v>
      </c>
      <c r="R115" s="467">
        <f>P115+O115+M115+N115+L115+K115+Q115</f>
        <v>253573.87287666701</v>
      </c>
      <c r="S115" s="70">
        <v>313898.87712333299</v>
      </c>
      <c r="T115" s="466">
        <f t="shared" si="39"/>
        <v>313898.87712333299</v>
      </c>
    </row>
    <row r="116" spans="1:20" ht="20.100000000000001" customHeight="1" x14ac:dyDescent="0.2">
      <c r="A116" s="8">
        <v>4</v>
      </c>
      <c r="B116" s="9" t="s">
        <v>215</v>
      </c>
      <c r="C116" s="2" t="s">
        <v>216</v>
      </c>
      <c r="D116" s="13" t="s">
        <v>159</v>
      </c>
      <c r="E116" s="70">
        <v>482846.58333333302</v>
      </c>
      <c r="F116" s="70"/>
      <c r="G116" s="186"/>
      <c r="H116" s="186">
        <f>70000</f>
        <v>70000</v>
      </c>
      <c r="I116" s="70">
        <v>0</v>
      </c>
      <c r="J116" s="467">
        <f>SUM(E116:I116)</f>
        <v>552846.58333333302</v>
      </c>
      <c r="K116" s="70"/>
      <c r="L116" s="70">
        <v>150000</v>
      </c>
      <c r="M116" s="70">
        <v>103000</v>
      </c>
      <c r="N116" s="70"/>
      <c r="O116" s="70"/>
      <c r="P116" s="638">
        <v>77396.687146666707</v>
      </c>
      <c r="Q116" s="70">
        <v>38627.726666666698</v>
      </c>
      <c r="R116" s="467">
        <f>P116+O116+M116+N116+L116+K116+Q116</f>
        <v>369024.41381333303</v>
      </c>
      <c r="S116" s="70">
        <v>286822.16952</v>
      </c>
      <c r="T116" s="920">
        <f t="shared" si="39"/>
        <v>183822.16952</v>
      </c>
    </row>
    <row r="117" spans="1:20" ht="20.100000000000001" customHeight="1" x14ac:dyDescent="0.2">
      <c r="A117" s="8">
        <v>5</v>
      </c>
      <c r="B117" s="9" t="s">
        <v>217</v>
      </c>
      <c r="C117" s="2" t="s">
        <v>218</v>
      </c>
      <c r="D117" s="13" t="s">
        <v>65</v>
      </c>
      <c r="E117" s="70">
        <v>482662.66666666698</v>
      </c>
      <c r="F117" s="70"/>
      <c r="G117" s="186"/>
      <c r="H117" s="186">
        <f>60000</f>
        <v>60000</v>
      </c>
      <c r="I117" s="70"/>
      <c r="J117" s="466">
        <f>E117+F117+G117+H117+I117</f>
        <v>542662.66666666698</v>
      </c>
      <c r="K117" s="70"/>
      <c r="L117" s="70">
        <f>5000</f>
        <v>5000</v>
      </c>
      <c r="M117" s="70">
        <v>0</v>
      </c>
      <c r="N117" s="70"/>
      <c r="O117" s="70"/>
      <c r="P117" s="70">
        <v>75444.2001066667</v>
      </c>
      <c r="Q117" s="70">
        <v>38613.013333333402</v>
      </c>
      <c r="R117" s="467">
        <f>P117+O117+M117+N117+L117+K117+Q117</f>
        <v>119057.21344000001</v>
      </c>
      <c r="S117" s="70">
        <v>423605.45322666701</v>
      </c>
      <c r="T117" s="466">
        <f t="shared" si="39"/>
        <v>423605.45322666701</v>
      </c>
    </row>
    <row r="118" spans="1:20" ht="20.100000000000001" customHeight="1" x14ac:dyDescent="0.2">
      <c r="A118" s="8">
        <v>6</v>
      </c>
      <c r="B118" s="9" t="s">
        <v>219</v>
      </c>
      <c r="C118" s="2" t="s">
        <v>220</v>
      </c>
      <c r="D118" s="13" t="s">
        <v>119</v>
      </c>
      <c r="E118" s="186">
        <v>390135.83333333401</v>
      </c>
      <c r="F118" s="70"/>
      <c r="G118" s="186"/>
      <c r="H118" s="186">
        <f>60000</f>
        <v>60000</v>
      </c>
      <c r="I118" s="70"/>
      <c r="J118" s="466">
        <f>E118+F118+G118+H118+I118</f>
        <v>450135.83333333401</v>
      </c>
      <c r="K118" s="70"/>
      <c r="L118" s="70">
        <f>10000+80000</f>
        <v>90000</v>
      </c>
      <c r="M118" s="70">
        <f>19583.33</f>
        <v>19583.330000000002</v>
      </c>
      <c r="N118" s="70"/>
      <c r="O118" s="70"/>
      <c r="P118" s="70">
        <v>59100.260266666803</v>
      </c>
      <c r="Q118" s="70">
        <v>31210.866666666701</v>
      </c>
      <c r="R118" s="467">
        <f>P118+O118+M118+N118+L118+K118+Q118</f>
        <v>199894.456933334</v>
      </c>
      <c r="S118" s="70">
        <v>250241.376400001</v>
      </c>
      <c r="T118" s="466">
        <f t="shared" si="39"/>
        <v>250241.376400001</v>
      </c>
    </row>
    <row r="119" spans="1:20" ht="20.100000000000001" customHeight="1" x14ac:dyDescent="0.5">
      <c r="A119" s="2"/>
      <c r="B119" s="18" t="s">
        <v>111</v>
      </c>
      <c r="C119" s="19">
        <v>6</v>
      </c>
      <c r="D119" s="24"/>
      <c r="E119" s="78">
        <f>SUM(E113:E118)</f>
        <v>4124388.25</v>
      </c>
      <c r="F119" s="78">
        <f>SUM(F113:F118)</f>
        <v>0</v>
      </c>
      <c r="G119" s="78">
        <f t="shared" ref="G119:S119" si="40">SUM(G113:G118)</f>
        <v>0</v>
      </c>
      <c r="H119" s="78">
        <f t="shared" si="40"/>
        <v>430000</v>
      </c>
      <c r="I119" s="78">
        <f t="shared" si="40"/>
        <v>0</v>
      </c>
      <c r="J119" s="78">
        <f t="shared" si="40"/>
        <v>4554388.25</v>
      </c>
      <c r="K119" s="78">
        <f t="shared" si="40"/>
        <v>0</v>
      </c>
      <c r="L119" s="78">
        <f t="shared" si="40"/>
        <v>355000</v>
      </c>
      <c r="M119" s="78">
        <f t="shared" si="40"/>
        <v>650083.32999999996</v>
      </c>
      <c r="N119" s="78">
        <f>SUM(N113:N118)</f>
        <v>102000</v>
      </c>
      <c r="O119" s="78">
        <f>SUM(O113:O118)</f>
        <v>34198.652083333298</v>
      </c>
      <c r="P119" s="78">
        <f>SUM(P113:P118)</f>
        <v>676525.79928000004</v>
      </c>
      <c r="Q119" s="78">
        <f>SUM(Q113:Q118)</f>
        <v>329951.06</v>
      </c>
      <c r="R119" s="78">
        <f>SUM(R113:R118)</f>
        <v>2147758.8413633299</v>
      </c>
      <c r="S119" s="78">
        <v>2611629.4086366701</v>
      </c>
      <c r="T119" s="78">
        <f>SUM(T113:T118)</f>
        <v>2406629.4086366701</v>
      </c>
    </row>
    <row r="120" spans="1:20" ht="20.100000000000001" customHeight="1" x14ac:dyDescent="0.2">
      <c r="A120" s="2"/>
      <c r="B120" s="20"/>
      <c r="C120" s="19"/>
      <c r="D120" s="24"/>
      <c r="E120" s="122"/>
      <c r="F120" s="122"/>
      <c r="G120" s="186"/>
      <c r="H120" s="186"/>
      <c r="I120" s="122"/>
      <c r="J120" s="473"/>
      <c r="K120" s="122"/>
      <c r="L120" s="122"/>
      <c r="M120" s="122"/>
      <c r="N120" s="122"/>
      <c r="O120" s="122"/>
      <c r="P120" s="122"/>
      <c r="Q120" s="122"/>
      <c r="R120" s="474"/>
      <c r="S120" s="122"/>
      <c r="T120" s="473"/>
    </row>
    <row r="121" spans="1:20" ht="20.100000000000001" customHeight="1" x14ac:dyDescent="0.2">
      <c r="A121" s="2"/>
      <c r="B121" s="18" t="s">
        <v>221</v>
      </c>
      <c r="C121" s="2"/>
      <c r="D121" s="2"/>
      <c r="E121" s="2"/>
      <c r="F121" s="2"/>
      <c r="G121" s="186"/>
      <c r="H121" s="186"/>
      <c r="I121" s="2"/>
      <c r="J121" s="477"/>
      <c r="K121" s="2"/>
      <c r="L121" s="2"/>
      <c r="M121" s="2"/>
      <c r="N121" s="2"/>
      <c r="O121" s="2"/>
      <c r="P121" s="2"/>
      <c r="Q121" s="2"/>
      <c r="R121" s="478"/>
      <c r="S121" s="2"/>
      <c r="T121" s="477"/>
    </row>
    <row r="122" spans="1:20" ht="20.100000000000001" customHeight="1" x14ac:dyDescent="0.2">
      <c r="A122" s="2">
        <v>1</v>
      </c>
      <c r="B122" s="9" t="s">
        <v>222</v>
      </c>
      <c r="C122" s="10" t="s">
        <v>223</v>
      </c>
      <c r="D122" s="13" t="s">
        <v>115</v>
      </c>
      <c r="E122" s="70">
        <v>1747106.41666666</v>
      </c>
      <c r="F122" s="70"/>
      <c r="G122" s="186">
        <f>200000</f>
        <v>200000</v>
      </c>
      <c r="H122" s="186"/>
      <c r="I122" s="70">
        <v>0</v>
      </c>
      <c r="J122" s="466">
        <f t="shared" ref="J122:J128" si="41">SUM(E122:I122)</f>
        <v>1947106.41666666</v>
      </c>
      <c r="K122" s="70"/>
      <c r="L122" s="70">
        <f>100000</f>
        <v>100000</v>
      </c>
      <c r="M122" s="70">
        <v>0</v>
      </c>
      <c r="N122" s="70"/>
      <c r="O122" s="70">
        <v>0</v>
      </c>
      <c r="P122" s="70">
        <v>325675.54410666501</v>
      </c>
      <c r="Q122" s="70">
        <v>139768.51333333299</v>
      </c>
      <c r="R122" s="467">
        <f>P122+O122+M122+N122+L122+K122+Q122</f>
        <v>565444.05743999803</v>
      </c>
      <c r="S122" s="70">
        <v>1381662.3592266601</v>
      </c>
      <c r="T122" s="466">
        <f t="shared" ref="T122:T128" si="42">J122-R122</f>
        <v>1381662.3592266601</v>
      </c>
    </row>
    <row r="123" spans="1:20" ht="20.100000000000001" customHeight="1" x14ac:dyDescent="0.2">
      <c r="A123" s="2">
        <v>2</v>
      </c>
      <c r="B123" s="9" t="s">
        <v>224</v>
      </c>
      <c r="C123" s="2" t="s">
        <v>225</v>
      </c>
      <c r="D123" s="14" t="s">
        <v>154</v>
      </c>
      <c r="E123" s="70">
        <v>905306.75</v>
      </c>
      <c r="F123" s="70"/>
      <c r="G123" s="186">
        <f>160000+20000</f>
        <v>180000</v>
      </c>
      <c r="H123" s="186"/>
      <c r="I123" s="70">
        <v>0</v>
      </c>
      <c r="J123" s="466">
        <f t="shared" si="41"/>
        <v>1085306.75</v>
      </c>
      <c r="K123" s="70"/>
      <c r="L123" s="70">
        <v>110000</v>
      </c>
      <c r="M123" s="70"/>
      <c r="N123" s="70"/>
      <c r="O123" s="70">
        <v>13866.737499999999</v>
      </c>
      <c r="P123" s="70">
        <v>170477.63738666699</v>
      </c>
      <c r="Q123" s="70">
        <v>72424.539999999994</v>
      </c>
      <c r="R123" s="467">
        <f t="shared" ref="R123:R128" si="43">P123+O123+M123+N123+L123+K123+Q123</f>
        <v>366768.91488666699</v>
      </c>
      <c r="S123" s="70">
        <v>718537.83511333296</v>
      </c>
      <c r="T123" s="466">
        <f t="shared" si="42"/>
        <v>718537.83511333296</v>
      </c>
    </row>
    <row r="124" spans="1:20" ht="20.100000000000001" customHeight="1" x14ac:dyDescent="0.2">
      <c r="A124" s="2">
        <v>3</v>
      </c>
      <c r="B124" s="9" t="s">
        <v>226</v>
      </c>
      <c r="C124" s="2" t="s">
        <v>227</v>
      </c>
      <c r="D124" s="8" t="s">
        <v>52</v>
      </c>
      <c r="E124" s="70">
        <v>541351.33333333302</v>
      </c>
      <c r="F124" s="70"/>
      <c r="G124" s="186">
        <f>120000</f>
        <v>120000</v>
      </c>
      <c r="H124" s="186"/>
      <c r="I124" s="70">
        <v>59548.646666666602</v>
      </c>
      <c r="J124" s="466">
        <f t="shared" si="41"/>
        <v>720899.98</v>
      </c>
      <c r="K124" s="70"/>
      <c r="L124" s="70">
        <v>30000</v>
      </c>
      <c r="M124" s="70">
        <f>61111.11</f>
        <v>61111.11</v>
      </c>
      <c r="N124" s="70"/>
      <c r="O124" s="70">
        <v>8443.2708333333303</v>
      </c>
      <c r="P124" s="70">
        <v>107143.19834666701</v>
      </c>
      <c r="Q124" s="70">
        <v>43308.106666666601</v>
      </c>
      <c r="R124" s="467">
        <f t="shared" si="43"/>
        <v>250005.68584666701</v>
      </c>
      <c r="S124" s="70">
        <v>456256.80197486602</v>
      </c>
      <c r="T124" s="466">
        <f t="shared" si="42"/>
        <v>470894.294153333</v>
      </c>
    </row>
    <row r="125" spans="1:20" ht="20.100000000000001" customHeight="1" x14ac:dyDescent="0.2">
      <c r="A125" s="2">
        <v>4</v>
      </c>
      <c r="B125" s="9" t="s">
        <v>228</v>
      </c>
      <c r="C125" s="2" t="s">
        <v>227</v>
      </c>
      <c r="D125" s="8" t="s">
        <v>229</v>
      </c>
      <c r="E125" s="70">
        <v>542419.5</v>
      </c>
      <c r="F125" s="70">
        <v>40900.559999999998</v>
      </c>
      <c r="G125" s="186">
        <f>140000</f>
        <v>140000</v>
      </c>
      <c r="H125" s="186"/>
      <c r="I125" s="70">
        <v>59666.144999999997</v>
      </c>
      <c r="J125" s="466">
        <f t="shared" si="41"/>
        <v>782986.20499999996</v>
      </c>
      <c r="K125" s="70"/>
      <c r="L125" s="70">
        <f>50000</f>
        <v>50000</v>
      </c>
      <c r="M125" s="70">
        <v>45833.33</v>
      </c>
      <c r="N125" s="70"/>
      <c r="O125" s="70"/>
      <c r="P125" s="70">
        <v>112831.95402666699</v>
      </c>
      <c r="Q125" s="70">
        <v>43308.106666666601</v>
      </c>
      <c r="R125" s="467">
        <f t="shared" si="43"/>
        <v>251973.39069333399</v>
      </c>
      <c r="S125" s="70">
        <v>533562.60647326696</v>
      </c>
      <c r="T125" s="466">
        <f t="shared" si="42"/>
        <v>531012.81430666603</v>
      </c>
    </row>
    <row r="126" spans="1:20" ht="20.100000000000001" customHeight="1" x14ac:dyDescent="0.2">
      <c r="A126" s="2">
        <v>5</v>
      </c>
      <c r="B126" s="9" t="s">
        <v>230</v>
      </c>
      <c r="C126" s="2" t="s">
        <v>231</v>
      </c>
      <c r="D126" s="13" t="s">
        <v>232</v>
      </c>
      <c r="E126" s="186">
        <v>329950.41666666698</v>
      </c>
      <c r="F126" s="70"/>
      <c r="G126" s="186">
        <f>100000</f>
        <v>100000</v>
      </c>
      <c r="H126" s="186"/>
      <c r="I126" s="70">
        <v>36294.545833333403</v>
      </c>
      <c r="J126" s="466">
        <f t="shared" si="41"/>
        <v>466244.96250000002</v>
      </c>
      <c r="K126" s="70"/>
      <c r="L126" s="70">
        <v>20000</v>
      </c>
      <c r="M126" s="70">
        <f>50000</f>
        <v>50000</v>
      </c>
      <c r="N126" s="70"/>
      <c r="O126" s="70"/>
      <c r="P126" s="70">
        <v>63117.661066666697</v>
      </c>
      <c r="Q126" s="70">
        <v>26396.033333333398</v>
      </c>
      <c r="R126" s="467">
        <f t="shared" si="43"/>
        <v>159513.69440000001</v>
      </c>
      <c r="S126" s="70">
        <v>297874.70063050702</v>
      </c>
      <c r="T126" s="466">
        <f t="shared" si="42"/>
        <v>306731.26809999999</v>
      </c>
    </row>
    <row r="127" spans="1:20" ht="20.100000000000001" customHeight="1" x14ac:dyDescent="0.2">
      <c r="A127" s="2">
        <v>6</v>
      </c>
      <c r="B127" s="16" t="s">
        <v>233</v>
      </c>
      <c r="C127" s="2" t="s">
        <v>231</v>
      </c>
      <c r="D127" s="8" t="s">
        <v>96</v>
      </c>
      <c r="E127" s="186">
        <v>330407.08333333302</v>
      </c>
      <c r="F127" s="70">
        <f>35950</f>
        <v>35950</v>
      </c>
      <c r="G127" s="186">
        <f>110000</f>
        <v>110000</v>
      </c>
      <c r="H127" s="186"/>
      <c r="I127" s="70">
        <v>36344.779166666602</v>
      </c>
      <c r="J127" s="466">
        <f t="shared" si="41"/>
        <v>512701.86249999999</v>
      </c>
      <c r="K127" s="70"/>
      <c r="L127" s="70">
        <f>25000</f>
        <v>25000</v>
      </c>
      <c r="M127" s="70">
        <v>0</v>
      </c>
      <c r="N127" s="70"/>
      <c r="O127" s="70"/>
      <c r="P127" s="70">
        <v>65127.971466666597</v>
      </c>
      <c r="Q127" s="70">
        <v>26432.5666666666</v>
      </c>
      <c r="R127" s="467">
        <f t="shared" si="43"/>
        <v>116560.538133333</v>
      </c>
      <c r="S127" s="70">
        <v>352102.97636383999</v>
      </c>
      <c r="T127" s="466">
        <f t="shared" si="42"/>
        <v>396141.32436666702</v>
      </c>
    </row>
    <row r="128" spans="1:20" ht="20.100000000000001" customHeight="1" x14ac:dyDescent="0.2">
      <c r="A128" s="2">
        <v>7</v>
      </c>
      <c r="B128" s="16" t="s">
        <v>234</v>
      </c>
      <c r="C128" s="2" t="s">
        <v>231</v>
      </c>
      <c r="D128" s="13" t="s">
        <v>206</v>
      </c>
      <c r="E128" s="186">
        <v>308920.66666666698</v>
      </c>
      <c r="F128" s="70"/>
      <c r="G128" s="186">
        <f t="shared" ref="G128" si="44">100000</f>
        <v>100000</v>
      </c>
      <c r="H128" s="186"/>
      <c r="I128" s="70">
        <v>33981.273333333404</v>
      </c>
      <c r="J128" s="466">
        <f t="shared" si="41"/>
        <v>442901.94</v>
      </c>
      <c r="K128" s="70"/>
      <c r="L128" s="70">
        <f>30000</f>
        <v>30000</v>
      </c>
      <c r="M128" s="70"/>
      <c r="N128" s="70"/>
      <c r="O128" s="70">
        <v>5013.7354166666801</v>
      </c>
      <c r="P128" s="70">
        <v>58958.817706666698</v>
      </c>
      <c r="Q128" s="70">
        <v>24713.653333333401</v>
      </c>
      <c r="R128" s="467">
        <f t="shared" si="43"/>
        <v>118686.206456667</v>
      </c>
      <c r="S128" s="70">
        <v>316608.35060955997</v>
      </c>
      <c r="T128" s="466">
        <f t="shared" si="42"/>
        <v>324215.73354333302</v>
      </c>
    </row>
    <row r="129" spans="1:20" ht="25.5" customHeight="1" x14ac:dyDescent="0.5">
      <c r="A129" s="2"/>
      <c r="B129" s="18" t="s">
        <v>111</v>
      </c>
      <c r="C129" s="19">
        <v>7</v>
      </c>
      <c r="D129" s="2"/>
      <c r="E129" s="189">
        <f>SUM(E122:E128)</f>
        <v>4705462.1666666605</v>
      </c>
      <c r="F129" s="189">
        <f>SUM(F122:F128)</f>
        <v>76850.559999999998</v>
      </c>
      <c r="G129" s="189">
        <f t="shared" ref="G129:S129" si="45">SUM(G122:G128)</f>
        <v>950000</v>
      </c>
      <c r="H129" s="189">
        <f t="shared" si="45"/>
        <v>0</v>
      </c>
      <c r="I129" s="189">
        <f t="shared" si="45"/>
        <v>225835.39</v>
      </c>
      <c r="J129" s="189">
        <f t="shared" si="45"/>
        <v>5958148.1166666597</v>
      </c>
      <c r="K129" s="189">
        <f t="shared" si="45"/>
        <v>0</v>
      </c>
      <c r="L129" s="189">
        <f t="shared" si="45"/>
        <v>365000</v>
      </c>
      <c r="M129" s="189">
        <f t="shared" si="45"/>
        <v>156944.44</v>
      </c>
      <c r="N129" s="189">
        <f>SUM(N122:N128)</f>
        <v>0</v>
      </c>
      <c r="O129" s="189">
        <f>SUM(O122:O128)</f>
        <v>27323.743750000001</v>
      </c>
      <c r="P129" s="189">
        <f>SUM(P122:P128)</f>
        <v>903332.78410666599</v>
      </c>
      <c r="Q129" s="189">
        <f>SUM(Q122:Q128)</f>
        <v>376351.52</v>
      </c>
      <c r="R129" s="189">
        <f>SUM(R122:R128)</f>
        <v>1828952.48785667</v>
      </c>
      <c r="S129" s="189">
        <v>4056605.6303920401</v>
      </c>
      <c r="T129" s="189">
        <f>SUM(T122:T128)</f>
        <v>4129195.6288100001</v>
      </c>
    </row>
    <row r="130" spans="1:20" ht="20.100000000000001" customHeight="1" x14ac:dyDescent="0.5">
      <c r="A130" s="2"/>
      <c r="B130" s="18"/>
      <c r="C130" s="19"/>
      <c r="D130" s="2"/>
      <c r="E130" s="189"/>
      <c r="F130" s="189"/>
      <c r="G130" s="475"/>
      <c r="H130" s="475"/>
      <c r="I130" s="189"/>
      <c r="J130" s="479"/>
      <c r="K130" s="189"/>
      <c r="L130" s="189"/>
      <c r="M130" s="189"/>
      <c r="N130" s="189"/>
      <c r="O130" s="189"/>
      <c r="P130" s="189"/>
      <c r="Q130" s="189"/>
      <c r="R130" s="480"/>
      <c r="S130" s="189"/>
      <c r="T130" s="479"/>
    </row>
    <row r="131" spans="1:20" ht="20.100000000000001" customHeight="1" x14ac:dyDescent="0.2">
      <c r="A131" s="8"/>
      <c r="B131" s="18" t="s">
        <v>235</v>
      </c>
      <c r="C131" s="19"/>
      <c r="D131" s="19"/>
      <c r="E131" s="122"/>
      <c r="F131" s="122"/>
      <c r="G131" s="186"/>
      <c r="H131" s="186"/>
      <c r="I131" s="122"/>
      <c r="J131" s="473"/>
      <c r="K131" s="122"/>
      <c r="L131" s="122"/>
      <c r="M131" s="122"/>
      <c r="N131" s="122"/>
      <c r="O131" s="122"/>
      <c r="P131" s="122"/>
      <c r="Q131" s="122"/>
      <c r="R131" s="474"/>
      <c r="S131" s="122"/>
      <c r="T131" s="473"/>
    </row>
    <row r="132" spans="1:20" ht="18.75" customHeight="1" x14ac:dyDescent="0.2">
      <c r="A132" s="8">
        <v>1</v>
      </c>
      <c r="B132" s="9" t="s">
        <v>236</v>
      </c>
      <c r="C132" s="2" t="s">
        <v>237</v>
      </c>
      <c r="D132" s="13" t="s">
        <v>65</v>
      </c>
      <c r="E132" s="70">
        <v>482662.66666666698</v>
      </c>
      <c r="F132" s="70"/>
      <c r="G132" s="186">
        <v>110000</v>
      </c>
      <c r="H132" s="186">
        <v>0</v>
      </c>
      <c r="I132" s="70"/>
      <c r="J132" s="466">
        <f>SUM(E132:I132)</f>
        <v>592662.66666666698</v>
      </c>
      <c r="K132" s="70"/>
      <c r="L132" s="70">
        <f>20000</f>
        <v>20000</v>
      </c>
      <c r="M132" s="70">
        <f>102135.42</f>
        <v>102135.42</v>
      </c>
      <c r="N132" s="70"/>
      <c r="O132" s="70">
        <v>0</v>
      </c>
      <c r="P132" s="70">
        <v>85044.2001066667</v>
      </c>
      <c r="Q132" s="70">
        <v>38613.013333333402</v>
      </c>
      <c r="R132" s="467">
        <f>P132+O132+M132+N132+L132+K132+Q132</f>
        <v>245792.63344000001</v>
      </c>
      <c r="S132" s="70">
        <v>346870.03322666697</v>
      </c>
      <c r="T132" s="466">
        <f>J132-R132</f>
        <v>346870.03322666697</v>
      </c>
    </row>
    <row r="133" spans="1:20" ht="18.75" customHeight="1" x14ac:dyDescent="0.2">
      <c r="A133" s="8">
        <v>2</v>
      </c>
      <c r="B133" s="9" t="s">
        <v>238</v>
      </c>
      <c r="C133" s="2" t="s">
        <v>70</v>
      </c>
      <c r="D133" s="13" t="s">
        <v>162</v>
      </c>
      <c r="E133" s="70">
        <v>468828.16666666698</v>
      </c>
      <c r="F133" s="70"/>
      <c r="G133" s="186">
        <v>110000</v>
      </c>
      <c r="H133" s="186">
        <v>0</v>
      </c>
      <c r="I133" s="70"/>
      <c r="J133" s="466">
        <f>SUM(E133:I133)</f>
        <v>578828.16666666698</v>
      </c>
      <c r="K133" s="70"/>
      <c r="L133" s="70">
        <v>150000</v>
      </c>
      <c r="M133" s="70">
        <v>50000</v>
      </c>
      <c r="N133" s="70"/>
      <c r="O133" s="70"/>
      <c r="P133" s="70">
        <v>82600.474026666707</v>
      </c>
      <c r="Q133" s="70">
        <v>37506.253333333399</v>
      </c>
      <c r="R133" s="467">
        <f>P133+O133+M133+N133+L133+K133+Q133</f>
        <v>320106.72736000002</v>
      </c>
      <c r="S133" s="70">
        <v>258721.43930666699</v>
      </c>
      <c r="T133" s="466">
        <f>J133-R133</f>
        <v>258721.43930666699</v>
      </c>
    </row>
    <row r="134" spans="1:20" ht="18.75" customHeight="1" x14ac:dyDescent="0.2">
      <c r="A134" s="8">
        <v>4</v>
      </c>
      <c r="B134" s="16" t="s">
        <v>239</v>
      </c>
      <c r="C134" s="2" t="s">
        <v>139</v>
      </c>
      <c r="D134" s="8" t="s">
        <v>96</v>
      </c>
      <c r="E134" s="70">
        <v>330407.08333333302</v>
      </c>
      <c r="F134" s="70"/>
      <c r="G134" s="186">
        <f t="shared" ref="G134:G136" si="46">100000</f>
        <v>100000</v>
      </c>
      <c r="H134" s="186"/>
      <c r="I134" s="70"/>
      <c r="J134" s="467">
        <f>E134+F134+G134+H134+I134</f>
        <v>430407.08333333302</v>
      </c>
      <c r="K134" s="70"/>
      <c r="L134" s="70">
        <v>50000</v>
      </c>
      <c r="M134" s="70">
        <v>92500</v>
      </c>
      <c r="N134" s="70"/>
      <c r="O134" s="70"/>
      <c r="P134" s="70">
        <v>56229.773866666699</v>
      </c>
      <c r="Q134" s="70">
        <v>26432.566666666698</v>
      </c>
      <c r="R134" s="467">
        <f>P134+O134+M134+N134+L134+K134+Q134</f>
        <v>225162.34053333299</v>
      </c>
      <c r="S134" s="70">
        <v>297744.74280000001</v>
      </c>
      <c r="T134" s="467">
        <f>J134-R134</f>
        <v>205244.74280000001</v>
      </c>
    </row>
    <row r="135" spans="1:20" ht="18.75" customHeight="1" x14ac:dyDescent="0.2">
      <c r="A135" s="8">
        <v>5</v>
      </c>
      <c r="B135" s="16" t="s">
        <v>240</v>
      </c>
      <c r="C135" s="2" t="s">
        <v>139</v>
      </c>
      <c r="D135" s="8" t="s">
        <v>96</v>
      </c>
      <c r="E135" s="70">
        <v>330407.08333333302</v>
      </c>
      <c r="F135" s="70"/>
      <c r="G135" s="186">
        <f t="shared" si="46"/>
        <v>100000</v>
      </c>
      <c r="H135" s="186"/>
      <c r="I135" s="70"/>
      <c r="J135" s="467">
        <f>E135+F135+G135+H135+I135</f>
        <v>430407.08333333302</v>
      </c>
      <c r="K135" s="70"/>
      <c r="L135" s="70">
        <v>20000</v>
      </c>
      <c r="M135" s="70"/>
      <c r="N135" s="70"/>
      <c r="O135" s="70"/>
      <c r="P135" s="70">
        <v>56229.773866666699</v>
      </c>
      <c r="Q135" s="70">
        <v>26432.566666666698</v>
      </c>
      <c r="R135" s="467">
        <f>P135+O135+M135+N135+L135+K135+Q135</f>
        <v>102662.340533333</v>
      </c>
      <c r="S135" s="70">
        <v>325744.74280000001</v>
      </c>
      <c r="T135" s="467">
        <f t="shared" ref="T135:T142" si="47">J135-R135</f>
        <v>327744.74280000001</v>
      </c>
    </row>
    <row r="136" spans="1:20" ht="20.100000000000001" customHeight="1" x14ac:dyDescent="0.2">
      <c r="A136" s="8">
        <v>6</v>
      </c>
      <c r="B136" s="16" t="s">
        <v>241</v>
      </c>
      <c r="C136" s="10" t="s">
        <v>242</v>
      </c>
      <c r="D136" s="13" t="s">
        <v>108</v>
      </c>
      <c r="E136" s="70">
        <v>287890.91666666698</v>
      </c>
      <c r="F136" s="70"/>
      <c r="G136" s="186">
        <f t="shared" si="46"/>
        <v>100000</v>
      </c>
      <c r="H136" s="186"/>
      <c r="I136" s="70"/>
      <c r="J136" s="467">
        <f>SUM(E136:I136)</f>
        <v>387890.91666666698</v>
      </c>
      <c r="K136" s="70"/>
      <c r="L136" s="638"/>
      <c r="M136" s="638"/>
      <c r="N136" s="922"/>
      <c r="P136" s="638">
        <v>48719.718186666702</v>
      </c>
      <c r="Q136" s="639">
        <v>23031.273333333302</v>
      </c>
      <c r="R136" s="467">
        <f>P136+O136+M136+N136+L136+K136+Q136</f>
        <v>71750.991519999996</v>
      </c>
      <c r="S136" s="70">
        <v>316139.925146667</v>
      </c>
      <c r="T136" s="467">
        <f t="shared" si="47"/>
        <v>316139.925146667</v>
      </c>
    </row>
    <row r="137" spans="1:20" ht="24.75" customHeight="1" x14ac:dyDescent="0.5">
      <c r="A137" s="2"/>
      <c r="B137" s="18" t="s">
        <v>111</v>
      </c>
      <c r="C137" s="19">
        <v>6</v>
      </c>
      <c r="D137" s="24"/>
      <c r="E137" s="78">
        <f>SUM(E132:E136)</f>
        <v>1900195.91666667</v>
      </c>
      <c r="F137" s="78">
        <f t="shared" ref="F137:S137" si="48">SUM(F132:F136)</f>
        <v>0</v>
      </c>
      <c r="G137" s="78">
        <f t="shared" si="48"/>
        <v>520000</v>
      </c>
      <c r="H137" s="78">
        <f t="shared" si="48"/>
        <v>0</v>
      </c>
      <c r="I137" s="78">
        <f t="shared" si="48"/>
        <v>0</v>
      </c>
      <c r="J137" s="78">
        <f t="shared" si="48"/>
        <v>2420195.9166666698</v>
      </c>
      <c r="K137" s="78">
        <f t="shared" si="48"/>
        <v>0</v>
      </c>
      <c r="L137" s="78">
        <f t="shared" si="48"/>
        <v>240000</v>
      </c>
      <c r="M137" s="78">
        <f t="shared" si="48"/>
        <v>244635.42</v>
      </c>
      <c r="N137" s="78">
        <f>SUM(N132:N136)</f>
        <v>0</v>
      </c>
      <c r="O137" s="78">
        <f>SUM(O132:O136)</f>
        <v>0</v>
      </c>
      <c r="P137" s="78">
        <f>SUM(P132:P136)</f>
        <v>328823.94005333399</v>
      </c>
      <c r="Q137" s="78">
        <f>SUM(Q132:Q136)</f>
        <v>152015.67333333401</v>
      </c>
      <c r="R137" s="78">
        <f>SUM(R132:R136)</f>
        <v>965475.03338666703</v>
      </c>
      <c r="S137" s="78">
        <v>1975922.70698333</v>
      </c>
      <c r="T137" s="78">
        <f>SUM(T132:T136)</f>
        <v>1454720.88328</v>
      </c>
    </row>
    <row r="138" spans="1:20" ht="24.75" customHeight="1" x14ac:dyDescent="0.5">
      <c r="A138" s="2"/>
      <c r="B138" s="18"/>
      <c r="C138" s="19"/>
      <c r="D138" s="24"/>
      <c r="E138" s="78"/>
      <c r="F138" s="78"/>
      <c r="G138" s="78"/>
      <c r="H138" s="78"/>
      <c r="I138" s="78"/>
      <c r="J138" s="923"/>
      <c r="K138" s="78"/>
      <c r="L138" s="78"/>
      <c r="M138" s="78"/>
      <c r="N138" s="78"/>
      <c r="O138" s="78"/>
      <c r="P138" s="78"/>
      <c r="Q138" s="78"/>
      <c r="R138" s="925"/>
      <c r="S138" s="78"/>
      <c r="T138" s="923"/>
    </row>
    <row r="139" spans="1:20" ht="24.75" customHeight="1" x14ac:dyDescent="0.2">
      <c r="A139" s="8"/>
      <c r="B139" s="18" t="s">
        <v>243</v>
      </c>
      <c r="C139" s="19"/>
      <c r="D139" s="19"/>
      <c r="E139" s="122"/>
      <c r="F139" s="122"/>
      <c r="G139" s="186"/>
      <c r="H139" s="186"/>
      <c r="I139" s="122"/>
      <c r="J139" s="473"/>
      <c r="K139" s="122"/>
      <c r="L139" s="122"/>
      <c r="M139" s="122"/>
      <c r="N139" s="122"/>
      <c r="O139" s="122"/>
      <c r="P139" s="122"/>
      <c r="Q139" s="122"/>
      <c r="R139" s="474"/>
      <c r="S139" s="122"/>
      <c r="T139" s="473"/>
    </row>
    <row r="140" spans="1:20" ht="18.75" customHeight="1" x14ac:dyDescent="0.2">
      <c r="A140" s="25">
        <v>1</v>
      </c>
      <c r="B140" s="16" t="s">
        <v>244</v>
      </c>
      <c r="C140" s="2" t="s">
        <v>245</v>
      </c>
      <c r="D140" s="8" t="s">
        <v>96</v>
      </c>
      <c r="E140" s="70">
        <v>330407.08333333302</v>
      </c>
      <c r="F140" s="70">
        <v>671022.74999999697</v>
      </c>
      <c r="G140" s="186"/>
      <c r="H140" s="186">
        <f>60000</f>
        <v>60000</v>
      </c>
      <c r="I140" s="70"/>
      <c r="J140" s="467">
        <f>E140+F140+G140+H140+I140</f>
        <v>1061429.83333333</v>
      </c>
      <c r="K140" s="70"/>
      <c r="L140" s="70"/>
      <c r="M140" s="70"/>
      <c r="N140" s="70"/>
      <c r="O140" s="70"/>
      <c r="P140" s="70">
        <f>48549.7738666667+105831.77</f>
        <v>154381.54386666699</v>
      </c>
      <c r="Q140" s="70">
        <v>26432.566666666698</v>
      </c>
      <c r="R140" s="467">
        <f>P140+O140+M140+N140+L140+K140+Q140</f>
        <v>180814.11053333399</v>
      </c>
      <c r="S140" s="70"/>
      <c r="T140" s="467">
        <f t="shared" si="47"/>
        <v>880615.72279999603</v>
      </c>
    </row>
    <row r="141" spans="1:20" ht="24.75" customHeight="1" x14ac:dyDescent="0.2">
      <c r="A141" s="8">
        <v>2</v>
      </c>
      <c r="B141" s="9" t="s">
        <v>246</v>
      </c>
      <c r="C141" s="2" t="s">
        <v>247</v>
      </c>
      <c r="D141" s="8" t="s">
        <v>108</v>
      </c>
      <c r="E141" s="70">
        <v>287890.91666666698</v>
      </c>
      <c r="F141" s="70"/>
      <c r="G141" s="186"/>
      <c r="H141" s="186">
        <v>50000</v>
      </c>
      <c r="I141" s="70"/>
      <c r="J141" s="466">
        <f>SUM(E141:I141)</f>
        <v>337890.91666666698</v>
      </c>
      <c r="K141" s="70"/>
      <c r="L141" s="70"/>
      <c r="M141" s="70"/>
      <c r="N141" s="70"/>
      <c r="O141" s="70"/>
      <c r="P141" s="70">
        <v>40063.086746666697</v>
      </c>
      <c r="Q141" s="70">
        <v>23031.2733333334</v>
      </c>
      <c r="R141" s="467">
        <f>P141+O141+M141+N141+L141+K141+Q141</f>
        <v>63094.3600800001</v>
      </c>
      <c r="S141" s="70">
        <v>274796.55658666702</v>
      </c>
      <c r="T141" s="466">
        <f t="shared" si="47"/>
        <v>274796.55658666702</v>
      </c>
    </row>
    <row r="142" spans="1:20" ht="24.75" customHeight="1" x14ac:dyDescent="0.2">
      <c r="A142" s="8">
        <v>3</v>
      </c>
      <c r="B142" s="9" t="s">
        <v>248</v>
      </c>
      <c r="C142" s="2" t="s">
        <v>249</v>
      </c>
      <c r="D142" s="8" t="s">
        <v>108</v>
      </c>
      <c r="E142" s="70">
        <v>287890.91666666698</v>
      </c>
      <c r="F142" s="70"/>
      <c r="G142" s="186"/>
      <c r="H142" s="186">
        <v>50000</v>
      </c>
      <c r="I142" s="70"/>
      <c r="J142" s="466">
        <f>SUM(E142:I142)</f>
        <v>337890.91666666698</v>
      </c>
      <c r="K142" s="70"/>
      <c r="L142" s="70"/>
      <c r="M142" s="70"/>
      <c r="N142" s="70"/>
      <c r="O142" s="70"/>
      <c r="P142" s="70">
        <v>40063.086746666697</v>
      </c>
      <c r="Q142" s="70">
        <v>23031.2733333334</v>
      </c>
      <c r="R142" s="467">
        <f>P142+O142+M142+N142+L142+K142+Q142</f>
        <v>63094.3600800001</v>
      </c>
      <c r="S142" s="70">
        <v>274796.55658666702</v>
      </c>
      <c r="T142" s="466">
        <f t="shared" si="47"/>
        <v>274796.55658666702</v>
      </c>
    </row>
    <row r="143" spans="1:20" ht="20.100000000000001" customHeight="1" x14ac:dyDescent="0.5">
      <c r="A143" s="2"/>
      <c r="B143" s="18" t="s">
        <v>111</v>
      </c>
      <c r="C143" s="19">
        <v>3</v>
      </c>
      <c r="D143" s="24"/>
      <c r="E143" s="78">
        <f>SUM(E140:E142)</f>
        <v>906188.91666666698</v>
      </c>
      <c r="F143" s="78">
        <f>SUM(F140:F142)</f>
        <v>671022.74999999697</v>
      </c>
      <c r="G143" s="78">
        <f t="shared" ref="G143:S143" si="49">SUM(G140:G142)</f>
        <v>0</v>
      </c>
      <c r="H143" s="78">
        <f t="shared" si="49"/>
        <v>160000</v>
      </c>
      <c r="I143" s="78">
        <f t="shared" si="49"/>
        <v>0</v>
      </c>
      <c r="J143" s="78">
        <f t="shared" si="49"/>
        <v>1737211.66666666</v>
      </c>
      <c r="K143" s="78">
        <f t="shared" si="49"/>
        <v>0</v>
      </c>
      <c r="L143" s="78">
        <f t="shared" si="49"/>
        <v>0</v>
      </c>
      <c r="M143" s="78">
        <f t="shared" si="49"/>
        <v>0</v>
      </c>
      <c r="N143" s="78">
        <f>SUM(N140:N142)</f>
        <v>0</v>
      </c>
      <c r="O143" s="78">
        <f>SUM(O140:O142)</f>
        <v>0</v>
      </c>
      <c r="P143" s="78">
        <f>SUM(P140:P142)</f>
        <v>234507.71736000001</v>
      </c>
      <c r="Q143" s="78">
        <f>SUM(Q140:Q142)</f>
        <v>72495.113333333502</v>
      </c>
      <c r="R143" s="78">
        <f>SUM(R140:R142)</f>
        <v>307002.83069333399</v>
      </c>
      <c r="S143" s="78">
        <v>549593.11317333404</v>
      </c>
      <c r="T143" s="78">
        <f>SUM(T140:T142)</f>
        <v>1430208.8359733301</v>
      </c>
    </row>
    <row r="144" spans="1:20" ht="20.100000000000001" customHeight="1" x14ac:dyDescent="0.5">
      <c r="A144" s="2"/>
      <c r="B144" s="18"/>
      <c r="C144" s="19"/>
      <c r="D144" s="24"/>
      <c r="E144" s="78"/>
      <c r="F144" s="78"/>
      <c r="G144" s="78"/>
      <c r="H144" s="78"/>
      <c r="I144" s="78"/>
      <c r="J144" s="923"/>
      <c r="K144" s="78"/>
      <c r="L144" s="78"/>
      <c r="M144" s="78"/>
      <c r="N144" s="78"/>
      <c r="O144" s="78"/>
      <c r="P144" s="78"/>
      <c r="Q144" s="78"/>
      <c r="R144" s="925"/>
      <c r="S144" s="78"/>
      <c r="T144" s="923"/>
    </row>
    <row r="145" spans="1:21" ht="20.100000000000001" customHeight="1" x14ac:dyDescent="0.2">
      <c r="A145" s="2"/>
      <c r="B145" s="18" t="s">
        <v>250</v>
      </c>
      <c r="C145" s="19"/>
      <c r="D145" s="19"/>
      <c r="E145" s="122"/>
      <c r="F145" s="122"/>
      <c r="G145" s="186"/>
      <c r="H145" s="186"/>
      <c r="I145" s="122"/>
      <c r="J145" s="473"/>
      <c r="K145" s="122"/>
      <c r="L145" s="122"/>
      <c r="M145" s="122"/>
      <c r="N145" s="122"/>
      <c r="O145" s="122"/>
      <c r="P145" s="122"/>
      <c r="Q145" s="122"/>
      <c r="R145" s="467"/>
      <c r="S145" s="70"/>
      <c r="T145" s="466"/>
    </row>
    <row r="146" spans="1:21" ht="20.100000000000001" customHeight="1" x14ac:dyDescent="0.2">
      <c r="A146" s="2">
        <v>1</v>
      </c>
      <c r="B146" s="9" t="s">
        <v>251</v>
      </c>
      <c r="C146" s="10" t="s">
        <v>252</v>
      </c>
      <c r="D146" s="13" t="s">
        <v>115</v>
      </c>
      <c r="E146" s="70">
        <v>1747106.41666666</v>
      </c>
      <c r="F146" s="70"/>
      <c r="G146" s="186"/>
      <c r="H146" s="186">
        <f>100000</f>
        <v>100000</v>
      </c>
      <c r="I146" s="70">
        <v>100000</v>
      </c>
      <c r="J146" s="466">
        <f>SUM(E146:I146)</f>
        <v>1947106.41666666</v>
      </c>
      <c r="K146" s="70"/>
      <c r="L146" s="70">
        <f>200000</f>
        <v>200000</v>
      </c>
      <c r="M146" s="70">
        <f>627777.78</f>
        <v>627777.78</v>
      </c>
      <c r="N146" s="70">
        <v>72000</v>
      </c>
      <c r="O146" s="70">
        <v>27169.427083333299</v>
      </c>
      <c r="P146" s="70">
        <v>320459.01410666498</v>
      </c>
      <c r="Q146" s="70">
        <v>139768.51333333299</v>
      </c>
      <c r="R146" s="467">
        <f>P146+O146+M146+N146+L146+K146+Q146</f>
        <v>1387174.7345233299</v>
      </c>
      <c r="S146" s="70">
        <v>931931.68214332999</v>
      </c>
      <c r="T146" s="466">
        <f t="shared" ref="T146:T156" si="50">J146-R146</f>
        <v>559931.68214332894</v>
      </c>
    </row>
    <row r="147" spans="1:21" ht="20.100000000000001" customHeight="1" x14ac:dyDescent="0.2">
      <c r="A147" s="2">
        <v>2</v>
      </c>
      <c r="B147" s="9" t="s">
        <v>253</v>
      </c>
      <c r="C147" s="10" t="s">
        <v>254</v>
      </c>
      <c r="D147" s="13" t="s">
        <v>154</v>
      </c>
      <c r="E147" s="70">
        <v>905306.75</v>
      </c>
      <c r="F147" s="70"/>
      <c r="G147" s="186"/>
      <c r="H147" s="186">
        <f>90000</f>
        <v>90000</v>
      </c>
      <c r="I147" s="70">
        <v>100000</v>
      </c>
      <c r="J147" s="466">
        <f t="shared" ref="J147:J156" si="51">SUM(E147:I147)</f>
        <v>1095306.75</v>
      </c>
      <c r="K147" s="70"/>
      <c r="L147" s="70">
        <v>0</v>
      </c>
      <c r="M147" s="70">
        <f>0</f>
        <v>0</v>
      </c>
      <c r="N147" s="70"/>
      <c r="O147" s="70">
        <v>13866.737499999999</v>
      </c>
      <c r="P147" s="70">
        <v>172397.63738666699</v>
      </c>
      <c r="Q147" s="70">
        <v>72424.539999999994</v>
      </c>
      <c r="R147" s="467">
        <f t="shared" ref="R147:R156" si="52">P147+O147+M147+N147+L147+K147+Q147</f>
        <v>258688.91488666699</v>
      </c>
      <c r="S147" s="70">
        <v>836617.83511333296</v>
      </c>
      <c r="T147" s="466">
        <f t="shared" si="50"/>
        <v>836617.83511333296</v>
      </c>
    </row>
    <row r="148" spans="1:21" ht="20.100000000000001" customHeight="1" x14ac:dyDescent="0.2">
      <c r="A148" s="2">
        <v>3</v>
      </c>
      <c r="B148" s="12" t="s">
        <v>255</v>
      </c>
      <c r="C148" s="10" t="s">
        <v>256</v>
      </c>
      <c r="D148" s="13" t="s">
        <v>192</v>
      </c>
      <c r="E148" s="70">
        <v>879008.91666666698</v>
      </c>
      <c r="F148" s="70">
        <f>26297.8333333367*2</f>
        <v>52595.666666673402</v>
      </c>
      <c r="G148" s="186"/>
      <c r="H148" s="186">
        <f>90000</f>
        <v>90000</v>
      </c>
      <c r="I148" s="70">
        <f>100000+30000</f>
        <v>130000</v>
      </c>
      <c r="J148" s="466">
        <f t="shared" si="51"/>
        <v>1151604.58333334</v>
      </c>
      <c r="K148" s="70"/>
      <c r="L148" s="70">
        <f>350000</f>
        <v>350000</v>
      </c>
      <c r="M148" s="70"/>
      <c r="N148" s="70"/>
      <c r="O148" s="70">
        <v>13084.6625</v>
      </c>
      <c r="P148" s="70">
        <v>184164.84922666801</v>
      </c>
      <c r="Q148" s="70">
        <v>68216.8866666666</v>
      </c>
      <c r="R148" s="467">
        <f t="shared" si="52"/>
        <v>615466.39839333505</v>
      </c>
      <c r="S148" s="70">
        <v>572392.23693999695</v>
      </c>
      <c r="T148" s="466">
        <f t="shared" si="50"/>
        <v>536138.18494000495</v>
      </c>
      <c r="U148" s="11">
        <f>T148-S148</f>
        <v>-36254.051999991498</v>
      </c>
    </row>
    <row r="149" spans="1:21" ht="20.100000000000001" customHeight="1" x14ac:dyDescent="0.2">
      <c r="A149" s="2">
        <v>4</v>
      </c>
      <c r="B149" s="9" t="s">
        <v>257</v>
      </c>
      <c r="C149" s="10" t="s">
        <v>258</v>
      </c>
      <c r="D149" s="13" t="s">
        <v>41</v>
      </c>
      <c r="E149" s="70">
        <v>589657</v>
      </c>
      <c r="F149" s="70"/>
      <c r="G149" s="186"/>
      <c r="H149" s="186">
        <f>70000</f>
        <v>70000</v>
      </c>
      <c r="I149" s="70">
        <v>0</v>
      </c>
      <c r="J149" s="466">
        <f t="shared" si="51"/>
        <v>659657</v>
      </c>
      <c r="K149" s="70"/>
      <c r="L149" s="70">
        <v>5000</v>
      </c>
      <c r="M149" s="70">
        <v>195000</v>
      </c>
      <c r="N149" s="70"/>
      <c r="O149" s="70"/>
      <c r="P149" s="70">
        <v>96263.679146666705</v>
      </c>
      <c r="Q149" s="70">
        <v>47172.56</v>
      </c>
      <c r="R149" s="467">
        <f t="shared" si="52"/>
        <v>343436.23914666701</v>
      </c>
      <c r="S149" s="70">
        <v>316220.76085333299</v>
      </c>
      <c r="T149" s="466">
        <f t="shared" si="50"/>
        <v>316220.76085333299</v>
      </c>
    </row>
    <row r="150" spans="1:21" ht="20.100000000000001" customHeight="1" x14ac:dyDescent="0.2">
      <c r="A150" s="2">
        <v>5</v>
      </c>
      <c r="B150" s="9" t="s">
        <v>259</v>
      </c>
      <c r="C150" s="10" t="s">
        <v>258</v>
      </c>
      <c r="D150" s="13" t="s">
        <v>46</v>
      </c>
      <c r="E150" s="70">
        <v>558165.25</v>
      </c>
      <c r="F150" s="70"/>
      <c r="G150" s="186"/>
      <c r="H150" s="186">
        <f t="shared" ref="H150:H151" si="53">70000</f>
        <v>70000</v>
      </c>
      <c r="I150" s="70">
        <v>0</v>
      </c>
      <c r="J150" s="466">
        <f t="shared" si="51"/>
        <v>628165.25</v>
      </c>
      <c r="K150" s="70"/>
      <c r="L150" s="70">
        <f>20000</f>
        <v>20000</v>
      </c>
      <c r="M150" s="70">
        <v>75694.44</v>
      </c>
      <c r="N150" s="70"/>
      <c r="O150" s="70">
        <v>8692.8979166666704</v>
      </c>
      <c r="P150" s="70">
        <v>89031.940026666707</v>
      </c>
      <c r="Q150" s="70">
        <v>44653.22</v>
      </c>
      <c r="R150" s="467">
        <f t="shared" si="52"/>
        <v>238072.497943333</v>
      </c>
      <c r="S150" s="70">
        <v>390092.752056667</v>
      </c>
      <c r="T150" s="466">
        <f t="shared" si="50"/>
        <v>390092.752056667</v>
      </c>
    </row>
    <row r="151" spans="1:21" ht="20.100000000000001" customHeight="1" x14ac:dyDescent="0.2">
      <c r="A151" s="2">
        <v>6</v>
      </c>
      <c r="B151" s="9" t="s">
        <v>260</v>
      </c>
      <c r="C151" s="10" t="s">
        <v>258</v>
      </c>
      <c r="D151" s="13" t="s">
        <v>176</v>
      </c>
      <c r="E151" s="70">
        <v>573911.08333333395</v>
      </c>
      <c r="F151" s="70"/>
      <c r="G151" s="186"/>
      <c r="H151" s="186">
        <f t="shared" si="53"/>
        <v>70000</v>
      </c>
      <c r="I151" s="70"/>
      <c r="J151" s="466">
        <f t="shared" si="51"/>
        <v>643911.08333333395</v>
      </c>
      <c r="K151" s="70"/>
      <c r="L151" s="70">
        <f>35000+25000</f>
        <v>60000</v>
      </c>
      <c r="M151" s="70">
        <f>55000</f>
        <v>55000</v>
      </c>
      <c r="N151" s="70"/>
      <c r="O151" s="70">
        <v>8926.6666666666806</v>
      </c>
      <c r="P151" s="70">
        <v>91768.400426666805</v>
      </c>
      <c r="Q151" s="70">
        <v>45912.886666666702</v>
      </c>
      <c r="R151" s="467">
        <f t="shared" si="52"/>
        <v>261607.95376</v>
      </c>
      <c r="S151" s="70">
        <v>382303.12957333401</v>
      </c>
      <c r="T151" s="466">
        <f t="shared" si="50"/>
        <v>382303.12957333401</v>
      </c>
    </row>
    <row r="152" spans="1:21" ht="20.100000000000001" customHeight="1" x14ac:dyDescent="0.2">
      <c r="A152" s="2">
        <v>7</v>
      </c>
      <c r="B152" s="16" t="s">
        <v>261</v>
      </c>
      <c r="C152" s="10" t="s">
        <v>262</v>
      </c>
      <c r="D152" s="13" t="s">
        <v>73</v>
      </c>
      <c r="E152" s="70">
        <v>372145.33333333302</v>
      </c>
      <c r="F152" s="70"/>
      <c r="G152" s="186"/>
      <c r="H152" s="186">
        <v>60000</v>
      </c>
      <c r="I152" s="70"/>
      <c r="J152" s="467">
        <f t="shared" si="51"/>
        <v>432145.33333333302</v>
      </c>
      <c r="K152" s="70"/>
      <c r="L152" s="638"/>
      <c r="M152" s="638"/>
      <c r="N152" s="922"/>
      <c r="P152" s="638">
        <v>55922.418346666702</v>
      </c>
      <c r="Q152" s="639">
        <v>29771.6266666667</v>
      </c>
      <c r="R152" s="467">
        <f t="shared" si="52"/>
        <v>85694.045013333394</v>
      </c>
      <c r="S152" s="70">
        <v>346451.28831999999</v>
      </c>
      <c r="T152" s="467">
        <f t="shared" si="50"/>
        <v>346451.28831999999</v>
      </c>
    </row>
    <row r="153" spans="1:21" ht="20.100000000000001" customHeight="1" x14ac:dyDescent="0.2">
      <c r="A153" s="2">
        <v>8</v>
      </c>
      <c r="B153" s="9" t="s">
        <v>263</v>
      </c>
      <c r="C153" s="10" t="s">
        <v>264</v>
      </c>
      <c r="D153" s="8" t="s">
        <v>79</v>
      </c>
      <c r="E153" s="70">
        <v>355320.66666666698</v>
      </c>
      <c r="F153" s="70"/>
      <c r="G153" s="186"/>
      <c r="H153" s="186">
        <f>60000</f>
        <v>60000</v>
      </c>
      <c r="I153" s="70"/>
      <c r="J153" s="466">
        <f t="shared" si="51"/>
        <v>415320.66666666698</v>
      </c>
      <c r="K153" s="70"/>
      <c r="L153" s="70">
        <v>15000</v>
      </c>
      <c r="M153" s="70">
        <v>150000</v>
      </c>
      <c r="N153" s="70"/>
      <c r="O153" s="70"/>
      <c r="P153" s="70">
        <v>52950.509226666698</v>
      </c>
      <c r="Q153" s="70">
        <v>28425.653333333401</v>
      </c>
      <c r="R153" s="467">
        <f t="shared" si="52"/>
        <v>246376.16256</v>
      </c>
      <c r="S153" s="70">
        <v>168944.50410666701</v>
      </c>
      <c r="T153" s="466">
        <f t="shared" si="50"/>
        <v>168944.50410666701</v>
      </c>
    </row>
    <row r="154" spans="1:21" ht="20.100000000000001" customHeight="1" x14ac:dyDescent="0.2">
      <c r="A154" s="2">
        <v>9</v>
      </c>
      <c r="B154" s="16" t="s">
        <v>265</v>
      </c>
      <c r="C154" s="10" t="s">
        <v>266</v>
      </c>
      <c r="D154" s="13" t="s">
        <v>102</v>
      </c>
      <c r="E154" s="70">
        <v>301910.75</v>
      </c>
      <c r="F154" s="70"/>
      <c r="G154" s="186"/>
      <c r="H154" s="186">
        <f>50000</f>
        <v>50000</v>
      </c>
      <c r="I154" s="70"/>
      <c r="J154" s="466">
        <f t="shared" si="51"/>
        <v>351910.75</v>
      </c>
      <c r="K154" s="70"/>
      <c r="L154" s="70">
        <f>10000</f>
        <v>10000</v>
      </c>
      <c r="M154" s="70">
        <f>100000</f>
        <v>100000</v>
      </c>
      <c r="N154" s="915"/>
      <c r="O154" s="860">
        <v>4909.1104166666801</v>
      </c>
      <c r="P154" s="70">
        <v>42229.992186666699</v>
      </c>
      <c r="Q154" s="70">
        <v>24152.86</v>
      </c>
      <c r="R154" s="467">
        <f t="shared" si="52"/>
        <v>181291.962603333</v>
      </c>
      <c r="S154" s="70">
        <v>170618.787396667</v>
      </c>
      <c r="T154" s="466">
        <f t="shared" si="50"/>
        <v>170618.787396667</v>
      </c>
    </row>
    <row r="155" spans="1:21" ht="20.100000000000001" customHeight="1" x14ac:dyDescent="0.2">
      <c r="A155" s="2">
        <v>10</v>
      </c>
      <c r="B155" s="16" t="s">
        <v>267</v>
      </c>
      <c r="C155" s="10" t="s">
        <v>262</v>
      </c>
      <c r="D155" s="13" t="s">
        <v>102</v>
      </c>
      <c r="E155" s="70">
        <v>301910.75</v>
      </c>
      <c r="F155" s="70"/>
      <c r="G155" s="186"/>
      <c r="H155" s="186">
        <v>50000</v>
      </c>
      <c r="I155" s="70"/>
      <c r="J155" s="466">
        <f t="shared" si="51"/>
        <v>351910.75</v>
      </c>
      <c r="K155" s="70"/>
      <c r="L155" s="70">
        <f>10000+10000</f>
        <v>20000</v>
      </c>
      <c r="M155" s="70">
        <v>63888.89</v>
      </c>
      <c r="N155" s="915"/>
      <c r="O155" s="860">
        <v>4909.1104166666801</v>
      </c>
      <c r="P155" s="70">
        <v>42229.992186666699</v>
      </c>
      <c r="Q155" s="70">
        <v>24152.86</v>
      </c>
      <c r="R155" s="467">
        <f t="shared" si="52"/>
        <v>155180.85260333301</v>
      </c>
      <c r="S155" s="70">
        <v>196729.89739666699</v>
      </c>
      <c r="T155" s="466">
        <f t="shared" si="50"/>
        <v>196729.89739666699</v>
      </c>
    </row>
    <row r="156" spans="1:21" ht="20.100000000000001" customHeight="1" x14ac:dyDescent="0.2">
      <c r="A156" s="2">
        <v>11</v>
      </c>
      <c r="B156" s="16" t="s">
        <v>268</v>
      </c>
      <c r="C156" s="10" t="s">
        <v>266</v>
      </c>
      <c r="D156" s="13" t="s">
        <v>105</v>
      </c>
      <c r="E156" s="921">
        <v>294900.83333333401</v>
      </c>
      <c r="F156" s="70"/>
      <c r="G156" s="186"/>
      <c r="H156" s="186">
        <v>50000</v>
      </c>
      <c r="I156" s="70"/>
      <c r="J156" s="466">
        <f t="shared" si="51"/>
        <v>344900.83333333401</v>
      </c>
      <c r="K156" s="70"/>
      <c r="L156" s="638">
        <f>20000</f>
        <v>20000</v>
      </c>
      <c r="M156" s="638">
        <v>100000</v>
      </c>
      <c r="N156" s="916"/>
      <c r="O156" s="860">
        <v>4804.4854166666801</v>
      </c>
      <c r="P156" s="638">
        <v>41146.5394666668</v>
      </c>
      <c r="Q156" s="639">
        <v>23592.066666666698</v>
      </c>
      <c r="R156" s="467">
        <f t="shared" si="52"/>
        <v>189543.09155000001</v>
      </c>
      <c r="S156" s="70">
        <v>205357.741783334</v>
      </c>
      <c r="T156" s="466">
        <f t="shared" si="50"/>
        <v>155357.741783334</v>
      </c>
    </row>
    <row r="157" spans="1:21" ht="28.5" customHeight="1" x14ac:dyDescent="0.2">
      <c r="A157" s="2"/>
      <c r="B157" s="18" t="s">
        <v>111</v>
      </c>
      <c r="C157" s="24" t="s">
        <v>269</v>
      </c>
      <c r="D157" s="13"/>
      <c r="E157" s="187">
        <f>SUM(E146:E156)</f>
        <v>6879343.7499999898</v>
      </c>
      <c r="F157" s="187">
        <f>SUM(F146:F156)</f>
        <v>52595.666666673402</v>
      </c>
      <c r="G157" s="187">
        <f t="shared" ref="G157:S157" si="54">SUM(G146:G156)</f>
        <v>0</v>
      </c>
      <c r="H157" s="187">
        <f t="shared" si="54"/>
        <v>760000</v>
      </c>
      <c r="I157" s="187">
        <f t="shared" si="54"/>
        <v>330000</v>
      </c>
      <c r="J157" s="187">
        <f t="shared" si="54"/>
        <v>8021939.4166666698</v>
      </c>
      <c r="K157" s="187">
        <f t="shared" si="54"/>
        <v>0</v>
      </c>
      <c r="L157" s="187">
        <f t="shared" si="54"/>
        <v>700000</v>
      </c>
      <c r="M157" s="187">
        <f t="shared" si="54"/>
        <v>1367361.11</v>
      </c>
      <c r="N157" s="187">
        <f>SUM(N146:N156)</f>
        <v>72000</v>
      </c>
      <c r="O157" s="187">
        <f>SUM(O146:O156)</f>
        <v>86363.097916666695</v>
      </c>
      <c r="P157" s="187">
        <f>SUM(P146:P156)</f>
        <v>1188564.9717333301</v>
      </c>
      <c r="Q157" s="187">
        <f>SUM(Q146:Q156)</f>
        <v>548243.67333333299</v>
      </c>
      <c r="R157" s="187">
        <f>SUM(R146:R156)</f>
        <v>3962532.8529833299</v>
      </c>
      <c r="S157" s="187">
        <v>4517660.6156833302</v>
      </c>
      <c r="T157" s="187">
        <f>SUM(T146:T156)</f>
        <v>4059406.5636833301</v>
      </c>
    </row>
    <row r="158" spans="1:21" ht="20.100000000000001" customHeight="1" x14ac:dyDescent="0.2">
      <c r="A158" s="2"/>
      <c r="B158" s="20"/>
      <c r="C158" s="24"/>
      <c r="D158" s="13"/>
      <c r="E158" s="122"/>
      <c r="F158" s="122"/>
      <c r="G158" s="186"/>
      <c r="H158" s="186"/>
      <c r="I158" s="122"/>
      <c r="J158" s="473"/>
      <c r="K158" s="122"/>
      <c r="L158" s="122"/>
      <c r="M158" s="122"/>
      <c r="N158" s="122"/>
      <c r="O158" s="122"/>
      <c r="P158" s="122"/>
      <c r="Q158" s="122"/>
      <c r="R158" s="474"/>
      <c r="S158" s="122"/>
      <c r="T158" s="473"/>
    </row>
    <row r="159" spans="1:21" ht="20.100000000000001" customHeight="1" x14ac:dyDescent="0.2">
      <c r="A159" s="2"/>
      <c r="B159" s="18" t="s">
        <v>270</v>
      </c>
      <c r="C159" s="10"/>
      <c r="D159" s="13"/>
      <c r="E159" s="70"/>
      <c r="F159" s="70"/>
      <c r="G159" s="186"/>
      <c r="H159" s="186"/>
      <c r="I159" s="70"/>
      <c r="J159" s="466"/>
      <c r="K159" s="70"/>
      <c r="L159" s="70"/>
      <c r="M159" s="70"/>
      <c r="N159" s="70"/>
      <c r="O159" s="70"/>
      <c r="P159" s="70"/>
      <c r="Q159" s="70"/>
      <c r="R159" s="467"/>
      <c r="S159" s="70"/>
      <c r="T159" s="466"/>
    </row>
    <row r="160" spans="1:21" ht="20.100000000000001" customHeight="1" x14ac:dyDescent="0.2">
      <c r="A160" s="25">
        <v>1</v>
      </c>
      <c r="B160" s="12" t="s">
        <v>271</v>
      </c>
      <c r="C160" s="2" t="s">
        <v>272</v>
      </c>
      <c r="D160" s="8" t="s">
        <v>273</v>
      </c>
      <c r="E160" s="70">
        <v>1647612</v>
      </c>
      <c r="F160" s="70"/>
      <c r="G160" s="186"/>
      <c r="H160" s="186">
        <v>100000</v>
      </c>
      <c r="I160" s="70"/>
      <c r="J160" s="466">
        <f>E160+F160+G160+H160+I160</f>
        <v>1747612</v>
      </c>
      <c r="K160" s="70"/>
      <c r="L160" s="70">
        <f>20000+60000</f>
        <v>80000</v>
      </c>
      <c r="M160" s="70">
        <v>446457.79</v>
      </c>
      <c r="N160" s="70">
        <v>42000</v>
      </c>
      <c r="O160" s="70">
        <v>25644.208333333299</v>
      </c>
      <c r="P160" s="70">
        <v>283977.16234666703</v>
      </c>
      <c r="Q160" s="70">
        <v>131808.95999999999</v>
      </c>
      <c r="R160" s="467">
        <f>P160+O160+M160+N160+L160+K160+Q160</f>
        <v>1009888.1206800001</v>
      </c>
      <c r="S160" s="70">
        <v>995681.86932000006</v>
      </c>
      <c r="T160" s="466">
        <f t="shared" ref="T160:T168" si="55">J160-R160</f>
        <v>737723.87931999995</v>
      </c>
    </row>
    <row r="161" spans="1:20" ht="20.100000000000001" customHeight="1" x14ac:dyDescent="0.2">
      <c r="A161" s="25">
        <v>2</v>
      </c>
      <c r="B161" s="12" t="s">
        <v>274</v>
      </c>
      <c r="C161" s="2" t="s">
        <v>275</v>
      </c>
      <c r="D161" s="14" t="s">
        <v>154</v>
      </c>
      <c r="E161" s="70">
        <v>905306.75</v>
      </c>
      <c r="F161" s="70"/>
      <c r="G161" s="186"/>
      <c r="H161" s="186">
        <f>80000+10000</f>
        <v>90000</v>
      </c>
      <c r="I161" s="70">
        <v>50000</v>
      </c>
      <c r="J161" s="466">
        <f t="shared" ref="J161:J168" si="56">SUM(E161:I161)</f>
        <v>1045306.75</v>
      </c>
      <c r="K161" s="70"/>
      <c r="L161" s="70">
        <f>37500</f>
        <v>37500</v>
      </c>
      <c r="M161" s="70"/>
      <c r="N161" s="70"/>
      <c r="O161" s="70">
        <v>13866.737499999999</v>
      </c>
      <c r="P161" s="70">
        <v>162797.63738666699</v>
      </c>
      <c r="Q161" s="70">
        <v>72424.539999999994</v>
      </c>
      <c r="R161" s="467">
        <f t="shared" ref="R161:R205" si="57">P161+O161+M161+N161+L161+K161+Q161</f>
        <v>286588.91488666699</v>
      </c>
      <c r="S161" s="70">
        <v>758717.83511333296</v>
      </c>
      <c r="T161" s="466">
        <f t="shared" si="55"/>
        <v>758717.83511333296</v>
      </c>
    </row>
    <row r="162" spans="1:20" ht="20.100000000000001" customHeight="1" x14ac:dyDescent="0.2">
      <c r="A162" s="25">
        <v>3</v>
      </c>
      <c r="B162" s="9" t="s">
        <v>276</v>
      </c>
      <c r="C162" s="10" t="s">
        <v>277</v>
      </c>
      <c r="D162" s="13" t="s">
        <v>49</v>
      </c>
      <c r="E162" s="70">
        <v>700713.91666666605</v>
      </c>
      <c r="F162" s="70"/>
      <c r="G162" s="186"/>
      <c r="H162" s="186">
        <v>80000</v>
      </c>
      <c r="I162" s="70"/>
      <c r="J162" s="466">
        <f t="shared" si="56"/>
        <v>780713.91666666605</v>
      </c>
      <c r="K162" s="70"/>
      <c r="L162" s="70">
        <f>30000+20000</f>
        <v>50000</v>
      </c>
      <c r="M162" s="70">
        <f>191666.67</f>
        <v>191666.67</v>
      </c>
      <c r="N162" s="70"/>
      <c r="O162" s="70">
        <v>10824.5270833333</v>
      </c>
      <c r="P162" s="70">
        <v>115722.463706667</v>
      </c>
      <c r="Q162" s="70">
        <v>56057.113333333298</v>
      </c>
      <c r="R162" s="467">
        <f t="shared" si="57"/>
        <v>424270.77412333398</v>
      </c>
      <c r="S162" s="70">
        <v>356443.142543333</v>
      </c>
      <c r="T162" s="466">
        <f t="shared" si="55"/>
        <v>356443.14254333201</v>
      </c>
    </row>
    <row r="163" spans="1:20" ht="20.100000000000001" customHeight="1" x14ac:dyDescent="0.2">
      <c r="A163" s="25">
        <v>4</v>
      </c>
      <c r="B163" s="9" t="s">
        <v>278</v>
      </c>
      <c r="C163" s="2" t="s">
        <v>279</v>
      </c>
      <c r="D163" s="13" t="s">
        <v>49</v>
      </c>
      <c r="E163" s="70">
        <v>700713.91666666605</v>
      </c>
      <c r="F163" s="70"/>
      <c r="G163" s="186"/>
      <c r="H163" s="186">
        <v>80000</v>
      </c>
      <c r="I163" s="70">
        <v>0</v>
      </c>
      <c r="J163" s="466">
        <f t="shared" si="56"/>
        <v>780713.91666666605</v>
      </c>
      <c r="K163" s="70"/>
      <c r="L163" s="70">
        <v>20000</v>
      </c>
      <c r="M163" s="70"/>
      <c r="N163" s="70"/>
      <c r="O163" s="70">
        <v>10824.5270833333</v>
      </c>
      <c r="P163" s="70">
        <v>115722.463706667</v>
      </c>
      <c r="Q163" s="70">
        <v>56057.113333333298</v>
      </c>
      <c r="R163" s="467">
        <f t="shared" si="57"/>
        <v>202604.10412333399</v>
      </c>
      <c r="S163" s="70">
        <v>578109.81254333304</v>
      </c>
      <c r="T163" s="466">
        <f t="shared" si="55"/>
        <v>578109.81254333199</v>
      </c>
    </row>
    <row r="164" spans="1:20" ht="20.100000000000001" customHeight="1" x14ac:dyDescent="0.2">
      <c r="A164" s="25">
        <v>5</v>
      </c>
      <c r="B164" s="9" t="s">
        <v>280</v>
      </c>
      <c r="C164" s="2" t="s">
        <v>279</v>
      </c>
      <c r="D164" s="13" t="s">
        <v>49</v>
      </c>
      <c r="E164" s="70">
        <v>700713.91666666605</v>
      </c>
      <c r="F164" s="70"/>
      <c r="G164" s="186"/>
      <c r="H164" s="186">
        <v>80000</v>
      </c>
      <c r="I164" s="70">
        <v>0</v>
      </c>
      <c r="J164" s="466">
        <f t="shared" si="56"/>
        <v>780713.91666666605</v>
      </c>
      <c r="K164" s="70"/>
      <c r="L164" s="70">
        <f>0</f>
        <v>0</v>
      </c>
      <c r="M164" s="70">
        <v>0</v>
      </c>
      <c r="N164" s="70"/>
      <c r="O164" s="70">
        <v>10824.5270833333</v>
      </c>
      <c r="P164" s="70">
        <v>115722.463706667</v>
      </c>
      <c r="Q164" s="70">
        <v>56057.113333333298</v>
      </c>
      <c r="R164" s="467">
        <f t="shared" si="57"/>
        <v>182604.10412333399</v>
      </c>
      <c r="S164" s="70">
        <v>598109.81254333304</v>
      </c>
      <c r="T164" s="466">
        <f t="shared" si="55"/>
        <v>598109.81254333199</v>
      </c>
    </row>
    <row r="165" spans="1:20" ht="20.100000000000001" customHeight="1" x14ac:dyDescent="0.2">
      <c r="A165" s="25">
        <v>6</v>
      </c>
      <c r="B165" s="9" t="s">
        <v>281</v>
      </c>
      <c r="C165" s="10" t="s">
        <v>214</v>
      </c>
      <c r="D165" s="13" t="s">
        <v>159</v>
      </c>
      <c r="E165" s="70">
        <v>482846.58333333401</v>
      </c>
      <c r="F165" s="70"/>
      <c r="G165" s="186"/>
      <c r="H165" s="186">
        <f>70000</f>
        <v>70000</v>
      </c>
      <c r="I165" s="70">
        <v>0</v>
      </c>
      <c r="J165" s="466">
        <f t="shared" si="56"/>
        <v>552846.58333333395</v>
      </c>
      <c r="K165" s="70"/>
      <c r="L165" s="70"/>
      <c r="M165" s="70">
        <f>100000</f>
        <v>100000</v>
      </c>
      <c r="N165" s="70"/>
      <c r="O165" s="70"/>
      <c r="P165" s="70">
        <v>79980.253226666697</v>
      </c>
      <c r="Q165" s="70">
        <v>39797.82</v>
      </c>
      <c r="R165" s="467">
        <f t="shared" si="57"/>
        <v>219778.07322666701</v>
      </c>
      <c r="S165" s="70">
        <v>333068.510106667</v>
      </c>
      <c r="T165" s="466">
        <f t="shared" si="55"/>
        <v>333068.510106667</v>
      </c>
    </row>
    <row r="166" spans="1:20" ht="20.100000000000001" customHeight="1" x14ac:dyDescent="0.2">
      <c r="A166" s="25">
        <v>7</v>
      </c>
      <c r="B166" s="9" t="s">
        <v>282</v>
      </c>
      <c r="C166" s="2" t="s">
        <v>283</v>
      </c>
      <c r="D166" s="13" t="s">
        <v>159</v>
      </c>
      <c r="E166" s="70">
        <v>482846.58333333401</v>
      </c>
      <c r="F166" s="70"/>
      <c r="G166" s="186"/>
      <c r="H166" s="186">
        <f>120000</f>
        <v>120000</v>
      </c>
      <c r="I166" s="70"/>
      <c r="J166" s="466">
        <f t="shared" si="56"/>
        <v>602846.58333333395</v>
      </c>
      <c r="K166" s="70"/>
      <c r="L166" s="70">
        <v>60000</v>
      </c>
      <c r="M166" s="70">
        <v>96206.93</v>
      </c>
      <c r="N166" s="70"/>
      <c r="O166" s="70"/>
      <c r="P166" s="70">
        <v>86996.687146666794</v>
      </c>
      <c r="Q166" s="70">
        <v>38627.726666666698</v>
      </c>
      <c r="R166" s="467">
        <f t="shared" si="57"/>
        <v>281831.34381333302</v>
      </c>
      <c r="S166" s="70">
        <v>417222.16952000099</v>
      </c>
      <c r="T166" s="466">
        <f t="shared" si="55"/>
        <v>321015.23952</v>
      </c>
    </row>
    <row r="167" spans="1:20" ht="20.100000000000001" customHeight="1" x14ac:dyDescent="0.2">
      <c r="A167" s="25">
        <v>8</v>
      </c>
      <c r="B167" s="9" t="s">
        <v>284</v>
      </c>
      <c r="C167" s="10" t="s">
        <v>285</v>
      </c>
      <c r="D167" s="13" t="s">
        <v>65</v>
      </c>
      <c r="E167" s="70">
        <v>482662.66666666698</v>
      </c>
      <c r="F167" s="70"/>
      <c r="G167" s="186"/>
      <c r="H167" s="186">
        <f t="shared" ref="H167:H175" si="58">60000</f>
        <v>60000</v>
      </c>
      <c r="I167" s="70"/>
      <c r="J167" s="466">
        <f t="shared" si="56"/>
        <v>542662.66666666698</v>
      </c>
      <c r="K167" s="70"/>
      <c r="L167" s="70">
        <v>35000</v>
      </c>
      <c r="M167" s="70">
        <v>159722.22</v>
      </c>
      <c r="N167" s="70"/>
      <c r="O167" s="70"/>
      <c r="P167" s="70">
        <v>75444.2001066667</v>
      </c>
      <c r="Q167" s="70">
        <v>38613.013333333402</v>
      </c>
      <c r="R167" s="467">
        <f t="shared" si="57"/>
        <v>308779.43343999999</v>
      </c>
      <c r="S167" s="70">
        <v>233883.23322666701</v>
      </c>
      <c r="T167" s="466">
        <f t="shared" si="55"/>
        <v>233883.23322666701</v>
      </c>
    </row>
    <row r="168" spans="1:20" ht="20.100000000000001" customHeight="1" x14ac:dyDescent="0.2">
      <c r="A168" s="25">
        <v>9</v>
      </c>
      <c r="B168" s="9" t="s">
        <v>286</v>
      </c>
      <c r="C168" s="10" t="s">
        <v>287</v>
      </c>
      <c r="D168" s="13" t="s">
        <v>162</v>
      </c>
      <c r="E168" s="70">
        <v>468828.16666666698</v>
      </c>
      <c r="F168" s="70"/>
      <c r="G168" s="186"/>
      <c r="H168" s="186">
        <f t="shared" si="58"/>
        <v>60000</v>
      </c>
      <c r="I168" s="70"/>
      <c r="J168" s="466">
        <f t="shared" si="56"/>
        <v>528828.16666666698</v>
      </c>
      <c r="K168" s="70"/>
      <c r="L168" s="70">
        <f t="shared" ref="L168:L172" si="59">10000</f>
        <v>10000</v>
      </c>
      <c r="M168" s="70">
        <v>200000</v>
      </c>
      <c r="N168" s="70"/>
      <c r="O168" s="70">
        <v>7366.5729166666797</v>
      </c>
      <c r="P168" s="70">
        <v>71586.092026666694</v>
      </c>
      <c r="Q168" s="70">
        <v>37506.253333333399</v>
      </c>
      <c r="R168" s="467">
        <f t="shared" si="57"/>
        <v>326458.91827666701</v>
      </c>
      <c r="S168" s="70">
        <v>202369.24838999999</v>
      </c>
      <c r="T168" s="466">
        <f t="shared" si="55"/>
        <v>202369.24838999999</v>
      </c>
    </row>
    <row r="169" spans="1:20" ht="20.100000000000001" customHeight="1" x14ac:dyDescent="0.2">
      <c r="A169" s="25">
        <v>10</v>
      </c>
      <c r="B169" s="16" t="s">
        <v>288</v>
      </c>
      <c r="C169" s="2" t="s">
        <v>289</v>
      </c>
      <c r="D169" s="13" t="s">
        <v>68</v>
      </c>
      <c r="E169" s="186">
        <v>454993.58333333302</v>
      </c>
      <c r="F169" s="70"/>
      <c r="G169" s="186"/>
      <c r="H169" s="186">
        <v>60000</v>
      </c>
      <c r="I169" s="70"/>
      <c r="J169" s="466">
        <f t="shared" ref="J169:J175" si="60">SUM(E169:I169)</f>
        <v>514993.58333333302</v>
      </c>
      <c r="K169" s="70"/>
      <c r="L169" s="70"/>
      <c r="M169" s="70"/>
      <c r="N169" s="70"/>
      <c r="O169" s="70">
        <v>7161.1770833333303</v>
      </c>
      <c r="P169" s="70">
        <v>70556.733226666605</v>
      </c>
      <c r="Q169" s="70">
        <v>36399.486666666598</v>
      </c>
      <c r="R169" s="467">
        <f t="shared" si="57"/>
        <v>114117.39697666701</v>
      </c>
      <c r="S169" s="70">
        <v>400876.18635666597</v>
      </c>
      <c r="T169" s="466">
        <f t="shared" ref="T169:T172" si="61">J169-R169</f>
        <v>400876.18635666597</v>
      </c>
    </row>
    <row r="170" spans="1:20" ht="20.100000000000001" customHeight="1" x14ac:dyDescent="0.2">
      <c r="A170" s="25">
        <v>11</v>
      </c>
      <c r="B170" s="9" t="s">
        <v>290</v>
      </c>
      <c r="C170" s="2" t="s">
        <v>289</v>
      </c>
      <c r="D170" s="13" t="s">
        <v>137</v>
      </c>
      <c r="E170" s="186">
        <v>441159</v>
      </c>
      <c r="F170" s="70"/>
      <c r="G170" s="186"/>
      <c r="H170" s="186">
        <f t="shared" si="58"/>
        <v>60000</v>
      </c>
      <c r="I170" s="70"/>
      <c r="J170" s="466">
        <f t="shared" si="60"/>
        <v>501159</v>
      </c>
      <c r="K170" s="70"/>
      <c r="L170" s="70">
        <f t="shared" si="59"/>
        <v>10000</v>
      </c>
      <c r="M170" s="70">
        <f>100000</f>
        <v>100000</v>
      </c>
      <c r="N170" s="70"/>
      <c r="O170" s="70"/>
      <c r="P170" s="70">
        <v>68112.992426666693</v>
      </c>
      <c r="Q170" s="70">
        <v>35292.720000000001</v>
      </c>
      <c r="R170" s="467">
        <f t="shared" si="57"/>
        <v>213405.71242666701</v>
      </c>
      <c r="S170" s="70">
        <v>287753.28757333301</v>
      </c>
      <c r="T170" s="466">
        <f t="shared" si="61"/>
        <v>287753.28757333301</v>
      </c>
    </row>
    <row r="171" spans="1:20" ht="20.100000000000001" customHeight="1" x14ac:dyDescent="0.2">
      <c r="A171" s="25">
        <v>12</v>
      </c>
      <c r="B171" s="9" t="s">
        <v>291</v>
      </c>
      <c r="C171" s="2" t="s">
        <v>289</v>
      </c>
      <c r="D171" s="13" t="s">
        <v>137</v>
      </c>
      <c r="E171" s="186">
        <v>441159</v>
      </c>
      <c r="F171" s="70"/>
      <c r="G171" s="186"/>
      <c r="H171" s="186">
        <f t="shared" si="58"/>
        <v>60000</v>
      </c>
      <c r="I171" s="70"/>
      <c r="J171" s="466">
        <f t="shared" si="60"/>
        <v>501159</v>
      </c>
      <c r="K171" s="70"/>
      <c r="L171" s="70">
        <f t="shared" si="59"/>
        <v>10000</v>
      </c>
      <c r="M171" s="70">
        <v>87500</v>
      </c>
      <c r="N171" s="70"/>
      <c r="O171" s="70">
        <v>6955.78125</v>
      </c>
      <c r="P171" s="70">
        <v>66777.482426666698</v>
      </c>
      <c r="Q171" s="70">
        <v>35292.720000000001</v>
      </c>
      <c r="R171" s="467">
        <f t="shared" si="57"/>
        <v>206525.98367666701</v>
      </c>
      <c r="S171" s="70">
        <v>294633.01632333302</v>
      </c>
      <c r="T171" s="466">
        <f t="shared" si="61"/>
        <v>294633.01632333302</v>
      </c>
    </row>
    <row r="172" spans="1:20" ht="20.100000000000001" customHeight="1" x14ac:dyDescent="0.2">
      <c r="A172" s="25">
        <v>12</v>
      </c>
      <c r="B172" s="9" t="s">
        <v>292</v>
      </c>
      <c r="C172" s="2" t="s">
        <v>289</v>
      </c>
      <c r="D172" s="13" t="s">
        <v>137</v>
      </c>
      <c r="E172" s="186">
        <v>441159</v>
      </c>
      <c r="F172" s="70">
        <v>350586</v>
      </c>
      <c r="G172" s="186"/>
      <c r="H172" s="186">
        <f t="shared" si="58"/>
        <v>60000</v>
      </c>
      <c r="I172" s="70"/>
      <c r="J172" s="466">
        <f t="shared" si="60"/>
        <v>851745</v>
      </c>
      <c r="K172" s="70"/>
      <c r="L172" s="70"/>
      <c r="M172" s="70"/>
      <c r="N172" s="70">
        <v>42000</v>
      </c>
      <c r="O172" s="70"/>
      <c r="P172" s="70">
        <f>68112.9924266667+64177.65</f>
        <v>132290.64242666701</v>
      </c>
      <c r="Q172" s="70">
        <v>35292.720000000001</v>
      </c>
      <c r="R172" s="467">
        <f t="shared" si="57"/>
        <v>209583.36242666701</v>
      </c>
      <c r="S172" s="70"/>
      <c r="T172" s="466">
        <f t="shared" si="61"/>
        <v>642161.63757333299</v>
      </c>
    </row>
    <row r="173" spans="1:20" ht="20.100000000000001" customHeight="1" x14ac:dyDescent="0.2">
      <c r="A173" s="25">
        <v>13</v>
      </c>
      <c r="B173" s="9" t="s">
        <v>293</v>
      </c>
      <c r="C173" s="2" t="s">
        <v>289</v>
      </c>
      <c r="D173" s="13" t="s">
        <v>68</v>
      </c>
      <c r="E173" s="186">
        <v>454993.58333333302</v>
      </c>
      <c r="F173" s="70"/>
      <c r="G173" s="186"/>
      <c r="H173" s="186">
        <f t="shared" si="58"/>
        <v>60000</v>
      </c>
      <c r="I173" s="70"/>
      <c r="J173" s="466">
        <f t="shared" si="60"/>
        <v>514993.58333333302</v>
      </c>
      <c r="K173" s="70"/>
      <c r="L173" s="70">
        <f>10000</f>
        <v>10000</v>
      </c>
      <c r="M173" s="70"/>
      <c r="N173" s="70">
        <v>42000</v>
      </c>
      <c r="O173" s="70"/>
      <c r="P173" s="70">
        <v>70556.733226666605</v>
      </c>
      <c r="Q173" s="70">
        <v>36399.486666666598</v>
      </c>
      <c r="R173" s="467">
        <f t="shared" si="57"/>
        <v>158956.21989333301</v>
      </c>
      <c r="S173" s="70">
        <v>398037.36343999999</v>
      </c>
      <c r="T173" s="466">
        <f t="shared" ref="T173:T192" si="62">J173-R173</f>
        <v>356037.36343999999</v>
      </c>
    </row>
    <row r="174" spans="1:20" ht="20.100000000000001" customHeight="1" x14ac:dyDescent="0.2">
      <c r="A174" s="25">
        <v>14</v>
      </c>
      <c r="B174" s="9" t="s">
        <v>294</v>
      </c>
      <c r="C174" s="10" t="s">
        <v>295</v>
      </c>
      <c r="D174" s="13" t="s">
        <v>119</v>
      </c>
      <c r="E174" s="186">
        <v>390135.83333333401</v>
      </c>
      <c r="F174" s="70"/>
      <c r="G174" s="186"/>
      <c r="H174" s="186">
        <f t="shared" si="58"/>
        <v>60000</v>
      </c>
      <c r="I174" s="70"/>
      <c r="J174" s="466">
        <f t="shared" si="60"/>
        <v>450135.83333333401</v>
      </c>
      <c r="K174" s="70"/>
      <c r="L174" s="70">
        <f>30000</f>
        <v>30000</v>
      </c>
      <c r="M174" s="70"/>
      <c r="N174" s="70"/>
      <c r="O174" s="70">
        <v>6154.2791666666799</v>
      </c>
      <c r="P174" s="70">
        <v>59100.260266666803</v>
      </c>
      <c r="Q174" s="70">
        <v>31210.866666666701</v>
      </c>
      <c r="R174" s="467">
        <f t="shared" si="57"/>
        <v>126465.40609999999</v>
      </c>
      <c r="S174" s="70">
        <v>323670.42723333399</v>
      </c>
      <c r="T174" s="466">
        <f t="shared" si="62"/>
        <v>323670.42723333399</v>
      </c>
    </row>
    <row r="175" spans="1:20" ht="20.100000000000001" customHeight="1" x14ac:dyDescent="0.2">
      <c r="A175" s="25">
        <v>15</v>
      </c>
      <c r="B175" s="9" t="s">
        <v>296</v>
      </c>
      <c r="C175" s="10" t="s">
        <v>297</v>
      </c>
      <c r="D175" s="8" t="s">
        <v>84</v>
      </c>
      <c r="E175" s="70">
        <v>347016.16666666599</v>
      </c>
      <c r="F175" s="70"/>
      <c r="G175" s="186"/>
      <c r="H175" s="186">
        <f t="shared" si="58"/>
        <v>60000</v>
      </c>
      <c r="I175" s="70"/>
      <c r="J175" s="466">
        <f t="shared" si="60"/>
        <v>407016.16666666599</v>
      </c>
      <c r="K175" s="70"/>
      <c r="L175" s="70">
        <f>30000</f>
        <v>30000</v>
      </c>
      <c r="M175" s="70"/>
      <c r="N175" s="70"/>
      <c r="O175" s="70">
        <v>5566.8645833333203</v>
      </c>
      <c r="P175" s="70">
        <v>51483.602346666499</v>
      </c>
      <c r="Q175" s="70">
        <v>27761.293333333299</v>
      </c>
      <c r="R175" s="467">
        <f t="shared" si="57"/>
        <v>114811.760263333</v>
      </c>
      <c r="S175" s="70">
        <v>292204.40640333301</v>
      </c>
      <c r="T175" s="466">
        <f t="shared" si="62"/>
        <v>292204.40640333301</v>
      </c>
    </row>
    <row r="176" spans="1:20" ht="20.100000000000001" customHeight="1" x14ac:dyDescent="0.2">
      <c r="A176" s="25">
        <v>16</v>
      </c>
      <c r="B176" s="9" t="s">
        <v>298</v>
      </c>
      <c r="C176" s="10" t="s">
        <v>299</v>
      </c>
      <c r="D176" s="13" t="s">
        <v>300</v>
      </c>
      <c r="E176" s="186">
        <v>399131.16666666698</v>
      </c>
      <c r="F176" s="70"/>
      <c r="G176" s="186"/>
      <c r="H176" s="186">
        <f>50000+10000</f>
        <v>60000</v>
      </c>
      <c r="I176" s="70"/>
      <c r="J176" s="466">
        <f t="shared" ref="J176:J181" si="63">SUM(E176:I176)</f>
        <v>459131.16666666698</v>
      </c>
      <c r="K176" s="70"/>
      <c r="L176" s="70">
        <v>10000</v>
      </c>
      <c r="M176" s="70">
        <v>45833.33</v>
      </c>
      <c r="N176" s="70">
        <v>52000</v>
      </c>
      <c r="O176" s="70"/>
      <c r="P176" s="70">
        <v>59807.016106666699</v>
      </c>
      <c r="Q176" s="70">
        <v>36525.18</v>
      </c>
      <c r="R176" s="467">
        <f t="shared" si="57"/>
        <v>204165.52610666701</v>
      </c>
      <c r="S176" s="70">
        <v>306965.64056000003</v>
      </c>
      <c r="T176" s="466">
        <f t="shared" si="62"/>
        <v>254965.64056</v>
      </c>
    </row>
    <row r="177" spans="1:20" ht="20.100000000000001" customHeight="1" x14ac:dyDescent="0.2">
      <c r="A177" s="25">
        <v>17</v>
      </c>
      <c r="B177" s="9" t="s">
        <v>301</v>
      </c>
      <c r="C177" s="10" t="s">
        <v>302</v>
      </c>
      <c r="D177" s="13" t="s">
        <v>79</v>
      </c>
      <c r="E177" s="186">
        <v>355320.66666666698</v>
      </c>
      <c r="F177" s="70"/>
      <c r="G177" s="186"/>
      <c r="H177" s="186">
        <f>50000+10000</f>
        <v>60000</v>
      </c>
      <c r="I177" s="70"/>
      <c r="J177" s="466">
        <f t="shared" si="63"/>
        <v>415320.66666666698</v>
      </c>
      <c r="K177" s="70"/>
      <c r="L177" s="70">
        <v>90000</v>
      </c>
      <c r="M177" s="70">
        <f>70000+30000</f>
        <v>100000</v>
      </c>
      <c r="N177" s="70">
        <v>52000</v>
      </c>
      <c r="O177" s="70">
        <v>5690.3937500000002</v>
      </c>
      <c r="P177" s="70">
        <v>52950.509226666698</v>
      </c>
      <c r="Q177" s="70">
        <v>28425.653333333401</v>
      </c>
      <c r="R177" s="467">
        <f t="shared" si="57"/>
        <v>329066.55631000001</v>
      </c>
      <c r="S177" s="70">
        <v>138254.11035666699</v>
      </c>
      <c r="T177" s="466">
        <f t="shared" si="62"/>
        <v>86254.110356666904</v>
      </c>
    </row>
    <row r="178" spans="1:20" ht="20.100000000000001" customHeight="1" x14ac:dyDescent="0.2">
      <c r="A178" s="25">
        <v>18</v>
      </c>
      <c r="B178" s="9" t="s">
        <v>303</v>
      </c>
      <c r="C178" s="10" t="s">
        <v>304</v>
      </c>
      <c r="D178" s="13" t="s">
        <v>300</v>
      </c>
      <c r="E178" s="186">
        <v>399131.16666666698</v>
      </c>
      <c r="F178" s="70"/>
      <c r="G178" s="186"/>
      <c r="H178" s="186">
        <f>50000+10000</f>
        <v>60000</v>
      </c>
      <c r="I178" s="70"/>
      <c r="J178" s="466">
        <f t="shared" si="63"/>
        <v>459131.16666666698</v>
      </c>
      <c r="K178" s="70"/>
      <c r="L178" s="70">
        <f>10000</f>
        <v>10000</v>
      </c>
      <c r="M178" s="70">
        <v>99734.99</v>
      </c>
      <c r="N178" s="70"/>
      <c r="O178" s="70">
        <v>7722.5375000000004</v>
      </c>
      <c r="P178" s="70">
        <v>58324.288906666698</v>
      </c>
      <c r="Q178" s="70">
        <v>36525.18</v>
      </c>
      <c r="R178" s="467">
        <f t="shared" si="57"/>
        <v>212306.99640666699</v>
      </c>
      <c r="S178" s="70">
        <v>256559.16026</v>
      </c>
      <c r="T178" s="466">
        <f t="shared" si="62"/>
        <v>246824.17026000001</v>
      </c>
    </row>
    <row r="179" spans="1:20" ht="20.100000000000001" customHeight="1" x14ac:dyDescent="0.2">
      <c r="A179" s="25">
        <v>19</v>
      </c>
      <c r="B179" s="9" t="s">
        <v>305</v>
      </c>
      <c r="C179" s="10" t="s">
        <v>306</v>
      </c>
      <c r="D179" s="13" t="s">
        <v>79</v>
      </c>
      <c r="E179" s="186">
        <v>355320.66666666698</v>
      </c>
      <c r="F179" s="70"/>
      <c r="G179" s="186"/>
      <c r="H179" s="186">
        <f>50000+10000</f>
        <v>60000</v>
      </c>
      <c r="I179" s="70"/>
      <c r="J179" s="466">
        <f t="shared" si="63"/>
        <v>415320.66666666698</v>
      </c>
      <c r="K179" s="70"/>
      <c r="L179" s="70"/>
      <c r="M179" s="70">
        <v>20000</v>
      </c>
      <c r="N179" s="70"/>
      <c r="O179" s="70"/>
      <c r="P179" s="70">
        <v>52950.509226666698</v>
      </c>
      <c r="Q179" s="70">
        <v>28425.653333333401</v>
      </c>
      <c r="R179" s="467">
        <f t="shared" si="57"/>
        <v>101376.16256</v>
      </c>
      <c r="S179" s="70">
        <v>313944.50410666701</v>
      </c>
      <c r="T179" s="466">
        <f t="shared" si="62"/>
        <v>313944.50410666701</v>
      </c>
    </row>
    <row r="180" spans="1:20" ht="20.100000000000001" customHeight="1" x14ac:dyDescent="0.2">
      <c r="A180" s="25">
        <v>20</v>
      </c>
      <c r="B180" s="16" t="s">
        <v>307</v>
      </c>
      <c r="C180" s="10" t="s">
        <v>308</v>
      </c>
      <c r="D180" s="13" t="s">
        <v>87</v>
      </c>
      <c r="E180" s="186">
        <v>338711.66666666698</v>
      </c>
      <c r="F180" s="70"/>
      <c r="G180" s="186"/>
      <c r="H180" s="186">
        <f t="shared" ref="H180:H182" si="64">60000</f>
        <v>60000</v>
      </c>
      <c r="I180" s="2"/>
      <c r="J180" s="466">
        <f t="shared" si="63"/>
        <v>398711.66666666698</v>
      </c>
      <c r="K180" s="70"/>
      <c r="L180" s="70">
        <v>30000</v>
      </c>
      <c r="M180" s="70">
        <f>80000</f>
        <v>80000</v>
      </c>
      <c r="N180" s="70">
        <v>22000</v>
      </c>
      <c r="O180" s="70">
        <v>5443.3354166666804</v>
      </c>
      <c r="P180" s="70">
        <v>50016.695466666701</v>
      </c>
      <c r="Q180" s="70">
        <v>27096.9333333334</v>
      </c>
      <c r="R180" s="467">
        <f t="shared" si="57"/>
        <v>214556.96421666699</v>
      </c>
      <c r="S180" s="70">
        <v>206154.70245000001</v>
      </c>
      <c r="T180" s="466">
        <f t="shared" si="62"/>
        <v>184154.70245000001</v>
      </c>
    </row>
    <row r="181" spans="1:20" ht="20.100000000000001" customHeight="1" x14ac:dyDescent="0.2">
      <c r="A181" s="25">
        <v>21</v>
      </c>
      <c r="B181" s="16" t="s">
        <v>309</v>
      </c>
      <c r="C181" s="10" t="s">
        <v>308</v>
      </c>
      <c r="D181" s="13" t="s">
        <v>87</v>
      </c>
      <c r="E181" s="186">
        <v>338711.66666666698</v>
      </c>
      <c r="F181" s="70"/>
      <c r="G181" s="186"/>
      <c r="H181" s="186">
        <f t="shared" si="64"/>
        <v>60000</v>
      </c>
      <c r="I181" s="2"/>
      <c r="J181" s="466">
        <f t="shared" si="63"/>
        <v>398711.66666666698</v>
      </c>
      <c r="K181" s="70"/>
      <c r="L181" s="70">
        <v>10000</v>
      </c>
      <c r="M181" s="70">
        <v>86456</v>
      </c>
      <c r="N181" s="70">
        <v>22000</v>
      </c>
      <c r="O181" s="70"/>
      <c r="P181" s="70">
        <v>50016.695466666701</v>
      </c>
      <c r="Q181" s="70">
        <v>27096.9333333334</v>
      </c>
      <c r="R181" s="467">
        <f t="shared" si="57"/>
        <v>195569.62880000001</v>
      </c>
      <c r="S181" s="70">
        <v>271598.03786666697</v>
      </c>
      <c r="T181" s="466">
        <f t="shared" si="62"/>
        <v>203142.037866667</v>
      </c>
    </row>
    <row r="182" spans="1:20" ht="18.75" customHeight="1" x14ac:dyDescent="0.2">
      <c r="A182" s="25">
        <v>22</v>
      </c>
      <c r="B182" s="16" t="s">
        <v>310</v>
      </c>
      <c r="C182" s="2" t="s">
        <v>311</v>
      </c>
      <c r="D182" s="8" t="s">
        <v>96</v>
      </c>
      <c r="E182" s="70">
        <v>330407.08333333302</v>
      </c>
      <c r="F182" s="70"/>
      <c r="G182" s="186"/>
      <c r="H182" s="186">
        <f t="shared" si="64"/>
        <v>60000</v>
      </c>
      <c r="I182" s="70"/>
      <c r="J182" s="467">
        <f>E182+F182+G182+H182+I182</f>
        <v>390407.08333333302</v>
      </c>
      <c r="K182" s="70"/>
      <c r="L182" s="70"/>
      <c r="M182" s="70"/>
      <c r="N182" s="70">
        <v>102000</v>
      </c>
      <c r="O182" s="70"/>
      <c r="P182" s="70">
        <v>48549.773866666699</v>
      </c>
      <c r="Q182" s="70">
        <v>26432.566666666698</v>
      </c>
      <c r="R182" s="467">
        <f t="shared" si="57"/>
        <v>176982.34053333299</v>
      </c>
      <c r="S182" s="70">
        <v>315424.74280000001</v>
      </c>
      <c r="T182" s="467">
        <f t="shared" si="62"/>
        <v>213424.74280000001</v>
      </c>
    </row>
    <row r="183" spans="1:20" ht="20.100000000000001" customHeight="1" x14ac:dyDescent="0.2">
      <c r="A183" s="25">
        <v>23</v>
      </c>
      <c r="B183" s="16" t="s">
        <v>312</v>
      </c>
      <c r="C183" s="10" t="s">
        <v>313</v>
      </c>
      <c r="D183" s="13" t="s">
        <v>102</v>
      </c>
      <c r="E183" s="70">
        <v>301910.75</v>
      </c>
      <c r="F183" s="70"/>
      <c r="G183" s="186"/>
      <c r="H183" s="186">
        <f t="shared" ref="H183:H190" si="65">50000</f>
        <v>50000</v>
      </c>
      <c r="I183" s="70"/>
      <c r="J183" s="466">
        <f>SUM(E183:I183)</f>
        <v>351910.75</v>
      </c>
      <c r="K183" s="70"/>
      <c r="L183" s="70">
        <f>20000</f>
        <v>20000</v>
      </c>
      <c r="M183" s="70">
        <v>100000</v>
      </c>
      <c r="N183" s="924"/>
      <c r="O183" s="914"/>
      <c r="P183" s="70">
        <v>42229.992186666699</v>
      </c>
      <c r="Q183" s="70">
        <v>24152.86</v>
      </c>
      <c r="R183" s="467">
        <f t="shared" si="57"/>
        <v>186382.85218666701</v>
      </c>
      <c r="S183" s="70">
        <v>160618.787396667</v>
      </c>
      <c r="T183" s="466">
        <f t="shared" si="62"/>
        <v>165527.89781333299</v>
      </c>
    </row>
    <row r="184" spans="1:20" ht="20.100000000000001" customHeight="1" x14ac:dyDescent="0.2">
      <c r="A184" s="25">
        <v>24</v>
      </c>
      <c r="B184" s="16" t="s">
        <v>314</v>
      </c>
      <c r="C184" s="10" t="s">
        <v>315</v>
      </c>
      <c r="D184" s="13" t="s">
        <v>102</v>
      </c>
      <c r="E184" s="70">
        <v>301910.75</v>
      </c>
      <c r="F184" s="70"/>
      <c r="G184" s="186"/>
      <c r="H184" s="186">
        <f t="shared" si="65"/>
        <v>50000</v>
      </c>
      <c r="I184" s="70"/>
      <c r="J184" s="466">
        <f>SUM(E184:I184)</f>
        <v>351910.75</v>
      </c>
      <c r="K184" s="70"/>
      <c r="L184" s="70">
        <f>12000-2000</f>
        <v>10000</v>
      </c>
      <c r="M184" s="70">
        <v>42000</v>
      </c>
      <c r="N184" s="70">
        <v>32000</v>
      </c>
      <c r="O184" s="70">
        <v>4909.1104166666801</v>
      </c>
      <c r="P184" s="70">
        <v>42229.992186666699</v>
      </c>
      <c r="Q184" s="70">
        <v>24152.86</v>
      </c>
      <c r="R184" s="467">
        <f t="shared" si="57"/>
        <v>155291.962603333</v>
      </c>
      <c r="S184" s="70">
        <v>228618.787396667</v>
      </c>
      <c r="T184" s="466">
        <f t="shared" si="62"/>
        <v>196618.787396667</v>
      </c>
    </row>
    <row r="185" spans="1:20" ht="20.100000000000001" customHeight="1" x14ac:dyDescent="0.2">
      <c r="A185" s="25">
        <v>25</v>
      </c>
      <c r="B185" s="16" t="s">
        <v>316</v>
      </c>
      <c r="C185" s="10" t="s">
        <v>317</v>
      </c>
      <c r="D185" s="13" t="s">
        <v>102</v>
      </c>
      <c r="E185" s="70">
        <v>301910.75</v>
      </c>
      <c r="F185" s="70"/>
      <c r="G185" s="186"/>
      <c r="H185" s="186">
        <f t="shared" si="65"/>
        <v>50000</v>
      </c>
      <c r="I185" s="70"/>
      <c r="J185" s="466">
        <f t="shared" ref="J185:J192" si="66">SUM(E185:I185)</f>
        <v>351910.75</v>
      </c>
      <c r="K185" s="70"/>
      <c r="L185" s="70">
        <v>40000</v>
      </c>
      <c r="M185" s="70"/>
      <c r="N185" s="70">
        <v>27000</v>
      </c>
      <c r="O185" s="70">
        <v>4909.1104166666801</v>
      </c>
      <c r="P185" s="70">
        <v>42229.992186666699</v>
      </c>
      <c r="Q185" s="70">
        <v>24152.86</v>
      </c>
      <c r="R185" s="467">
        <f t="shared" si="57"/>
        <v>138291.962603333</v>
      </c>
      <c r="S185" s="70">
        <v>240514.162396667</v>
      </c>
      <c r="T185" s="466">
        <f t="shared" ref="T185:T196" si="67">J185-R185</f>
        <v>213618.787396667</v>
      </c>
    </row>
    <row r="186" spans="1:20" ht="20.100000000000001" customHeight="1" x14ac:dyDescent="0.2">
      <c r="A186" s="25">
        <v>26</v>
      </c>
      <c r="B186" s="16" t="s">
        <v>318</v>
      </c>
      <c r="C186" s="10" t="s">
        <v>319</v>
      </c>
      <c r="D186" s="13" t="s">
        <v>206</v>
      </c>
      <c r="E186" s="70">
        <v>308920.66666666698</v>
      </c>
      <c r="F186" s="70"/>
      <c r="G186" s="186"/>
      <c r="H186" s="186">
        <f t="shared" si="65"/>
        <v>50000</v>
      </c>
      <c r="I186" s="70"/>
      <c r="J186" s="466">
        <f t="shared" si="66"/>
        <v>358920.66666666698</v>
      </c>
      <c r="K186" s="70"/>
      <c r="L186" s="70">
        <v>30000</v>
      </c>
      <c r="M186" s="70">
        <f>32000</f>
        <v>32000</v>
      </c>
      <c r="N186" s="70">
        <v>12000</v>
      </c>
      <c r="O186" s="70">
        <v>5013.7354166666801</v>
      </c>
      <c r="P186" s="70">
        <v>43313.4449066667</v>
      </c>
      <c r="Q186" s="70">
        <v>24713.653333333401</v>
      </c>
      <c r="R186" s="467">
        <f t="shared" si="57"/>
        <v>147040.833656667</v>
      </c>
      <c r="S186" s="70">
        <v>223984.45801</v>
      </c>
      <c r="T186" s="466">
        <f t="shared" si="67"/>
        <v>211879.83301</v>
      </c>
    </row>
    <row r="187" spans="1:20" ht="20.100000000000001" customHeight="1" x14ac:dyDescent="0.2">
      <c r="A187" s="25">
        <v>27</v>
      </c>
      <c r="B187" s="16" t="s">
        <v>320</v>
      </c>
      <c r="C187" s="10" t="s">
        <v>315</v>
      </c>
      <c r="D187" s="13" t="s">
        <v>102</v>
      </c>
      <c r="E187" s="70">
        <v>301910.75</v>
      </c>
      <c r="F187" s="70"/>
      <c r="G187" s="186"/>
      <c r="H187" s="186">
        <f t="shared" si="65"/>
        <v>50000</v>
      </c>
      <c r="I187" s="70"/>
      <c r="J187" s="466">
        <f t="shared" si="66"/>
        <v>351910.75</v>
      </c>
      <c r="K187" s="70"/>
      <c r="L187" s="70">
        <v>30000</v>
      </c>
      <c r="M187" s="70">
        <v>0</v>
      </c>
      <c r="N187" s="70">
        <v>32000</v>
      </c>
      <c r="O187" s="70">
        <v>4909.1104166666801</v>
      </c>
      <c r="P187" s="70">
        <v>42229.992186666699</v>
      </c>
      <c r="Q187" s="70">
        <v>24152.86</v>
      </c>
      <c r="R187" s="467">
        <f t="shared" si="57"/>
        <v>133291.962603333</v>
      </c>
      <c r="S187" s="70">
        <v>255527.89781333299</v>
      </c>
      <c r="T187" s="466">
        <f t="shared" si="67"/>
        <v>218618.787396667</v>
      </c>
    </row>
    <row r="188" spans="1:20" ht="20.100000000000001" customHeight="1" x14ac:dyDescent="0.2">
      <c r="A188" s="25">
        <v>28</v>
      </c>
      <c r="B188" s="16" t="s">
        <v>321</v>
      </c>
      <c r="C188" s="10" t="s">
        <v>322</v>
      </c>
      <c r="D188" s="13" t="s">
        <v>105</v>
      </c>
      <c r="E188" s="630">
        <v>294900.83333333401</v>
      </c>
      <c r="F188" s="70"/>
      <c r="G188" s="186"/>
      <c r="H188" s="186">
        <f t="shared" si="65"/>
        <v>50000</v>
      </c>
      <c r="I188" s="70"/>
      <c r="J188" s="466">
        <f t="shared" si="66"/>
        <v>344900.83333333401</v>
      </c>
      <c r="K188" s="70"/>
      <c r="L188" s="70">
        <v>15000</v>
      </c>
      <c r="M188" s="70"/>
      <c r="N188" s="70"/>
      <c r="O188" s="70"/>
      <c r="P188" s="638">
        <v>41146.5394666668</v>
      </c>
      <c r="Q188" s="639">
        <v>23592.066666666698</v>
      </c>
      <c r="R188" s="467">
        <f t="shared" si="57"/>
        <v>79738.606133333495</v>
      </c>
      <c r="S188" s="70">
        <v>265162.22720000101</v>
      </c>
      <c r="T188" s="466">
        <f t="shared" si="67"/>
        <v>265162.22720000101</v>
      </c>
    </row>
    <row r="189" spans="1:20" ht="20.100000000000001" customHeight="1" x14ac:dyDescent="0.2">
      <c r="A189" s="25">
        <v>29</v>
      </c>
      <c r="B189" s="16" t="s">
        <v>323</v>
      </c>
      <c r="C189" s="10" t="s">
        <v>322</v>
      </c>
      <c r="D189" s="13" t="s">
        <v>105</v>
      </c>
      <c r="E189" s="630">
        <v>294900.83333333401</v>
      </c>
      <c r="F189" s="70"/>
      <c r="G189" s="186"/>
      <c r="H189" s="186">
        <f t="shared" si="65"/>
        <v>50000</v>
      </c>
      <c r="I189" s="70"/>
      <c r="J189" s="466">
        <f t="shared" si="66"/>
        <v>344900.83333333401</v>
      </c>
      <c r="K189" s="70"/>
      <c r="L189" s="70">
        <v>20000</v>
      </c>
      <c r="M189" s="70">
        <v>40000</v>
      </c>
      <c r="N189" s="70"/>
      <c r="O189" s="70"/>
      <c r="P189" s="638">
        <v>41146.5394666668</v>
      </c>
      <c r="Q189" s="639">
        <v>23592.066666666698</v>
      </c>
      <c r="R189" s="467">
        <f t="shared" si="57"/>
        <v>124738.606133333</v>
      </c>
      <c r="S189" s="70">
        <v>220162.22720000101</v>
      </c>
      <c r="T189" s="466">
        <f t="shared" si="67"/>
        <v>220162.22720000101</v>
      </c>
    </row>
    <row r="190" spans="1:20" ht="20.100000000000001" customHeight="1" x14ac:dyDescent="0.2">
      <c r="A190" s="25">
        <v>30</v>
      </c>
      <c r="B190" s="16" t="s">
        <v>324</v>
      </c>
      <c r="C190" s="10" t="s">
        <v>325</v>
      </c>
      <c r="D190" s="13" t="s">
        <v>108</v>
      </c>
      <c r="E190" s="70">
        <v>287890.91666666698</v>
      </c>
      <c r="F190" s="70"/>
      <c r="G190" s="186"/>
      <c r="H190" s="186">
        <f t="shared" si="65"/>
        <v>50000</v>
      </c>
      <c r="I190" s="70"/>
      <c r="J190" s="467">
        <f t="shared" si="66"/>
        <v>337890.91666666698</v>
      </c>
      <c r="K190" s="70"/>
      <c r="L190" s="638"/>
      <c r="M190" s="638"/>
      <c r="N190" s="912"/>
      <c r="O190" s="914"/>
      <c r="P190" s="638">
        <v>40063.086746666697</v>
      </c>
      <c r="Q190" s="639">
        <v>23031.273333333302</v>
      </c>
      <c r="R190" s="467">
        <f t="shared" si="57"/>
        <v>63094.360079999999</v>
      </c>
      <c r="S190" s="70">
        <v>274796.55658666702</v>
      </c>
      <c r="T190" s="467">
        <f t="shared" si="67"/>
        <v>274796.55658666702</v>
      </c>
    </row>
    <row r="191" spans="1:20" ht="20.100000000000001" customHeight="1" x14ac:dyDescent="0.2">
      <c r="A191" s="25">
        <v>31</v>
      </c>
      <c r="B191" s="16" t="s">
        <v>326</v>
      </c>
      <c r="C191" s="10" t="s">
        <v>327</v>
      </c>
      <c r="D191" s="13" t="s">
        <v>108</v>
      </c>
      <c r="E191" s="70">
        <v>287890.91666666698</v>
      </c>
      <c r="F191" s="70"/>
      <c r="G191" s="186"/>
      <c r="H191" s="186">
        <v>50000</v>
      </c>
      <c r="I191" s="70"/>
      <c r="J191" s="467">
        <f t="shared" si="66"/>
        <v>337890.91666666698</v>
      </c>
      <c r="K191" s="70"/>
      <c r="L191" s="638"/>
      <c r="M191" s="638"/>
      <c r="N191" s="912"/>
      <c r="O191" s="914"/>
      <c r="P191" s="638">
        <v>40063.086746666697</v>
      </c>
      <c r="Q191" s="639">
        <v>23031.273333333302</v>
      </c>
      <c r="R191" s="467">
        <f t="shared" si="57"/>
        <v>63094.360079999999</v>
      </c>
      <c r="S191" s="70">
        <v>274796.55658666702</v>
      </c>
      <c r="T191" s="467">
        <f t="shared" si="67"/>
        <v>274796.55658666702</v>
      </c>
    </row>
    <row r="192" spans="1:20" ht="20.100000000000001" customHeight="1" x14ac:dyDescent="0.2">
      <c r="A192" s="25">
        <v>32</v>
      </c>
      <c r="B192" s="16" t="s">
        <v>328</v>
      </c>
      <c r="C192" s="10" t="s">
        <v>327</v>
      </c>
      <c r="D192" s="13" t="s">
        <v>108</v>
      </c>
      <c r="E192" s="70">
        <v>287890.91666666698</v>
      </c>
      <c r="F192" s="70"/>
      <c r="G192" s="186"/>
      <c r="H192" s="186">
        <v>50000</v>
      </c>
      <c r="I192" s="70"/>
      <c r="J192" s="467">
        <f t="shared" si="66"/>
        <v>337890.91666666698</v>
      </c>
      <c r="K192" s="70"/>
      <c r="L192" s="638"/>
      <c r="M192" s="638"/>
      <c r="N192" s="912"/>
      <c r="O192" s="914"/>
      <c r="P192" s="638">
        <v>40063.086746666697</v>
      </c>
      <c r="Q192" s="639">
        <v>23031.273333333302</v>
      </c>
      <c r="R192" s="467">
        <f t="shared" si="57"/>
        <v>63094.360079999999</v>
      </c>
      <c r="S192" s="70">
        <v>274796.55658666702</v>
      </c>
      <c r="T192" s="467">
        <f t="shared" si="67"/>
        <v>274796.55658666702</v>
      </c>
    </row>
    <row r="193" spans="1:20" ht="20.100000000000001" customHeight="1" x14ac:dyDescent="0.2">
      <c r="A193" s="25">
        <v>33</v>
      </c>
      <c r="B193" s="9" t="s">
        <v>329</v>
      </c>
      <c r="C193" s="10" t="s">
        <v>330</v>
      </c>
      <c r="D193" s="13" t="s">
        <v>331</v>
      </c>
      <c r="E193" s="192">
        <v>237717.16666666599</v>
      </c>
      <c r="F193" s="186"/>
      <c r="G193" s="186"/>
      <c r="H193" s="186">
        <f>30000</f>
        <v>30000</v>
      </c>
      <c r="I193" s="70">
        <f>4000</f>
        <v>4000</v>
      </c>
      <c r="J193" s="466">
        <f t="shared" ref="J193:J224" si="68">SUM(E193:I193)</f>
        <v>271717.16666666599</v>
      </c>
      <c r="K193" s="70"/>
      <c r="L193" s="70">
        <v>50000</v>
      </c>
      <c r="M193" s="70">
        <v>67916.66</v>
      </c>
      <c r="N193" s="70"/>
      <c r="O193" s="70">
        <v>3982.2145833333302</v>
      </c>
      <c r="P193" s="70">
        <v>28951.219896666498</v>
      </c>
      <c r="Q193" s="70">
        <v>19017.3733333333</v>
      </c>
      <c r="R193" s="467">
        <f t="shared" si="57"/>
        <v>169867.467813333</v>
      </c>
      <c r="S193" s="70">
        <v>101849.698853333</v>
      </c>
      <c r="T193" s="466">
        <f t="shared" si="67"/>
        <v>101849.698853333</v>
      </c>
    </row>
    <row r="194" spans="1:20" ht="20.100000000000001" customHeight="1" x14ac:dyDescent="0.2">
      <c r="A194" s="25">
        <v>34</v>
      </c>
      <c r="B194" s="9" t="s">
        <v>332</v>
      </c>
      <c r="C194" s="10" t="s">
        <v>330</v>
      </c>
      <c r="D194" s="13" t="s">
        <v>331</v>
      </c>
      <c r="E194" s="192">
        <v>237717.16666666599</v>
      </c>
      <c r="F194" s="186"/>
      <c r="G194" s="186"/>
      <c r="H194" s="186">
        <f>30000</f>
        <v>30000</v>
      </c>
      <c r="I194" s="70">
        <f>7000</f>
        <v>7000</v>
      </c>
      <c r="J194" s="466">
        <f t="shared" si="68"/>
        <v>274717.16666666599</v>
      </c>
      <c r="K194" s="70"/>
      <c r="L194" s="70">
        <v>25000</v>
      </c>
      <c r="M194" s="70">
        <f>14524.11</f>
        <v>14524.11</v>
      </c>
      <c r="N194" s="70"/>
      <c r="O194" s="70"/>
      <c r="P194" s="70">
        <v>30124.231946666601</v>
      </c>
      <c r="Q194" s="70">
        <v>19017.3733333333</v>
      </c>
      <c r="R194" s="467">
        <f t="shared" si="57"/>
        <v>88665.715279999902</v>
      </c>
      <c r="S194" s="70">
        <v>186051.45138666601</v>
      </c>
      <c r="T194" s="466">
        <f t="shared" si="67"/>
        <v>186051.45138666601</v>
      </c>
    </row>
    <row r="195" spans="1:20" ht="20.100000000000001" customHeight="1" x14ac:dyDescent="0.2">
      <c r="A195" s="25">
        <v>35</v>
      </c>
      <c r="B195" s="9" t="s">
        <v>333</v>
      </c>
      <c r="C195" s="10" t="s">
        <v>330</v>
      </c>
      <c r="D195" s="13" t="s">
        <v>331</v>
      </c>
      <c r="E195" s="192">
        <v>237717.16666666599</v>
      </c>
      <c r="F195" s="186"/>
      <c r="G195" s="186"/>
      <c r="H195" s="186">
        <f>30000</f>
        <v>30000</v>
      </c>
      <c r="I195" s="70">
        <f>4000</f>
        <v>4000</v>
      </c>
      <c r="J195" s="466">
        <f t="shared" si="68"/>
        <v>271717.16666666599</v>
      </c>
      <c r="K195" s="70"/>
      <c r="L195" s="70">
        <v>20000</v>
      </c>
      <c r="M195" s="70"/>
      <c r="N195" s="70"/>
      <c r="O195" s="70"/>
      <c r="P195" s="70">
        <v>29620.231946666601</v>
      </c>
      <c r="Q195" s="70">
        <v>19017.3733333333</v>
      </c>
      <c r="R195" s="467">
        <f t="shared" si="57"/>
        <v>68637.605279999902</v>
      </c>
      <c r="S195" s="70">
        <v>203079.561386666</v>
      </c>
      <c r="T195" s="466">
        <f t="shared" si="67"/>
        <v>203079.561386666</v>
      </c>
    </row>
    <row r="196" spans="1:20" ht="20.100000000000001" customHeight="1" x14ac:dyDescent="0.2">
      <c r="A196" s="25">
        <v>36</v>
      </c>
      <c r="B196" s="9" t="s">
        <v>334</v>
      </c>
      <c r="C196" s="10" t="s">
        <v>330</v>
      </c>
      <c r="D196" s="13" t="s">
        <v>331</v>
      </c>
      <c r="E196" s="192">
        <v>237717.16666666599</v>
      </c>
      <c r="F196" s="186"/>
      <c r="G196" s="186"/>
      <c r="H196" s="186">
        <f>30000</f>
        <v>30000</v>
      </c>
      <c r="I196" s="70">
        <f>4000</f>
        <v>4000</v>
      </c>
      <c r="J196" s="466">
        <f t="shared" si="68"/>
        <v>271717.16666666599</v>
      </c>
      <c r="K196" s="70"/>
      <c r="L196" s="70">
        <v>25000</v>
      </c>
      <c r="M196" s="70">
        <v>74038.17</v>
      </c>
      <c r="N196" s="70">
        <v>12000</v>
      </c>
      <c r="O196" s="70">
        <v>3982.2145833333302</v>
      </c>
      <c r="P196" s="70">
        <v>28951.219896666498</v>
      </c>
      <c r="Q196" s="70">
        <v>19017.3733333333</v>
      </c>
      <c r="R196" s="467">
        <f t="shared" si="57"/>
        <v>162988.97781333301</v>
      </c>
      <c r="S196" s="70">
        <v>120728.18885333301</v>
      </c>
      <c r="T196" s="466">
        <f t="shared" si="67"/>
        <v>108728.18885333301</v>
      </c>
    </row>
    <row r="197" spans="1:20" ht="20.100000000000001" customHeight="1" x14ac:dyDescent="0.2">
      <c r="A197" s="25">
        <v>37</v>
      </c>
      <c r="B197" s="9" t="s">
        <v>335</v>
      </c>
      <c r="C197" s="10" t="s">
        <v>330</v>
      </c>
      <c r="D197" s="13" t="s">
        <v>331</v>
      </c>
      <c r="E197" s="192">
        <v>237717.16666666599</v>
      </c>
      <c r="F197" s="186"/>
      <c r="G197" s="186"/>
      <c r="H197" s="186">
        <f>30000</f>
        <v>30000</v>
      </c>
      <c r="I197" s="70">
        <f>4000</f>
        <v>4000</v>
      </c>
      <c r="J197" s="466">
        <f t="shared" si="68"/>
        <v>271717.16666666599</v>
      </c>
      <c r="K197" s="70"/>
      <c r="L197" s="70">
        <v>30000</v>
      </c>
      <c r="M197" s="70">
        <f>53445.82</f>
        <v>53445.82</v>
      </c>
      <c r="N197" s="70">
        <v>12000</v>
      </c>
      <c r="O197" s="70"/>
      <c r="P197" s="70">
        <v>29620.231946666601</v>
      </c>
      <c r="Q197" s="70">
        <v>19017.3733333333</v>
      </c>
      <c r="R197" s="467">
        <f t="shared" si="57"/>
        <v>144083.42528</v>
      </c>
      <c r="S197" s="70">
        <v>139633.74138666599</v>
      </c>
      <c r="T197" s="466">
        <f t="shared" ref="T197:T224" si="69">J197-R197</f>
        <v>127633.74138666601</v>
      </c>
    </row>
    <row r="198" spans="1:20" ht="20.100000000000001" customHeight="1" x14ac:dyDescent="0.2">
      <c r="A198" s="25">
        <v>38</v>
      </c>
      <c r="B198" s="9" t="s">
        <v>336</v>
      </c>
      <c r="C198" s="10" t="s">
        <v>330</v>
      </c>
      <c r="D198" s="13" t="s">
        <v>337</v>
      </c>
      <c r="E198" s="192">
        <v>231733.83333333401</v>
      </c>
      <c r="F198" s="186"/>
      <c r="G198" s="186"/>
      <c r="H198" s="186">
        <f>20000+10000</f>
        <v>30000</v>
      </c>
      <c r="I198" s="70">
        <f>7000</f>
        <v>7000</v>
      </c>
      <c r="J198" s="466">
        <f t="shared" si="68"/>
        <v>268733.83333333401</v>
      </c>
      <c r="K198" s="70"/>
      <c r="L198" s="70">
        <v>40000</v>
      </c>
      <c r="M198" s="70">
        <f>26430.62</f>
        <v>26430.62</v>
      </c>
      <c r="N198" s="70">
        <v>12000</v>
      </c>
      <c r="O198" s="70"/>
      <c r="P198" s="70">
        <v>29199.447946666802</v>
      </c>
      <c r="Q198" s="70">
        <v>18538.706666666701</v>
      </c>
      <c r="R198" s="467">
        <f t="shared" si="57"/>
        <v>126168.77461333299</v>
      </c>
      <c r="S198" s="70">
        <v>154565.05872000099</v>
      </c>
      <c r="T198" s="466">
        <f t="shared" si="69"/>
        <v>142565.05872000099</v>
      </c>
    </row>
    <row r="199" spans="1:20" ht="20.100000000000001" customHeight="1" x14ac:dyDescent="0.2">
      <c r="A199" s="25">
        <v>39</v>
      </c>
      <c r="B199" s="9" t="s">
        <v>338</v>
      </c>
      <c r="C199" s="10" t="s">
        <v>330</v>
      </c>
      <c r="D199" s="13" t="s">
        <v>337</v>
      </c>
      <c r="E199" s="192">
        <v>231733.83333333401</v>
      </c>
      <c r="F199" s="186"/>
      <c r="G199" s="186"/>
      <c r="H199" s="186">
        <f t="shared" ref="H199:H203" si="70">20000+10000</f>
        <v>30000</v>
      </c>
      <c r="I199" s="70">
        <f>4000</f>
        <v>4000</v>
      </c>
      <c r="J199" s="466">
        <f t="shared" si="68"/>
        <v>265733.83333333401</v>
      </c>
      <c r="K199" s="70"/>
      <c r="L199" s="70">
        <v>40000</v>
      </c>
      <c r="M199" s="70">
        <v>40555.56</v>
      </c>
      <c r="N199" s="70">
        <v>22000</v>
      </c>
      <c r="O199" s="70"/>
      <c r="P199" s="70">
        <v>28695.447946666802</v>
      </c>
      <c r="Q199" s="70">
        <v>18538.706666666701</v>
      </c>
      <c r="R199" s="467">
        <f t="shared" si="57"/>
        <v>149789.714613333</v>
      </c>
      <c r="S199" s="70">
        <v>152944.11872000099</v>
      </c>
      <c r="T199" s="466">
        <f t="shared" si="69"/>
        <v>115944.118720001</v>
      </c>
    </row>
    <row r="200" spans="1:20" ht="20.100000000000001" customHeight="1" x14ac:dyDescent="0.2">
      <c r="A200" s="25">
        <v>40</v>
      </c>
      <c r="B200" s="12" t="s">
        <v>339</v>
      </c>
      <c r="C200" s="10" t="s">
        <v>330</v>
      </c>
      <c r="D200" s="13" t="s">
        <v>337</v>
      </c>
      <c r="E200" s="192">
        <v>231733.83333333401</v>
      </c>
      <c r="F200" s="186"/>
      <c r="G200" s="186"/>
      <c r="H200" s="186">
        <f t="shared" si="70"/>
        <v>30000</v>
      </c>
      <c r="I200" s="70">
        <f>7000</f>
        <v>7000</v>
      </c>
      <c r="J200" s="466">
        <f t="shared" si="68"/>
        <v>268733.83333333401</v>
      </c>
      <c r="K200" s="70"/>
      <c r="L200" s="70">
        <v>30000</v>
      </c>
      <c r="M200" s="70">
        <f>31719.9</f>
        <v>31719.9</v>
      </c>
      <c r="N200" s="70"/>
      <c r="O200" s="70"/>
      <c r="P200" s="70">
        <v>29199.447946666802</v>
      </c>
      <c r="Q200" s="70">
        <v>18538.706666666701</v>
      </c>
      <c r="R200" s="467">
        <f t="shared" si="57"/>
        <v>109458.054613334</v>
      </c>
      <c r="S200" s="70">
        <v>159275.77872</v>
      </c>
      <c r="T200" s="466">
        <f t="shared" si="69"/>
        <v>159275.77872</v>
      </c>
    </row>
    <row r="201" spans="1:20" ht="20.100000000000001" customHeight="1" x14ac:dyDescent="0.2">
      <c r="A201" s="25">
        <v>41</v>
      </c>
      <c r="B201" s="9" t="s">
        <v>340</v>
      </c>
      <c r="C201" s="10" t="s">
        <v>330</v>
      </c>
      <c r="D201" s="13" t="s">
        <v>337</v>
      </c>
      <c r="E201" s="192">
        <v>231733.83333333401</v>
      </c>
      <c r="F201" s="186"/>
      <c r="G201" s="186"/>
      <c r="H201" s="186">
        <f t="shared" si="70"/>
        <v>30000</v>
      </c>
      <c r="I201" s="70">
        <f>4000</f>
        <v>4000</v>
      </c>
      <c r="J201" s="466">
        <f t="shared" si="68"/>
        <v>265733.83333333401</v>
      </c>
      <c r="K201" s="70"/>
      <c r="L201" s="70">
        <v>30000</v>
      </c>
      <c r="M201" s="70">
        <f>13750</f>
        <v>13750</v>
      </c>
      <c r="N201" s="70"/>
      <c r="O201" s="70"/>
      <c r="P201" s="70">
        <v>28695.447946666802</v>
      </c>
      <c r="Q201" s="70">
        <v>18538.706666666701</v>
      </c>
      <c r="R201" s="467">
        <f t="shared" si="57"/>
        <v>90984.154613333507</v>
      </c>
      <c r="S201" s="70">
        <v>174749.67872000099</v>
      </c>
      <c r="T201" s="466">
        <f t="shared" si="69"/>
        <v>174749.67872000099</v>
      </c>
    </row>
    <row r="202" spans="1:20" ht="20.100000000000001" customHeight="1" x14ac:dyDescent="0.2">
      <c r="A202" s="25">
        <v>42</v>
      </c>
      <c r="B202" s="16" t="s">
        <v>341</v>
      </c>
      <c r="C202" s="10" t="s">
        <v>330</v>
      </c>
      <c r="D202" s="13" t="s">
        <v>337</v>
      </c>
      <c r="E202" s="192">
        <v>231733.83333333401</v>
      </c>
      <c r="F202" s="186"/>
      <c r="G202" s="186"/>
      <c r="H202" s="186">
        <f t="shared" si="70"/>
        <v>30000</v>
      </c>
      <c r="I202" s="70">
        <f>4000</f>
        <v>4000</v>
      </c>
      <c r="J202" s="466">
        <f t="shared" si="68"/>
        <v>265733.83333333401</v>
      </c>
      <c r="K202" s="70"/>
      <c r="L202" s="70">
        <v>30000</v>
      </c>
      <c r="M202" s="70">
        <f>25708.34</f>
        <v>25708.34</v>
      </c>
      <c r="N202" s="70">
        <v>12000</v>
      </c>
      <c r="O202" s="70"/>
      <c r="P202" s="70">
        <v>28695.447946666802</v>
      </c>
      <c r="Q202" s="70">
        <v>18538.706666666701</v>
      </c>
      <c r="R202" s="467">
        <f t="shared" si="57"/>
        <v>114942.49461333299</v>
      </c>
      <c r="S202" s="70">
        <v>162791.33872000099</v>
      </c>
      <c r="T202" s="466">
        <f t="shared" si="69"/>
        <v>150791.33872000099</v>
      </c>
    </row>
    <row r="203" spans="1:20" ht="20.100000000000001" customHeight="1" x14ac:dyDescent="0.2">
      <c r="A203" s="25">
        <v>43</v>
      </c>
      <c r="B203" s="16" t="s">
        <v>342</v>
      </c>
      <c r="C203" s="10" t="s">
        <v>330</v>
      </c>
      <c r="D203" s="13" t="s">
        <v>337</v>
      </c>
      <c r="E203" s="192">
        <v>231733.83333333401</v>
      </c>
      <c r="F203" s="186"/>
      <c r="G203" s="186"/>
      <c r="H203" s="186">
        <f t="shared" si="70"/>
        <v>30000</v>
      </c>
      <c r="I203" s="70">
        <f t="shared" ref="I203:I208" si="71">7000</f>
        <v>7000</v>
      </c>
      <c r="J203" s="466">
        <f t="shared" si="68"/>
        <v>268733.83333333401</v>
      </c>
      <c r="K203" s="70"/>
      <c r="L203" s="70">
        <v>30000</v>
      </c>
      <c r="M203" s="70">
        <f>22361.11</f>
        <v>22361.11</v>
      </c>
      <c r="N203" s="70">
        <v>12000</v>
      </c>
      <c r="O203" s="70"/>
      <c r="P203" s="70">
        <v>29199.447946666802</v>
      </c>
      <c r="Q203" s="70">
        <v>18538.706666666701</v>
      </c>
      <c r="R203" s="467">
        <f t="shared" si="57"/>
        <v>112099.264613334</v>
      </c>
      <c r="S203" s="70">
        <v>168634.568720001</v>
      </c>
      <c r="T203" s="466">
        <f t="shared" si="69"/>
        <v>156634.568720001</v>
      </c>
    </row>
    <row r="204" spans="1:20" ht="20.100000000000001" customHeight="1" x14ac:dyDescent="0.2">
      <c r="A204" s="25">
        <v>44</v>
      </c>
      <c r="B204" s="9" t="s">
        <v>343</v>
      </c>
      <c r="C204" s="10" t="s">
        <v>344</v>
      </c>
      <c r="D204" s="13" t="s">
        <v>345</v>
      </c>
      <c r="E204" s="70">
        <v>219767.33333333299</v>
      </c>
      <c r="F204" s="186"/>
      <c r="G204" s="186"/>
      <c r="H204" s="186">
        <f>30000</f>
        <v>30000</v>
      </c>
      <c r="I204" s="70">
        <f t="shared" si="71"/>
        <v>7000</v>
      </c>
      <c r="J204" s="466">
        <f t="shared" si="68"/>
        <v>256767.33333333299</v>
      </c>
      <c r="K204" s="70"/>
      <c r="L204" s="70">
        <v>30000</v>
      </c>
      <c r="M204" s="70">
        <v>28524.31</v>
      </c>
      <c r="N204" s="70"/>
      <c r="O204" s="70"/>
      <c r="P204" s="70">
        <v>27349.905706666599</v>
      </c>
      <c r="Q204" s="70">
        <v>17581.3866666666</v>
      </c>
      <c r="R204" s="467">
        <f t="shared" si="57"/>
        <v>103455.60237333299</v>
      </c>
      <c r="S204" s="70">
        <v>153311.73095999999</v>
      </c>
      <c r="T204" s="466">
        <f t="shared" si="69"/>
        <v>153311.73095999999</v>
      </c>
    </row>
    <row r="205" spans="1:20" ht="20.100000000000001" customHeight="1" x14ac:dyDescent="0.2">
      <c r="A205" s="25">
        <v>45</v>
      </c>
      <c r="B205" s="9" t="s">
        <v>346</v>
      </c>
      <c r="C205" s="10" t="s">
        <v>344</v>
      </c>
      <c r="D205" s="13" t="s">
        <v>345</v>
      </c>
      <c r="E205" s="70">
        <v>219767.33333333299</v>
      </c>
      <c r="F205" s="186"/>
      <c r="G205" s="186"/>
      <c r="H205" s="186">
        <f>30000</f>
        <v>30000</v>
      </c>
      <c r="I205" s="70">
        <f t="shared" si="71"/>
        <v>7000</v>
      </c>
      <c r="J205" s="466">
        <f t="shared" si="68"/>
        <v>256767.33333333299</v>
      </c>
      <c r="K205" s="70"/>
      <c r="L205" s="70">
        <v>30000</v>
      </c>
      <c r="M205" s="70">
        <v>43885.11</v>
      </c>
      <c r="N205" s="70"/>
      <c r="O205" s="70"/>
      <c r="P205" s="70">
        <v>27349.905706666599</v>
      </c>
      <c r="Q205" s="70">
        <v>17581.3866666666</v>
      </c>
      <c r="R205" s="467">
        <f t="shared" si="57"/>
        <v>118816.402373333</v>
      </c>
      <c r="S205" s="70">
        <v>137950.93096</v>
      </c>
      <c r="T205" s="466">
        <f t="shared" si="69"/>
        <v>137950.93096</v>
      </c>
    </row>
    <row r="206" spans="1:20" ht="20.100000000000001" customHeight="1" x14ac:dyDescent="0.2">
      <c r="A206" s="25">
        <v>46</v>
      </c>
      <c r="B206" s="16" t="s">
        <v>347</v>
      </c>
      <c r="C206" s="10" t="s">
        <v>344</v>
      </c>
      <c r="D206" s="13" t="s">
        <v>348</v>
      </c>
      <c r="E206" s="70">
        <v>225750.58333333299</v>
      </c>
      <c r="F206" s="186"/>
      <c r="G206" s="186"/>
      <c r="H206" s="186">
        <f>30000</f>
        <v>30000</v>
      </c>
      <c r="I206" s="70">
        <f t="shared" si="71"/>
        <v>7000</v>
      </c>
      <c r="J206" s="466">
        <f t="shared" si="68"/>
        <v>262750.58333333302</v>
      </c>
      <c r="K206" s="70"/>
      <c r="L206" s="70">
        <v>23000</v>
      </c>
      <c r="M206" s="70">
        <f>44000</f>
        <v>44000</v>
      </c>
      <c r="N206" s="70"/>
      <c r="O206" s="70"/>
      <c r="P206" s="70">
        <v>28274.6768266666</v>
      </c>
      <c r="Q206" s="70">
        <v>18060.0466666666</v>
      </c>
      <c r="R206" s="467">
        <f t="shared" ref="R206:R224" si="72">P206+O206+M206+N206+L206+K206+Q206</f>
        <v>113334.723493333</v>
      </c>
      <c r="S206" s="70">
        <v>149415.85983999999</v>
      </c>
      <c r="T206" s="466">
        <f t="shared" si="69"/>
        <v>149415.85983999999</v>
      </c>
    </row>
    <row r="207" spans="1:20" ht="20.100000000000001" customHeight="1" x14ac:dyDescent="0.2">
      <c r="A207" s="25">
        <v>47</v>
      </c>
      <c r="B207" s="9" t="s">
        <v>349</v>
      </c>
      <c r="C207" s="10" t="s">
        <v>350</v>
      </c>
      <c r="D207" s="13" t="s">
        <v>351</v>
      </c>
      <c r="E207" s="70">
        <v>213784</v>
      </c>
      <c r="F207" s="186"/>
      <c r="G207" s="186"/>
      <c r="H207" s="186">
        <f>20000</f>
        <v>20000</v>
      </c>
      <c r="I207" s="70">
        <f t="shared" si="71"/>
        <v>7000</v>
      </c>
      <c r="J207" s="466">
        <f t="shared" si="68"/>
        <v>240784</v>
      </c>
      <c r="K207" s="70"/>
      <c r="L207" s="70">
        <v>50000</v>
      </c>
      <c r="M207" s="70">
        <v>40000</v>
      </c>
      <c r="N207" s="70">
        <v>17000</v>
      </c>
      <c r="O207" s="70"/>
      <c r="P207" s="70">
        <v>24745.121706666701</v>
      </c>
      <c r="Q207" s="70">
        <v>17102.72</v>
      </c>
      <c r="R207" s="467">
        <f t="shared" si="72"/>
        <v>148847.84170666701</v>
      </c>
      <c r="S207" s="70">
        <v>108936.15829333301</v>
      </c>
      <c r="T207" s="466">
        <f t="shared" si="69"/>
        <v>91936.158293333297</v>
      </c>
    </row>
    <row r="208" spans="1:20" ht="20.100000000000001" customHeight="1" x14ac:dyDescent="0.2">
      <c r="A208" s="25">
        <v>48</v>
      </c>
      <c r="B208" s="9" t="s">
        <v>352</v>
      </c>
      <c r="C208" s="10" t="s">
        <v>353</v>
      </c>
      <c r="D208" s="13" t="s">
        <v>354</v>
      </c>
      <c r="E208" s="70">
        <v>146356.75</v>
      </c>
      <c r="F208" s="186"/>
      <c r="G208" s="186"/>
      <c r="H208" s="186">
        <f t="shared" ref="H208:H214" si="73">20000</f>
        <v>20000</v>
      </c>
      <c r="I208" s="70">
        <f t="shared" si="71"/>
        <v>7000</v>
      </c>
      <c r="J208" s="466">
        <f t="shared" si="68"/>
        <v>173356.75</v>
      </c>
      <c r="K208" s="70"/>
      <c r="L208" s="70">
        <v>25000</v>
      </c>
      <c r="M208" s="70">
        <v>33000</v>
      </c>
      <c r="N208" s="70"/>
      <c r="O208" s="70"/>
      <c r="P208" s="70">
        <v>14737.194586666699</v>
      </c>
      <c r="Q208" s="70">
        <v>11708.54</v>
      </c>
      <c r="R208" s="467">
        <f t="shared" si="72"/>
        <v>84445.734586666702</v>
      </c>
      <c r="S208" s="70">
        <v>88911.015413333298</v>
      </c>
      <c r="T208" s="466">
        <f t="shared" si="69"/>
        <v>88911.015413333298</v>
      </c>
    </row>
    <row r="209" spans="1:20" ht="20.100000000000001" customHeight="1" x14ac:dyDescent="0.2">
      <c r="A209" s="25">
        <v>49</v>
      </c>
      <c r="B209" s="9" t="s">
        <v>355</v>
      </c>
      <c r="C209" s="10" t="s">
        <v>353</v>
      </c>
      <c r="D209" s="13" t="s">
        <v>354</v>
      </c>
      <c r="E209" s="70">
        <v>146356.75</v>
      </c>
      <c r="F209" s="186"/>
      <c r="G209" s="186"/>
      <c r="H209" s="186">
        <f t="shared" si="73"/>
        <v>20000</v>
      </c>
      <c r="I209" s="70">
        <f>4000</f>
        <v>4000</v>
      </c>
      <c r="J209" s="466">
        <f t="shared" si="68"/>
        <v>170356.75</v>
      </c>
      <c r="K209" s="70"/>
      <c r="L209" s="70">
        <v>40000</v>
      </c>
      <c r="M209" s="70">
        <f>25555.56</f>
        <v>25555.56</v>
      </c>
      <c r="N209" s="70"/>
      <c r="O209" s="70"/>
      <c r="P209" s="70">
        <v>14281.194586666699</v>
      </c>
      <c r="Q209" s="70">
        <v>11708.54</v>
      </c>
      <c r="R209" s="467">
        <f t="shared" si="72"/>
        <v>91545.2945866667</v>
      </c>
      <c r="S209" s="70">
        <v>78811.4554133333</v>
      </c>
      <c r="T209" s="466">
        <f t="shared" si="69"/>
        <v>78811.4554133333</v>
      </c>
    </row>
    <row r="210" spans="1:20" ht="20.100000000000001" customHeight="1" x14ac:dyDescent="0.2">
      <c r="A210" s="25">
        <v>50</v>
      </c>
      <c r="B210" s="9" t="s">
        <v>356</v>
      </c>
      <c r="C210" s="10" t="s">
        <v>353</v>
      </c>
      <c r="D210" s="13" t="s">
        <v>354</v>
      </c>
      <c r="E210" s="70">
        <v>146356.75</v>
      </c>
      <c r="F210" s="186"/>
      <c r="G210" s="186"/>
      <c r="H210" s="186">
        <f t="shared" si="73"/>
        <v>20000</v>
      </c>
      <c r="I210" s="70">
        <f>7000</f>
        <v>7000</v>
      </c>
      <c r="J210" s="466">
        <f t="shared" si="68"/>
        <v>173356.75</v>
      </c>
      <c r="K210" s="70"/>
      <c r="L210" s="70">
        <v>25000</v>
      </c>
      <c r="M210" s="70">
        <f>15972.22</f>
        <v>15972.22</v>
      </c>
      <c r="N210" s="70"/>
      <c r="O210" s="70"/>
      <c r="P210" s="70">
        <v>14737.194586666699</v>
      </c>
      <c r="Q210" s="70">
        <v>11708.54</v>
      </c>
      <c r="R210" s="467">
        <f t="shared" si="72"/>
        <v>67417.954586666703</v>
      </c>
      <c r="S210" s="70">
        <v>105938.79541333301</v>
      </c>
      <c r="T210" s="466">
        <f t="shared" si="69"/>
        <v>105938.79541333301</v>
      </c>
    </row>
    <row r="211" spans="1:20" ht="20.100000000000001" customHeight="1" x14ac:dyDescent="0.2">
      <c r="A211" s="25">
        <v>51</v>
      </c>
      <c r="B211" s="9" t="s">
        <v>357</v>
      </c>
      <c r="C211" s="10" t="s">
        <v>353</v>
      </c>
      <c r="D211" s="13" t="s">
        <v>354</v>
      </c>
      <c r="E211" s="70">
        <v>146356.75</v>
      </c>
      <c r="F211" s="186"/>
      <c r="G211" s="186"/>
      <c r="H211" s="186">
        <f t="shared" si="73"/>
        <v>20000</v>
      </c>
      <c r="I211" s="70">
        <f>4000</f>
        <v>4000</v>
      </c>
      <c r="J211" s="466">
        <f t="shared" si="68"/>
        <v>170356.75</v>
      </c>
      <c r="K211" s="70"/>
      <c r="L211" s="70">
        <v>30000</v>
      </c>
      <c r="M211" s="70">
        <v>17999.669999999998</v>
      </c>
      <c r="N211" s="70"/>
      <c r="O211" s="70"/>
      <c r="P211" s="70">
        <v>14281.194586666699</v>
      </c>
      <c r="Q211" s="70">
        <v>11708.54</v>
      </c>
      <c r="R211" s="467">
        <f t="shared" si="72"/>
        <v>73989.4045866667</v>
      </c>
      <c r="S211" s="70">
        <v>96367.3454133333</v>
      </c>
      <c r="T211" s="466">
        <f t="shared" si="69"/>
        <v>96367.3454133333</v>
      </c>
    </row>
    <row r="212" spans="1:20" ht="20.100000000000001" customHeight="1" x14ac:dyDescent="0.2">
      <c r="A212" s="25">
        <v>52</v>
      </c>
      <c r="B212" s="9" t="s">
        <v>358</v>
      </c>
      <c r="C212" s="10" t="s">
        <v>353</v>
      </c>
      <c r="D212" s="13" t="s">
        <v>354</v>
      </c>
      <c r="E212" s="70">
        <v>146356.75</v>
      </c>
      <c r="F212" s="186"/>
      <c r="G212" s="186"/>
      <c r="H212" s="186">
        <f t="shared" si="73"/>
        <v>20000</v>
      </c>
      <c r="I212" s="70">
        <f>7000</f>
        <v>7000</v>
      </c>
      <c r="J212" s="466">
        <f t="shared" si="68"/>
        <v>173356.75</v>
      </c>
      <c r="K212" s="70"/>
      <c r="L212" s="70">
        <v>30000</v>
      </c>
      <c r="M212" s="70">
        <f>30000</f>
        <v>30000</v>
      </c>
      <c r="N212" s="70"/>
      <c r="O212" s="70"/>
      <c r="P212" s="70">
        <v>14737.194586666699</v>
      </c>
      <c r="Q212" s="70">
        <v>11708.54</v>
      </c>
      <c r="R212" s="467">
        <f t="shared" si="72"/>
        <v>86445.734586666702</v>
      </c>
      <c r="S212" s="70">
        <v>86911.015413333298</v>
      </c>
      <c r="T212" s="466">
        <f t="shared" si="69"/>
        <v>86911.015413333298</v>
      </c>
    </row>
    <row r="213" spans="1:20" ht="20.100000000000001" customHeight="1" x14ac:dyDescent="0.2">
      <c r="A213" s="25">
        <v>53</v>
      </c>
      <c r="B213" s="16" t="s">
        <v>359</v>
      </c>
      <c r="C213" s="10" t="s">
        <v>353</v>
      </c>
      <c r="D213" s="13" t="s">
        <v>354</v>
      </c>
      <c r="E213" s="70">
        <v>146356.75</v>
      </c>
      <c r="F213" s="186"/>
      <c r="G213" s="186"/>
      <c r="H213" s="186">
        <f t="shared" si="73"/>
        <v>20000</v>
      </c>
      <c r="I213" s="70">
        <f>4000</f>
        <v>4000</v>
      </c>
      <c r="J213" s="466">
        <f t="shared" si="68"/>
        <v>170356.75</v>
      </c>
      <c r="K213" s="70"/>
      <c r="L213" s="70">
        <v>25000</v>
      </c>
      <c r="M213" s="70">
        <v>0</v>
      </c>
      <c r="N213" s="70"/>
      <c r="O213" s="70"/>
      <c r="P213" s="70">
        <v>14281.194586666699</v>
      </c>
      <c r="Q213" s="70">
        <v>11708.54</v>
      </c>
      <c r="R213" s="467">
        <f t="shared" si="72"/>
        <v>50989.734586666702</v>
      </c>
      <c r="S213" s="70">
        <v>119367.01541333301</v>
      </c>
      <c r="T213" s="466">
        <f t="shared" si="69"/>
        <v>119367.01541333301</v>
      </c>
    </row>
    <row r="214" spans="1:20" ht="20.100000000000001" customHeight="1" x14ac:dyDescent="0.2">
      <c r="A214" s="25">
        <v>54</v>
      </c>
      <c r="B214" s="16" t="s">
        <v>360</v>
      </c>
      <c r="C214" s="10" t="s">
        <v>353</v>
      </c>
      <c r="D214" s="13" t="s">
        <v>354</v>
      </c>
      <c r="E214" s="70">
        <v>146356.75</v>
      </c>
      <c r="F214" s="186"/>
      <c r="G214" s="186"/>
      <c r="H214" s="186">
        <f t="shared" si="73"/>
        <v>20000</v>
      </c>
      <c r="I214" s="70">
        <f>7000</f>
        <v>7000</v>
      </c>
      <c r="J214" s="466">
        <f t="shared" si="68"/>
        <v>173356.75</v>
      </c>
      <c r="K214" s="70"/>
      <c r="L214" s="70">
        <v>30000</v>
      </c>
      <c r="M214" s="70">
        <f>0</f>
        <v>0</v>
      </c>
      <c r="N214" s="70"/>
      <c r="O214" s="70"/>
      <c r="P214" s="70">
        <v>14737.194586666699</v>
      </c>
      <c r="Q214" s="70">
        <v>11708.54</v>
      </c>
      <c r="R214" s="467">
        <f t="shared" si="72"/>
        <v>56445.734586666702</v>
      </c>
      <c r="S214" s="70">
        <v>116911.01541333301</v>
      </c>
      <c r="T214" s="466">
        <f t="shared" si="69"/>
        <v>116911.01541333301</v>
      </c>
    </row>
    <row r="215" spans="1:20" ht="20.100000000000001" customHeight="1" x14ac:dyDescent="0.2">
      <c r="A215" s="25">
        <v>56</v>
      </c>
      <c r="B215" s="9" t="s">
        <v>361</v>
      </c>
      <c r="C215" s="10" t="s">
        <v>350</v>
      </c>
      <c r="D215" s="13" t="s">
        <v>354</v>
      </c>
      <c r="E215" s="70">
        <v>146356.75</v>
      </c>
      <c r="F215" s="186"/>
      <c r="G215" s="186"/>
      <c r="H215" s="186">
        <v>20000</v>
      </c>
      <c r="I215" s="70">
        <f>7000</f>
        <v>7000</v>
      </c>
      <c r="J215" s="466">
        <f>SUM(E215:I215)</f>
        <v>173356.75</v>
      </c>
      <c r="K215" s="70"/>
      <c r="L215" s="70">
        <v>40000</v>
      </c>
      <c r="M215" s="70">
        <f>26222.06</f>
        <v>26222.06</v>
      </c>
      <c r="N215" s="70">
        <v>12000</v>
      </c>
      <c r="O215" s="70"/>
      <c r="P215" s="70">
        <v>14737.194586666699</v>
      </c>
      <c r="Q215" s="70">
        <v>11708.54</v>
      </c>
      <c r="R215" s="467">
        <f>P215+O215+M215+N215+L215+K215+Q215</f>
        <v>104667.79458666701</v>
      </c>
      <c r="S215" s="70">
        <v>90688.9554133333</v>
      </c>
      <c r="T215" s="466">
        <f>J215-R215</f>
        <v>68688.9554133333</v>
      </c>
    </row>
    <row r="216" spans="1:20" ht="20.100000000000001" customHeight="1" x14ac:dyDescent="0.2">
      <c r="A216" s="25">
        <v>57</v>
      </c>
      <c r="B216" s="16" t="s">
        <v>362</v>
      </c>
      <c r="C216" s="10" t="s">
        <v>363</v>
      </c>
      <c r="D216" s="13" t="s">
        <v>364</v>
      </c>
      <c r="E216" s="70">
        <v>143495.66666666701</v>
      </c>
      <c r="F216" s="186"/>
      <c r="G216" s="186"/>
      <c r="H216" s="186">
        <f>20000</f>
        <v>20000</v>
      </c>
      <c r="I216" s="70">
        <f>4000+3000</f>
        <v>7000</v>
      </c>
      <c r="J216" s="466">
        <f>SUM(E216:I216)</f>
        <v>170495.66666666701</v>
      </c>
      <c r="K216" s="70"/>
      <c r="L216" s="70">
        <v>20000</v>
      </c>
      <c r="M216" s="70">
        <v>0</v>
      </c>
      <c r="N216" s="70">
        <v>32000</v>
      </c>
      <c r="O216" s="70"/>
      <c r="P216" s="70">
        <v>14337.100693333399</v>
      </c>
      <c r="Q216" s="70">
        <v>11479.653333333301</v>
      </c>
      <c r="R216" s="467">
        <f>P216+O216+M216+N216+L216+K216+Q216</f>
        <v>77816.754026666706</v>
      </c>
      <c r="S216" s="70">
        <v>124678.91264</v>
      </c>
      <c r="T216" s="466">
        <f>J216-R216</f>
        <v>92678.912640000301</v>
      </c>
    </row>
    <row r="217" spans="1:20" ht="20.100000000000001" customHeight="1" x14ac:dyDescent="0.2">
      <c r="A217" s="25">
        <v>58</v>
      </c>
      <c r="B217" s="16" t="s">
        <v>365</v>
      </c>
      <c r="C217" s="10" t="s">
        <v>363</v>
      </c>
      <c r="D217" s="13" t="s">
        <v>366</v>
      </c>
      <c r="E217" s="70">
        <v>137773.5</v>
      </c>
      <c r="F217" s="186"/>
      <c r="G217" s="186"/>
      <c r="H217" s="186">
        <v>20000</v>
      </c>
      <c r="I217" s="70">
        <v>7000</v>
      </c>
      <c r="J217" s="466">
        <f>SUM(E217:I217)-30759.07</f>
        <v>134014.43</v>
      </c>
      <c r="K217" s="70"/>
      <c r="L217" s="70">
        <v>3000</v>
      </c>
      <c r="M217" s="70"/>
      <c r="N217" s="70"/>
      <c r="O217" s="70"/>
      <c r="P217" s="70">
        <v>9259.1059999999998</v>
      </c>
      <c r="Q217" s="70">
        <v>11021.88</v>
      </c>
      <c r="R217" s="467">
        <f>P217+O217+M217+N217+L217+K217+Q217</f>
        <v>23280.986000000001</v>
      </c>
      <c r="S217" s="70">
        <v>110733.444</v>
      </c>
      <c r="T217" s="466">
        <f>J217-R217</f>
        <v>110733.444</v>
      </c>
    </row>
    <row r="218" spans="1:20" ht="20.100000000000001" customHeight="1" x14ac:dyDescent="0.2">
      <c r="A218" s="25">
        <v>59</v>
      </c>
      <c r="B218" s="16" t="s">
        <v>367</v>
      </c>
      <c r="C218" s="10" t="s">
        <v>363</v>
      </c>
      <c r="D218" s="13" t="s">
        <v>368</v>
      </c>
      <c r="E218" s="70">
        <v>134912.66666666701</v>
      </c>
      <c r="F218" s="186"/>
      <c r="G218" s="186"/>
      <c r="H218" s="186">
        <f>15000</f>
        <v>15000</v>
      </c>
      <c r="I218" s="70">
        <f>7000</f>
        <v>7000</v>
      </c>
      <c r="J218" s="466">
        <f>SUM(E218:I218)</f>
        <v>156912.66666666701</v>
      </c>
      <c r="K218" s="70"/>
      <c r="L218" s="70">
        <v>30000</v>
      </c>
      <c r="M218" s="70">
        <v>18333.330000000002</v>
      </c>
      <c r="N218" s="70">
        <v>12000</v>
      </c>
      <c r="O218" s="70"/>
      <c r="P218" s="70">
        <v>12376.8539733334</v>
      </c>
      <c r="Q218" s="70">
        <v>10793.0133333333</v>
      </c>
      <c r="R218" s="467">
        <f>P218+O218+M218+N218+L218+K218+Q218</f>
        <v>83503.197306666698</v>
      </c>
      <c r="S218" s="70">
        <v>85409.469360000294</v>
      </c>
      <c r="T218" s="466">
        <f>J218-R218</f>
        <v>73409.469360000294</v>
      </c>
    </row>
    <row r="219" spans="1:20" ht="20.100000000000001" customHeight="1" x14ac:dyDescent="0.2">
      <c r="A219" s="25">
        <v>60</v>
      </c>
      <c r="B219" s="16" t="s">
        <v>369</v>
      </c>
      <c r="C219" s="10" t="s">
        <v>370</v>
      </c>
      <c r="D219" s="13" t="s">
        <v>371</v>
      </c>
      <c r="E219" s="70">
        <v>129049.41666666701</v>
      </c>
      <c r="F219" s="102"/>
      <c r="G219" s="2"/>
      <c r="H219" s="102">
        <v>15000</v>
      </c>
      <c r="I219" s="102">
        <v>4000</v>
      </c>
      <c r="J219" s="466">
        <f>SUM(E219:I219)</f>
        <v>148049.41666666701</v>
      </c>
      <c r="K219" s="70"/>
      <c r="L219" s="70">
        <v>10000</v>
      </c>
      <c r="M219" s="70"/>
      <c r="N219" s="70"/>
      <c r="O219" s="70"/>
      <c r="P219" s="70">
        <v>11100.937093333399</v>
      </c>
      <c r="Q219" s="70">
        <v>10323.9533333333</v>
      </c>
      <c r="R219" s="467">
        <f>P219+O219+M219+N219+L219+K219+Q219</f>
        <v>31424.890426666701</v>
      </c>
      <c r="S219" s="70">
        <v>116624.52624000001</v>
      </c>
      <c r="T219" s="466">
        <f>J219-R219</f>
        <v>116624.52624000001</v>
      </c>
    </row>
    <row r="220" spans="1:20" ht="20.100000000000001" customHeight="1" x14ac:dyDescent="0.2">
      <c r="A220" s="25">
        <v>61</v>
      </c>
      <c r="B220" s="16" t="s">
        <v>372</v>
      </c>
      <c r="C220" s="10" t="s">
        <v>370</v>
      </c>
      <c r="D220" s="13" t="s">
        <v>371</v>
      </c>
      <c r="E220" s="70">
        <v>129049.41666666701</v>
      </c>
      <c r="F220" s="102"/>
      <c r="G220" s="2"/>
      <c r="H220" s="102">
        <v>15000</v>
      </c>
      <c r="I220" s="102">
        <v>4000</v>
      </c>
      <c r="J220" s="466">
        <f>SUM(E220:I220)</f>
        <v>148049.41666666701</v>
      </c>
      <c r="K220" s="70"/>
      <c r="L220" s="70">
        <v>10000</v>
      </c>
      <c r="M220" s="70">
        <v>22916.67</v>
      </c>
      <c r="N220" s="70"/>
      <c r="O220" s="70"/>
      <c r="P220" s="70">
        <v>11100.937093333399</v>
      </c>
      <c r="Q220" s="70">
        <v>10323.9533333333</v>
      </c>
      <c r="R220" s="467">
        <f>P220+O220+M220+N220+L220+K220+Q220</f>
        <v>54341.5604266667</v>
      </c>
      <c r="S220" s="70">
        <v>93707.856240000299</v>
      </c>
      <c r="T220" s="466">
        <f>J220-R220</f>
        <v>93707.856240000299</v>
      </c>
    </row>
    <row r="221" spans="1:20" ht="20.100000000000001" customHeight="1" x14ac:dyDescent="0.2">
      <c r="A221" s="25">
        <v>62</v>
      </c>
      <c r="B221" s="16" t="s">
        <v>373</v>
      </c>
      <c r="C221" s="10" t="s">
        <v>370</v>
      </c>
      <c r="D221" s="13" t="s">
        <v>371</v>
      </c>
      <c r="E221" s="70">
        <v>129049.41666666701</v>
      </c>
      <c r="F221" s="102"/>
      <c r="G221" s="2"/>
      <c r="H221" s="102">
        <v>15000</v>
      </c>
      <c r="I221" s="102">
        <v>4000</v>
      </c>
      <c r="J221" s="466">
        <f>SUM(E221:I221)</f>
        <v>148049.41666666701</v>
      </c>
      <c r="K221" s="70"/>
      <c r="L221" s="70">
        <v>10000</v>
      </c>
      <c r="M221" s="70">
        <f>8750</f>
        <v>8750</v>
      </c>
      <c r="N221" s="70"/>
      <c r="O221" s="70"/>
      <c r="P221" s="70">
        <v>11100.937093333399</v>
      </c>
      <c r="Q221" s="70">
        <v>10323.9533333333</v>
      </c>
      <c r="R221" s="467">
        <f>P221+O221+M221+N221+L221+K221+Q221</f>
        <v>40174.890426666701</v>
      </c>
      <c r="S221" s="70">
        <v>107874.52624000001</v>
      </c>
      <c r="T221" s="466">
        <f>J221-R221</f>
        <v>107874.52624000001</v>
      </c>
    </row>
    <row r="222" spans="1:20" ht="20.100000000000001" customHeight="1" x14ac:dyDescent="0.2">
      <c r="A222" s="25">
        <v>63</v>
      </c>
      <c r="B222" s="16" t="s">
        <v>374</v>
      </c>
      <c r="C222" s="10" t="s">
        <v>375</v>
      </c>
      <c r="D222" s="13" t="s">
        <v>376</v>
      </c>
      <c r="E222" s="70">
        <v>140634.66666666701</v>
      </c>
      <c r="F222" s="102"/>
      <c r="G222" s="186"/>
      <c r="H222" s="186">
        <f>15000</f>
        <v>15000</v>
      </c>
      <c r="I222" s="70">
        <v>7000</v>
      </c>
      <c r="J222" s="466">
        <f>SUM(E222:I222)</f>
        <v>162634.66666666701</v>
      </c>
      <c r="K222" s="70"/>
      <c r="L222" s="70">
        <v>30000</v>
      </c>
      <c r="M222" s="70">
        <v>8750</v>
      </c>
      <c r="N222" s="70">
        <v>12000</v>
      </c>
      <c r="O222" s="70"/>
      <c r="P222" s="70">
        <v>13177.0184533334</v>
      </c>
      <c r="Q222" s="70">
        <v>11250.7733333333</v>
      </c>
      <c r="R222" s="467">
        <f>P222+O222+M222+N222+L222+K222+Q222</f>
        <v>75177.791786666698</v>
      </c>
      <c r="S222" s="70">
        <v>99456.874880000294</v>
      </c>
      <c r="T222" s="466">
        <f>J222-R222</f>
        <v>87456.874880000294</v>
      </c>
    </row>
    <row r="223" spans="1:20" ht="20.100000000000001" customHeight="1" x14ac:dyDescent="0.2">
      <c r="A223" s="25">
        <v>64</v>
      </c>
      <c r="B223" s="16" t="s">
        <v>377</v>
      </c>
      <c r="C223" s="10" t="s">
        <v>375</v>
      </c>
      <c r="D223" s="13" t="s">
        <v>376</v>
      </c>
      <c r="E223" s="70">
        <v>140634.66666666701</v>
      </c>
      <c r="F223" s="102"/>
      <c r="G223" s="186"/>
      <c r="H223" s="186">
        <f>15000</f>
        <v>15000</v>
      </c>
      <c r="I223" s="70">
        <v>7000</v>
      </c>
      <c r="J223" s="466">
        <f>SUM(E223:I223)</f>
        <v>162634.66666666701</v>
      </c>
      <c r="K223" s="70"/>
      <c r="L223" s="70">
        <v>25000</v>
      </c>
      <c r="M223" s="70">
        <v>6125</v>
      </c>
      <c r="N223" s="70"/>
      <c r="O223" s="70"/>
      <c r="P223" s="70">
        <v>13177.0184533334</v>
      </c>
      <c r="Q223" s="70">
        <v>11250.7733333333</v>
      </c>
      <c r="R223" s="467">
        <f>P223+O223+M223+N223+L223+K223+Q223</f>
        <v>55552.791786666698</v>
      </c>
      <c r="S223" s="70">
        <v>107081.87488</v>
      </c>
      <c r="T223" s="466">
        <f>J223-R223</f>
        <v>107081.87488</v>
      </c>
    </row>
    <row r="224" spans="1:20" ht="30.75" customHeight="1" x14ac:dyDescent="0.5">
      <c r="A224" s="25"/>
      <c r="B224" s="6" t="s">
        <v>111</v>
      </c>
      <c r="C224" s="26" t="s">
        <v>378</v>
      </c>
      <c r="D224" s="27"/>
      <c r="E224" s="78">
        <f>SUM(E160:E223)</f>
        <v>20743144.333333399</v>
      </c>
      <c r="F224" s="78">
        <f>SUM(F160:F223)</f>
        <v>350586</v>
      </c>
      <c r="G224" s="78">
        <f t="shared" ref="G224:S224" si="74">SUM(G160:G223)</f>
        <v>0</v>
      </c>
      <c r="H224" s="78">
        <f t="shared" si="74"/>
        <v>2810000</v>
      </c>
      <c r="I224" s="78">
        <f t="shared" si="74"/>
        <v>228000</v>
      </c>
      <c r="J224" s="78">
        <f t="shared" si="74"/>
        <v>24100971.263333399</v>
      </c>
      <c r="K224" s="78">
        <f t="shared" si="74"/>
        <v>0</v>
      </c>
      <c r="L224" s="78">
        <f t="shared" si="74"/>
        <v>1563500</v>
      </c>
      <c r="M224" s="78">
        <f t="shared" si="74"/>
        <v>2768062.15</v>
      </c>
      <c r="N224" s="78">
        <f>SUM(N160:N223)</f>
        <v>646000</v>
      </c>
      <c r="O224" s="78">
        <f>SUM(O160:O223)</f>
        <v>151750.964583333</v>
      </c>
      <c r="P224" s="78">
        <f>SUM(P160:P223)</f>
        <v>3054990.0096066701</v>
      </c>
      <c r="Q224" s="78">
        <f>SUM(Q160:Q223)</f>
        <v>1669811.0133333299</v>
      </c>
      <c r="R224" s="78">
        <f>SUM(R160:R223)</f>
        <v>9854114.1375233401</v>
      </c>
      <c r="S224" s="78">
        <v>14590342.8582367</v>
      </c>
      <c r="T224" s="78">
        <f>SUM(T160:T223)</f>
        <v>14246857.125809999</v>
      </c>
    </row>
    <row r="225" spans="1:20" ht="30" customHeight="1" x14ac:dyDescent="0.2">
      <c r="A225" s="2"/>
      <c r="B225" s="28" t="s">
        <v>379</v>
      </c>
      <c r="C225" s="29">
        <f>C44+C53+C67+C72+C85+C96+C110+C119+C129+C143+C157+C224</f>
        <v>175</v>
      </c>
      <c r="D225" s="30"/>
      <c r="E225" s="193">
        <f>E224+E157+E143+E137+E129+E119+E110+E96+E85+E72+E67+E53+E44</f>
        <v>88497829.333333403</v>
      </c>
      <c r="F225" s="193">
        <f>F224+F157+F143+F137+F129+F119+F110+F96+F85+F72+F67+F53+F44</f>
        <v>3999564.8058333402</v>
      </c>
      <c r="G225" s="193">
        <f t="shared" ref="G225:Q225" si="75">G224+G157+G143+G137+G129+G119+G110+G96+G85+G72+G67+G53+G44</f>
        <v>8440000</v>
      </c>
      <c r="H225" s="193">
        <f t="shared" si="75"/>
        <v>6280000</v>
      </c>
      <c r="I225" s="193">
        <f t="shared" si="75"/>
        <v>3009070.39</v>
      </c>
      <c r="J225" s="193">
        <f t="shared" si="75"/>
        <v>110195705.459167</v>
      </c>
      <c r="K225" s="193">
        <f t="shared" si="75"/>
        <v>0</v>
      </c>
      <c r="L225" s="193">
        <f t="shared" si="75"/>
        <v>6776500</v>
      </c>
      <c r="M225" s="193">
        <f t="shared" si="75"/>
        <v>9195454.7200000007</v>
      </c>
      <c r="N225" s="193">
        <f>N224+N157+N143+N137+N129+N119+N110+N96+N85+N72+N67+N53+N44</f>
        <v>2014000</v>
      </c>
      <c r="O225" s="193">
        <f>O224+O157+O143+O137+O129+O119+O110+O96+O85+O72+O67+O53+O44</f>
        <v>518783.930833333</v>
      </c>
      <c r="P225" s="193">
        <f>P224+P157+P143+P137+P129+P119+P110+P96+P85+P72+P67+P53+P44</f>
        <v>15958204.0683267</v>
      </c>
      <c r="Q225" s="193">
        <f>Q224+Q157+Q143+Q137+Q129+Q119+Q110+Q96+Q85+Q72+Q67+Q53+Q44</f>
        <v>6855777.2000000002</v>
      </c>
      <c r="R225" s="193">
        <f>R224+R157+R143+R137+R129+R119+R110+R96+R85+R72+R67+R53+R44</f>
        <v>41318719.919160001</v>
      </c>
      <c r="S225" s="193">
        <v>67891075.945995405</v>
      </c>
      <c r="T225" s="193">
        <f>T224+T157+T143+T137+T129+T119+T110+T96+T85+T72+T67+T53+T44</f>
        <v>68876985.540006593</v>
      </c>
    </row>
    <row r="226" spans="1:20" ht="38.25" customHeight="1" x14ac:dyDescent="0.2">
      <c r="B226" s="31"/>
      <c r="D226" s="32"/>
      <c r="E226" s="32"/>
      <c r="F226" s="32"/>
      <c r="G226" s="194"/>
      <c r="H226" s="194"/>
      <c r="I226" s="194"/>
      <c r="J226" s="194"/>
      <c r="K226" s="194"/>
      <c r="L226" s="194"/>
      <c r="M226" s="194"/>
      <c r="N226" s="194"/>
      <c r="O226" s="194"/>
      <c r="P226" s="195"/>
      <c r="Q226" s="195"/>
      <c r="R226" s="195"/>
      <c r="S226" s="195"/>
      <c r="T226" s="195"/>
    </row>
    <row r="227" spans="1:20" ht="36.75" customHeight="1" x14ac:dyDescent="0.2">
      <c r="B227" s="31"/>
      <c r="C227" s="32"/>
      <c r="D227" s="32"/>
      <c r="E227" s="32"/>
      <c r="F227" s="32"/>
      <c r="G227" s="194"/>
      <c r="H227" s="194"/>
      <c r="J227" s="194" t="s">
        <v>380</v>
      </c>
      <c r="K227" s="194"/>
      <c r="L227" s="194"/>
      <c r="M227" s="194"/>
      <c r="N227" s="194"/>
      <c r="O227" s="194"/>
      <c r="P227" s="195"/>
      <c r="Q227" s="195"/>
      <c r="R227" s="195"/>
      <c r="S227" s="195"/>
      <c r="T227" s="33"/>
    </row>
    <row r="228" spans="1:20" ht="20.100000000000001" customHeight="1" x14ac:dyDescent="0.2">
      <c r="I228" s="926"/>
      <c r="R228" s="33"/>
      <c r="T228" s="298"/>
    </row>
    <row r="229" spans="1:20" ht="20.100000000000001" customHeight="1" x14ac:dyDescent="0.2">
      <c r="T229" s="33"/>
    </row>
    <row r="230" spans="1:20" ht="20.100000000000001" customHeight="1" x14ac:dyDescent="0.2">
      <c r="J230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6" max="19" man="1"/>
    <brk id="96" max="19" man="1"/>
    <brk id="144" max="19" man="1"/>
    <brk id="184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4"/>
  <sheetViews>
    <sheetView tabSelected="1" topLeftCell="A32" zoomScale="91" zoomScaleNormal="91" workbookViewId="0">
      <selection activeCell="I42" sqref="I42"/>
    </sheetView>
  </sheetViews>
  <sheetFormatPr defaultColWidth="9.03515625" defaultRowHeight="12.75" x14ac:dyDescent="0.15"/>
  <cols>
    <col min="1" max="1" width="4.58203125" customWidth="1"/>
    <col min="4" max="4" width="20.359375" customWidth="1"/>
    <col min="5" max="5" width="15.91015625" customWidth="1"/>
    <col min="6" max="6" width="29.80078125" customWidth="1"/>
    <col min="7" max="7" width="25.484375" customWidth="1"/>
    <col min="8" max="8" width="24.67578125" customWidth="1"/>
    <col min="9" max="9" width="27.375" customWidth="1"/>
    <col min="10" max="10" width="18.0703125" customWidth="1"/>
    <col min="11" max="11" width="16.98828125" customWidth="1"/>
    <col min="12" max="12" width="13.88671875" customWidth="1"/>
    <col min="13" max="13" width="11.0546875" customWidth="1"/>
    <col min="14" max="14" width="15.23828125" customWidth="1"/>
    <col min="15" max="15" width="16.85546875" customWidth="1"/>
    <col min="16" max="16" width="13.75390625" customWidth="1"/>
    <col min="17" max="17" width="19.28125" customWidth="1"/>
  </cols>
  <sheetData>
    <row r="1" spans="1:8" ht="30" customHeight="1" x14ac:dyDescent="0.15">
      <c r="B1" s="893"/>
      <c r="C1" s="893"/>
      <c r="D1" s="893"/>
      <c r="E1" s="893"/>
      <c r="F1" s="893"/>
      <c r="G1" s="893"/>
      <c r="H1" s="893"/>
    </row>
    <row r="2" spans="1:8" ht="23.1" customHeight="1" x14ac:dyDescent="0.25">
      <c r="A2" s="947" t="s">
        <v>0</v>
      </c>
      <c r="B2" s="947"/>
      <c r="C2" s="947"/>
      <c r="D2" s="947"/>
      <c r="E2" s="947"/>
      <c r="F2" s="947"/>
      <c r="G2" s="947"/>
      <c r="H2" s="947"/>
    </row>
    <row r="3" spans="1:8" ht="21" customHeight="1" x14ac:dyDescent="0.25">
      <c r="A3" s="947" t="s">
        <v>381</v>
      </c>
      <c r="B3" s="947"/>
      <c r="C3" s="947"/>
      <c r="D3" s="947"/>
      <c r="E3" s="947"/>
      <c r="F3" s="947"/>
      <c r="G3" s="947"/>
      <c r="H3" s="947"/>
    </row>
    <row r="4" spans="1:8" ht="15.6" hidden="1" customHeight="1" x14ac:dyDescent="0.25">
      <c r="A4" s="894" t="s">
        <v>382</v>
      </c>
      <c r="B4" s="894"/>
      <c r="C4" s="894"/>
      <c r="D4" s="894"/>
      <c r="E4" s="894"/>
      <c r="F4" s="894"/>
      <c r="G4" s="895"/>
      <c r="H4" s="895"/>
    </row>
    <row r="5" spans="1:8" ht="9.6" hidden="1" customHeight="1" x14ac:dyDescent="0.25">
      <c r="A5" s="945" t="s">
        <v>383</v>
      </c>
      <c r="B5" s="945"/>
      <c r="C5" s="945"/>
      <c r="D5" s="945"/>
      <c r="E5" s="945"/>
      <c r="F5" s="945"/>
      <c r="G5" s="895"/>
      <c r="H5" s="895"/>
    </row>
    <row r="6" spans="1:8" ht="29.25" hidden="1" customHeight="1" x14ac:dyDescent="0.25">
      <c r="A6" s="945" t="s">
        <v>384</v>
      </c>
      <c r="B6" s="945"/>
      <c r="C6" s="945"/>
      <c r="D6" s="945"/>
      <c r="E6" s="945"/>
      <c r="F6" s="945"/>
      <c r="G6" s="895"/>
      <c r="H6" s="895"/>
    </row>
    <row r="7" spans="1:8" ht="25.15" hidden="1" customHeight="1" x14ac:dyDescent="0.25">
      <c r="A7" s="945" t="s">
        <v>385</v>
      </c>
      <c r="B7" s="945"/>
      <c r="C7" s="945"/>
      <c r="D7" s="945"/>
      <c r="E7" s="945"/>
      <c r="F7" s="895"/>
      <c r="G7" s="895"/>
      <c r="H7" s="895"/>
    </row>
    <row r="8" spans="1:8" ht="24.75" hidden="1" customHeight="1" x14ac:dyDescent="0.25">
      <c r="A8" s="895"/>
      <c r="B8" s="895"/>
      <c r="C8" s="895"/>
      <c r="D8" s="895"/>
      <c r="E8" s="895"/>
      <c r="F8" s="895"/>
      <c r="G8" s="895"/>
      <c r="H8" s="895"/>
    </row>
    <row r="9" spans="1:8" ht="24" hidden="1" customHeight="1" x14ac:dyDescent="0.25">
      <c r="A9" s="944" t="s">
        <v>386</v>
      </c>
      <c r="B9" s="944"/>
      <c r="C9" s="944"/>
      <c r="D9" s="944"/>
      <c r="E9" s="944"/>
      <c r="F9" s="944"/>
      <c r="G9" s="895"/>
      <c r="H9" s="895"/>
    </row>
    <row r="10" spans="1:8" ht="13.15" hidden="1" customHeight="1" x14ac:dyDescent="0.25">
      <c r="A10" s="945" t="s">
        <v>387</v>
      </c>
      <c r="B10" s="945"/>
      <c r="C10" s="945"/>
      <c r="D10" s="945"/>
      <c r="E10" s="945"/>
      <c r="F10" s="945"/>
      <c r="G10" s="945"/>
      <c r="H10" s="945"/>
    </row>
    <row r="11" spans="1:8" ht="18" hidden="1" customHeight="1" x14ac:dyDescent="0.25">
      <c r="A11" s="896"/>
      <c r="B11" s="895"/>
      <c r="C11" s="895"/>
      <c r="D11" s="895"/>
      <c r="E11" s="895"/>
      <c r="F11" s="895"/>
      <c r="G11" s="895"/>
      <c r="H11" s="895"/>
    </row>
    <row r="12" spans="1:8" ht="18.75" hidden="1" customHeight="1" x14ac:dyDescent="0.25">
      <c r="A12" s="896"/>
      <c r="B12" s="895"/>
      <c r="C12" s="895"/>
      <c r="D12" s="895"/>
      <c r="E12" s="895"/>
      <c r="F12" s="895"/>
      <c r="G12" s="895"/>
      <c r="H12" s="895"/>
    </row>
    <row r="13" spans="1:8" ht="19.5" customHeight="1" x14ac:dyDescent="0.25">
      <c r="A13" s="147" t="s">
        <v>388</v>
      </c>
      <c r="B13" s="147"/>
      <c r="C13" s="147" t="s">
        <v>389</v>
      </c>
      <c r="D13" s="147"/>
      <c r="E13" s="147"/>
      <c r="F13" s="819"/>
      <c r="G13" s="897"/>
      <c r="H13" s="895"/>
    </row>
    <row r="14" spans="1:8" ht="20.25" customHeight="1" x14ac:dyDescent="0.25">
      <c r="A14" s="147" t="s">
        <v>390</v>
      </c>
      <c r="B14" s="819"/>
      <c r="C14" s="147" t="s">
        <v>391</v>
      </c>
      <c r="D14" s="147"/>
      <c r="E14" s="147"/>
      <c r="F14" s="147"/>
      <c r="G14" s="44"/>
      <c r="H14" s="895"/>
    </row>
    <row r="15" spans="1:8" ht="21" customHeight="1" x14ac:dyDescent="0.25">
      <c r="A15" s="147" t="s">
        <v>392</v>
      </c>
      <c r="B15" s="147"/>
      <c r="C15" s="147" t="s">
        <v>393</v>
      </c>
      <c r="D15" s="147"/>
      <c r="E15" s="147"/>
      <c r="F15" s="147"/>
      <c r="G15" s="44"/>
      <c r="H15" s="895"/>
    </row>
    <row r="16" spans="1:8" ht="21" customHeight="1" x14ac:dyDescent="0.25">
      <c r="A16" s="147" t="s">
        <v>394</v>
      </c>
      <c r="B16" s="147"/>
      <c r="C16" s="147" t="s">
        <v>395</v>
      </c>
      <c r="D16" s="147"/>
      <c r="E16" s="819"/>
      <c r="F16" s="819"/>
      <c r="G16" s="897"/>
      <c r="H16" s="895"/>
    </row>
    <row r="17" spans="1:10" ht="5.0999999999999996" customHeight="1" x14ac:dyDescent="0.25">
      <c r="A17" s="44"/>
      <c r="B17" s="44"/>
      <c r="C17" s="44"/>
      <c r="D17" s="44"/>
      <c r="E17" s="897"/>
      <c r="F17" s="897"/>
      <c r="G17" s="897"/>
      <c r="H17" s="895"/>
    </row>
    <row r="18" spans="1:10" ht="24" customHeight="1" x14ac:dyDescent="0.25">
      <c r="A18" s="224" t="s">
        <v>396</v>
      </c>
      <c r="B18" s="224"/>
      <c r="C18" s="898"/>
      <c r="D18" s="898"/>
      <c r="E18" s="898"/>
      <c r="F18" s="898"/>
      <c r="G18" s="897"/>
      <c r="H18" s="895"/>
    </row>
    <row r="19" spans="1:10" ht="26.1" customHeight="1" x14ac:dyDescent="0.2">
      <c r="A19" s="44" t="s">
        <v>397</v>
      </c>
      <c r="B19" s="44"/>
      <c r="C19" s="897"/>
      <c r="D19" s="897"/>
      <c r="E19" s="897"/>
      <c r="F19" s="897"/>
      <c r="G19" s="577" t="s">
        <v>398</v>
      </c>
      <c r="H19" s="577" t="s">
        <v>398</v>
      </c>
    </row>
    <row r="20" spans="1:10" ht="21" customHeight="1" x14ac:dyDescent="0.2">
      <c r="A20" s="940" t="s">
        <v>399</v>
      </c>
      <c r="B20" s="940"/>
      <c r="C20" s="940"/>
      <c r="D20" s="940"/>
      <c r="E20" s="940"/>
      <c r="F20" s="940"/>
      <c r="G20" s="940"/>
      <c r="H20" s="900">
        <f>'JULY 2025'!J225</f>
        <v>110195705.459167</v>
      </c>
      <c r="J20" s="370"/>
    </row>
    <row r="21" spans="1:10" ht="2.1" customHeight="1" x14ac:dyDescent="0.2">
      <c r="A21" s="899"/>
      <c r="B21" s="899"/>
      <c r="C21" s="899"/>
      <c r="D21" s="899"/>
      <c r="E21" s="899"/>
      <c r="F21" s="899"/>
      <c r="G21" s="899"/>
      <c r="H21" s="900"/>
      <c r="J21" s="370"/>
    </row>
    <row r="22" spans="1:10" ht="21.75" customHeight="1" x14ac:dyDescent="0.2">
      <c r="A22" s="946" t="s">
        <v>400</v>
      </c>
      <c r="B22" s="946"/>
      <c r="C22" s="946"/>
      <c r="D22" s="946"/>
      <c r="E22" s="946"/>
      <c r="F22" s="946"/>
      <c r="G22" s="901"/>
      <c r="H22" s="44"/>
      <c r="I22" s="370"/>
    </row>
    <row r="23" spans="1:10" ht="18.75" customHeight="1" x14ac:dyDescent="0.2">
      <c r="A23" s="937" t="s">
        <v>401</v>
      </c>
      <c r="B23" s="937"/>
      <c r="C23" s="937"/>
      <c r="D23" s="937"/>
      <c r="E23" s="937"/>
      <c r="F23" s="937"/>
      <c r="G23" s="132">
        <f>'JULY 2025'!L225</f>
        <v>6776500</v>
      </c>
      <c r="H23" s="44"/>
      <c r="J23" s="370"/>
    </row>
    <row r="24" spans="1:10" ht="19.5" customHeight="1" x14ac:dyDescent="0.2">
      <c r="A24" s="937" t="s">
        <v>402</v>
      </c>
      <c r="B24" s="937"/>
      <c r="C24" s="937"/>
      <c r="D24" s="937"/>
      <c r="E24" s="937"/>
      <c r="F24" s="937"/>
      <c r="G24" s="132">
        <f>'JULY 2025'!M225</f>
        <v>9195454.7200000007</v>
      </c>
      <c r="H24" s="44"/>
    </row>
    <row r="25" spans="1:10" ht="19.5" customHeight="1" x14ac:dyDescent="0.2">
      <c r="A25" s="937" t="s">
        <v>403</v>
      </c>
      <c r="B25" s="937"/>
      <c r="C25" s="937"/>
      <c r="D25" s="937"/>
      <c r="E25" s="937"/>
      <c r="F25" s="937"/>
      <c r="G25" s="132">
        <f>'JULY 2025'!N225</f>
        <v>2014000</v>
      </c>
      <c r="H25" s="44"/>
    </row>
    <row r="26" spans="1:10" ht="20.25" customHeight="1" x14ac:dyDescent="0.2">
      <c r="A26" s="939" t="s">
        <v>404</v>
      </c>
      <c r="B26" s="939"/>
      <c r="C26" s="939"/>
      <c r="D26" s="939"/>
      <c r="E26" s="939"/>
      <c r="F26" s="939"/>
      <c r="G26" s="132">
        <f>'JULY 2025'!O225</f>
        <v>518783.930833333</v>
      </c>
      <c r="H26" s="44"/>
    </row>
    <row r="27" spans="1:10" ht="20.25" customHeight="1" x14ac:dyDescent="0.2">
      <c r="A27" s="937" t="s">
        <v>405</v>
      </c>
      <c r="B27" s="937"/>
      <c r="C27" s="937"/>
      <c r="D27" s="937"/>
      <c r="E27" s="937"/>
      <c r="F27" s="937"/>
      <c r="G27" s="132">
        <f>'JULY 2025'!P225</f>
        <v>15958204.0683267</v>
      </c>
      <c r="H27" s="44"/>
    </row>
    <row r="28" spans="1:10" ht="21" customHeight="1" x14ac:dyDescent="0.2">
      <c r="A28" s="937" t="s">
        <v>406</v>
      </c>
      <c r="B28" s="937"/>
      <c r="C28" s="937"/>
      <c r="D28" s="937"/>
      <c r="E28" s="937"/>
      <c r="F28" s="937"/>
      <c r="G28" s="904">
        <f>'JULY 2025'!Q225</f>
        <v>6855777.2000000002</v>
      </c>
      <c r="H28" s="44"/>
    </row>
    <row r="29" spans="1:10" ht="28.5" customHeight="1" x14ac:dyDescent="0.2">
      <c r="A29" s="937" t="s">
        <v>407</v>
      </c>
      <c r="B29" s="937"/>
      <c r="C29" s="937"/>
      <c r="D29" s="937"/>
      <c r="E29" s="937"/>
      <c r="F29" s="937"/>
      <c r="G29" s="132"/>
      <c r="H29" s="905">
        <f>G23+G24+G25+G27+G26+G28</f>
        <v>41318719.919160001</v>
      </c>
      <c r="I29" s="372"/>
    </row>
    <row r="30" spans="1:10" ht="20.25" customHeight="1" x14ac:dyDescent="0.2">
      <c r="A30" s="937" t="s">
        <v>408</v>
      </c>
      <c r="B30" s="937"/>
      <c r="C30" s="937"/>
      <c r="D30" s="937"/>
      <c r="E30" s="937"/>
      <c r="F30" s="937"/>
      <c r="G30" s="224"/>
      <c r="H30" s="126">
        <f>H20-H29</f>
        <v>68876985.540006593</v>
      </c>
      <c r="I30" s="179"/>
      <c r="J30" s="179"/>
    </row>
    <row r="31" spans="1:10" ht="21" customHeight="1" x14ac:dyDescent="0.2">
      <c r="A31" s="937" t="s">
        <v>409</v>
      </c>
      <c r="B31" s="937"/>
      <c r="C31" s="937"/>
      <c r="D31" s="937"/>
      <c r="E31" s="937"/>
      <c r="F31" s="937"/>
      <c r="G31" s="224"/>
      <c r="H31" s="648">
        <f>'JULY 2025'!S225</f>
        <v>67891075.945995405</v>
      </c>
    </row>
    <row r="32" spans="1:10" ht="21" customHeight="1" x14ac:dyDescent="0.5">
      <c r="A32" s="937" t="s">
        <v>410</v>
      </c>
      <c r="B32" s="937"/>
      <c r="C32" s="937"/>
      <c r="D32" s="937"/>
      <c r="E32" s="937"/>
      <c r="F32" s="937"/>
      <c r="G32" s="224"/>
      <c r="H32" s="906">
        <f>H30-H31</f>
        <v>985909.59401123202</v>
      </c>
    </row>
    <row r="33" spans="1:17" ht="24" customHeight="1" x14ac:dyDescent="0.2">
      <c r="A33" s="940" t="s">
        <v>411</v>
      </c>
      <c r="B33" s="940"/>
      <c r="C33" s="940"/>
      <c r="D33" s="940"/>
      <c r="E33" s="940"/>
      <c r="F33" s="940"/>
      <c r="G33" s="940"/>
      <c r="H33" s="44"/>
    </row>
    <row r="34" spans="1:17" ht="21.75" customHeight="1" x14ac:dyDescent="0.2">
      <c r="A34" s="902" t="s">
        <v>412</v>
      </c>
      <c r="B34" s="902"/>
      <c r="C34" s="902"/>
      <c r="D34" s="902"/>
      <c r="E34" s="902"/>
      <c r="F34" s="902"/>
      <c r="G34" s="902"/>
      <c r="H34" s="907">
        <f>1344300.36</f>
        <v>1344300.36</v>
      </c>
      <c r="I34" s="368"/>
      <c r="J34" s="372"/>
    </row>
    <row r="35" spans="1:17" ht="21.75" customHeight="1" x14ac:dyDescent="0.2">
      <c r="A35" s="902" t="s">
        <v>413</v>
      </c>
      <c r="B35" s="902"/>
      <c r="C35" s="902"/>
      <c r="D35" s="902"/>
      <c r="E35" s="902"/>
      <c r="F35" s="902"/>
      <c r="G35" s="902"/>
      <c r="H35" s="907">
        <f>2014000</f>
        <v>2014000</v>
      </c>
      <c r="I35" s="368"/>
      <c r="J35" s="372"/>
    </row>
    <row r="36" spans="1:17" ht="21.75" customHeight="1" x14ac:dyDescent="0.2">
      <c r="A36" s="902" t="s">
        <v>414</v>
      </c>
      <c r="B36" s="902"/>
      <c r="C36" s="902"/>
      <c r="D36" s="902"/>
      <c r="E36" s="902"/>
      <c r="F36" s="902"/>
      <c r="G36" s="902"/>
      <c r="H36" s="907">
        <f>-11708.54</f>
        <v>-11708.54</v>
      </c>
      <c r="J36" s="372"/>
    </row>
    <row r="37" spans="1:17" ht="21.75" customHeight="1" x14ac:dyDescent="0.2">
      <c r="A37" s="902" t="s">
        <v>415</v>
      </c>
      <c r="B37" s="902"/>
      <c r="C37" s="902"/>
      <c r="D37" s="902"/>
      <c r="E37" s="902"/>
      <c r="F37" s="902"/>
      <c r="G37" s="902"/>
      <c r="H37" s="907">
        <f>-65734.42-1012.41</f>
        <v>-66746.83</v>
      </c>
      <c r="J37" s="372"/>
    </row>
    <row r="38" spans="1:17" ht="21.75" customHeight="1" x14ac:dyDescent="0.2">
      <c r="A38" s="902" t="s">
        <v>416</v>
      </c>
      <c r="B38" s="902"/>
      <c r="C38" s="902"/>
      <c r="D38" s="902"/>
      <c r="E38" s="902"/>
      <c r="F38" s="902"/>
      <c r="G38" s="902"/>
      <c r="H38" s="907">
        <f>-684161.64-880615.72</f>
        <v>-1564777.36</v>
      </c>
      <c r="J38" s="372"/>
    </row>
    <row r="39" spans="1:17" ht="21.75" customHeight="1" x14ac:dyDescent="0.2">
      <c r="A39" s="902" t="s">
        <v>417</v>
      </c>
      <c r="B39" s="902"/>
      <c r="C39" s="902"/>
      <c r="D39" s="902"/>
      <c r="E39" s="902"/>
      <c r="F39" s="902"/>
      <c r="G39" s="902"/>
      <c r="H39" s="907">
        <v>-2504942.8199999998</v>
      </c>
      <c r="J39" s="372"/>
    </row>
    <row r="40" spans="1:17" ht="21.75" customHeight="1" x14ac:dyDescent="0.2">
      <c r="A40" s="902" t="s">
        <v>418</v>
      </c>
      <c r="B40" s="902"/>
      <c r="C40" s="902"/>
      <c r="D40" s="902"/>
      <c r="E40" s="902"/>
      <c r="F40" s="902"/>
      <c r="G40" s="902"/>
      <c r="H40" s="907">
        <f>80800</f>
        <v>80800</v>
      </c>
      <c r="J40" s="372"/>
    </row>
    <row r="41" spans="1:17" ht="21.75" customHeight="1" x14ac:dyDescent="0.2">
      <c r="A41" s="902" t="s">
        <v>419</v>
      </c>
      <c r="B41" s="902"/>
      <c r="C41" s="902"/>
      <c r="D41" s="902"/>
      <c r="E41" s="902"/>
      <c r="F41" s="902"/>
      <c r="G41" s="902"/>
      <c r="H41" s="907">
        <f>-1181.62+3910.29</f>
        <v>2728.67</v>
      </c>
      <c r="J41" s="372"/>
    </row>
    <row r="42" spans="1:17" ht="21.75" customHeight="1" x14ac:dyDescent="0.2">
      <c r="A42" s="902" t="s">
        <v>420</v>
      </c>
      <c r="B42" s="902"/>
      <c r="C42" s="902"/>
      <c r="D42" s="902"/>
      <c r="E42" s="902"/>
      <c r="F42" s="902"/>
      <c r="G42" s="902"/>
      <c r="H42" s="907">
        <f>-84994.6-42497.3</f>
        <v>-127491.9</v>
      </c>
      <c r="J42" s="372"/>
    </row>
    <row r="43" spans="1:17" ht="21.75" customHeight="1" x14ac:dyDescent="0.2">
      <c r="A43" s="902" t="s">
        <v>421</v>
      </c>
      <c r="B43" s="902"/>
      <c r="C43" s="902"/>
      <c r="D43" s="902"/>
      <c r="E43" s="902"/>
      <c r="F43" s="902"/>
      <c r="G43" s="902"/>
      <c r="H43" s="907">
        <f>-346228</f>
        <v>-346228</v>
      </c>
      <c r="I43" s="372"/>
      <c r="J43" s="372"/>
    </row>
    <row r="44" spans="1:17" ht="21.75" customHeight="1" x14ac:dyDescent="0.2">
      <c r="A44" s="902" t="s">
        <v>422</v>
      </c>
      <c r="B44" s="902"/>
      <c r="C44" s="902"/>
      <c r="D44" s="902"/>
      <c r="E44" s="902"/>
      <c r="F44" s="902"/>
      <c r="G44" s="902"/>
      <c r="H44" s="907">
        <f>-40900.56-35950</f>
        <v>-76850.559999999998</v>
      </c>
      <c r="I44" s="372"/>
      <c r="J44" s="372"/>
    </row>
    <row r="45" spans="1:17" ht="21.75" customHeight="1" x14ac:dyDescent="0.2">
      <c r="A45" s="902" t="s">
        <v>423</v>
      </c>
      <c r="B45" s="902"/>
      <c r="C45" s="902"/>
      <c r="D45" s="902"/>
      <c r="E45" s="902"/>
      <c r="F45" s="902"/>
      <c r="G45" s="902"/>
      <c r="H45" s="907">
        <f>271007.39</f>
        <v>271007.39</v>
      </c>
      <c r="J45" s="372"/>
    </row>
    <row r="46" spans="1:17" ht="24" customHeight="1" x14ac:dyDescent="0.5">
      <c r="H46" s="908">
        <f>SUM(H34:H45)</f>
        <v>-985909.59</v>
      </c>
      <c r="I46" s="372"/>
      <c r="J46" s="368"/>
      <c r="K46" s="370"/>
      <c r="L46" s="368"/>
      <c r="M46" s="368"/>
      <c r="N46" s="370"/>
      <c r="P46" s="911"/>
      <c r="Q46" s="370"/>
    </row>
    <row r="47" spans="1:17" ht="9" hidden="1" customHeight="1" x14ac:dyDescent="0.2">
      <c r="H47" s="909"/>
      <c r="I47" s="372"/>
      <c r="J47" s="368"/>
      <c r="K47" s="370"/>
      <c r="L47" s="368"/>
      <c r="M47" s="368"/>
      <c r="N47" s="370"/>
      <c r="P47" s="911"/>
      <c r="Q47" s="370"/>
    </row>
    <row r="48" spans="1:17" ht="18.75" hidden="1" customHeight="1" x14ac:dyDescent="0.2">
      <c r="A48" s="902"/>
      <c r="B48" s="902"/>
      <c r="C48" s="902"/>
      <c r="D48" s="902"/>
      <c r="E48" s="902"/>
      <c r="F48" s="902"/>
      <c r="G48" s="902"/>
      <c r="H48" s="909"/>
      <c r="I48" s="372"/>
      <c r="J48" s="368"/>
      <c r="K48" s="370"/>
      <c r="L48" s="368"/>
      <c r="M48" s="368"/>
      <c r="N48" s="370"/>
      <c r="P48" s="911"/>
      <c r="Q48" s="370"/>
    </row>
    <row r="49" spans="1:11" ht="23.1" customHeight="1" x14ac:dyDescent="0.2">
      <c r="A49" s="44"/>
      <c r="B49" s="44"/>
      <c r="C49" s="44"/>
      <c r="D49" s="44"/>
      <c r="E49" s="941" t="s">
        <v>18</v>
      </c>
      <c r="F49" s="942"/>
      <c r="G49" s="942" t="s">
        <v>19</v>
      </c>
      <c r="H49" s="942"/>
      <c r="I49" s="372"/>
      <c r="J49" s="372"/>
      <c r="K49" s="370"/>
    </row>
    <row r="50" spans="1:11" ht="18.600000000000001" customHeight="1" x14ac:dyDescent="0.2">
      <c r="A50" s="44"/>
      <c r="B50" s="44"/>
      <c r="C50" s="44"/>
      <c r="D50" s="44"/>
      <c r="E50" s="55" t="s">
        <v>424</v>
      </c>
      <c r="F50" s="98" t="s">
        <v>20</v>
      </c>
      <c r="G50" s="55" t="s">
        <v>424</v>
      </c>
      <c r="H50" s="98" t="s">
        <v>20</v>
      </c>
      <c r="I50" s="372"/>
      <c r="J50" s="372"/>
    </row>
    <row r="51" spans="1:11" ht="28.5" customHeight="1" x14ac:dyDescent="0.2">
      <c r="A51" s="46">
        <v>1</v>
      </c>
      <c r="B51" s="943" t="s">
        <v>425</v>
      </c>
      <c r="C51" s="937"/>
      <c r="D51" s="937"/>
      <c r="E51" s="45">
        <v>32</v>
      </c>
      <c r="F51" s="47">
        <f>'JULY 2025'!S44</f>
        <v>16839990.210156702</v>
      </c>
      <c r="G51" s="45">
        <f>'JULY 2025'!C44</f>
        <v>37</v>
      </c>
      <c r="H51" s="47">
        <f>'JULY 2025'!T44</f>
        <v>16679081.424636699</v>
      </c>
      <c r="I51" s="372"/>
      <c r="J51" s="372"/>
    </row>
    <row r="52" spans="1:11" ht="21.75" customHeight="1" x14ac:dyDescent="0.2">
      <c r="A52" s="46">
        <v>2</v>
      </c>
      <c r="B52" s="137" t="s">
        <v>426</v>
      </c>
      <c r="C52" s="902"/>
      <c r="D52" s="902"/>
      <c r="E52" s="45">
        <v>3</v>
      </c>
      <c r="F52" s="47">
        <f>'JULY 2025'!S53</f>
        <v>1962160.45770666</v>
      </c>
      <c r="G52" s="45">
        <f>'JULY 2025'!C53</f>
        <v>6</v>
      </c>
      <c r="H52" s="47">
        <f>'JULY 2025'!T53</f>
        <v>1912660.45770666</v>
      </c>
      <c r="I52" s="372"/>
      <c r="J52" s="372"/>
    </row>
    <row r="53" spans="1:11" ht="24.75" customHeight="1" x14ac:dyDescent="0.2">
      <c r="A53" s="46">
        <v>3</v>
      </c>
      <c r="B53" s="937" t="s">
        <v>427</v>
      </c>
      <c r="C53" s="937"/>
      <c r="D53" s="937"/>
      <c r="E53" s="45">
        <v>11</v>
      </c>
      <c r="F53" s="47">
        <f>'JULY 2025'!S67</f>
        <v>5424695.0407266598</v>
      </c>
      <c r="G53" s="45">
        <f>'JULY 2025'!C67</f>
        <v>11</v>
      </c>
      <c r="H53" s="47">
        <f>'JULY 2025'!T67</f>
        <v>7633637.8618666604</v>
      </c>
      <c r="I53" s="372"/>
      <c r="J53" s="372"/>
    </row>
    <row r="54" spans="1:11" ht="23.25" customHeight="1" x14ac:dyDescent="0.2">
      <c r="A54" s="46">
        <v>4</v>
      </c>
      <c r="B54" s="937" t="s">
        <v>428</v>
      </c>
      <c r="C54" s="937"/>
      <c r="D54" s="938"/>
      <c r="E54" s="45">
        <v>2</v>
      </c>
      <c r="F54" s="47">
        <f>'JULY 2025'!S72</f>
        <v>1676050.11527999</v>
      </c>
      <c r="G54" s="45">
        <f>'JULY 2025'!C72</f>
        <v>2</v>
      </c>
      <c r="H54" s="47">
        <f>'JULY 2025'!T72</f>
        <v>974050.11527999502</v>
      </c>
      <c r="I54" s="372"/>
      <c r="J54" s="372"/>
    </row>
    <row r="55" spans="1:11" ht="24" customHeight="1" x14ac:dyDescent="0.2">
      <c r="A55" s="46">
        <v>5</v>
      </c>
      <c r="B55" s="937" t="s">
        <v>429</v>
      </c>
      <c r="C55" s="937"/>
      <c r="D55" s="938"/>
      <c r="E55" s="45">
        <v>12</v>
      </c>
      <c r="F55" s="47">
        <f>'JULY 2025'!S85</f>
        <v>3975366.4536799998</v>
      </c>
      <c r="G55" s="45">
        <f>'JULY 2025'!C85</f>
        <v>10</v>
      </c>
      <c r="H55" s="47">
        <f>'JULY 2025'!T85</f>
        <v>3666548.07528</v>
      </c>
      <c r="I55" s="372"/>
      <c r="J55" s="372"/>
    </row>
    <row r="56" spans="1:11" ht="21" customHeight="1" x14ac:dyDescent="0.2">
      <c r="A56" s="46">
        <v>6</v>
      </c>
      <c r="B56" s="937" t="s">
        <v>430</v>
      </c>
      <c r="C56" s="937"/>
      <c r="D56" s="938"/>
      <c r="E56" s="45">
        <v>6</v>
      </c>
      <c r="F56" s="47">
        <f>'JULY 2025'!S96</f>
        <v>3467247.5508299898</v>
      </c>
      <c r="G56" s="45">
        <f>'JULY 2025'!C96</f>
        <v>7</v>
      </c>
      <c r="H56" s="47">
        <f>'JULY 2025'!T96</f>
        <v>4094177.3745333301</v>
      </c>
      <c r="I56" s="372"/>
      <c r="J56" s="372"/>
    </row>
    <row r="57" spans="1:11" ht="23.25" customHeight="1" x14ac:dyDescent="0.2">
      <c r="A57" s="46">
        <v>7</v>
      </c>
      <c r="B57" s="902" t="s">
        <v>431</v>
      </c>
      <c r="C57" s="902"/>
      <c r="D57" s="902"/>
      <c r="E57" s="45">
        <v>11</v>
      </c>
      <c r="F57" s="47">
        <f>'JULY 2025'!S110</f>
        <v>6243811.7845099997</v>
      </c>
      <c r="G57" s="45">
        <f>'JULY 2025'!C110</f>
        <v>11</v>
      </c>
      <c r="H57" s="47">
        <f>'JULY 2025'!T110</f>
        <v>6189811.7845099997</v>
      </c>
      <c r="I57" s="372"/>
      <c r="J57" s="372"/>
    </row>
    <row r="58" spans="1:11" ht="25.5" customHeight="1" x14ac:dyDescent="0.2">
      <c r="A58" s="46">
        <v>8</v>
      </c>
      <c r="B58" s="902" t="s">
        <v>432</v>
      </c>
      <c r="C58" s="902"/>
      <c r="D58" s="902"/>
      <c r="E58" s="45">
        <v>4</v>
      </c>
      <c r="F58" s="47">
        <f>'JULY 2025'!S119</f>
        <v>2611629.4086366701</v>
      </c>
      <c r="G58" s="45">
        <f>'JULY 2025'!C119</f>
        <v>6</v>
      </c>
      <c r="H58" s="47">
        <f>'JULY 2025'!T119</f>
        <v>2406629.4086366701</v>
      </c>
      <c r="I58" s="372"/>
      <c r="J58" s="372"/>
    </row>
    <row r="59" spans="1:11" ht="21.75" customHeight="1" x14ac:dyDescent="0.2">
      <c r="A59" s="46">
        <v>9</v>
      </c>
      <c r="B59" s="902" t="s">
        <v>433</v>
      </c>
      <c r="C59" s="902"/>
      <c r="D59" s="902"/>
      <c r="E59" s="45">
        <v>7</v>
      </c>
      <c r="F59" s="47">
        <f>'JULY 2025'!S129</f>
        <v>4056605.6303920401</v>
      </c>
      <c r="G59" s="45">
        <f>'JULY 2025'!C129</f>
        <v>7</v>
      </c>
      <c r="H59" s="47">
        <f>'JULY 2025'!T129</f>
        <v>4129195.6288100001</v>
      </c>
      <c r="I59" s="372"/>
      <c r="J59" s="372"/>
    </row>
    <row r="60" spans="1:11" ht="21.75" customHeight="1" x14ac:dyDescent="0.2">
      <c r="A60" s="46">
        <v>10</v>
      </c>
      <c r="B60" s="902" t="s">
        <v>434</v>
      </c>
      <c r="C60" s="902"/>
      <c r="D60" s="902"/>
      <c r="E60" s="45">
        <v>2</v>
      </c>
      <c r="F60" s="47">
        <f>'JULY 2025'!S137</f>
        <v>1975922.70698333</v>
      </c>
      <c r="G60" s="45">
        <f>'JULY 2025'!C137</f>
        <v>6</v>
      </c>
      <c r="H60" s="47">
        <f>'JULY 2025'!T137</f>
        <v>1454720.88328</v>
      </c>
      <c r="I60" s="372"/>
      <c r="J60" s="372"/>
    </row>
    <row r="61" spans="1:11" ht="21.75" customHeight="1" x14ac:dyDescent="0.2">
      <c r="A61" s="46">
        <v>11</v>
      </c>
      <c r="B61" s="902" t="s">
        <v>435</v>
      </c>
      <c r="C61" s="902"/>
      <c r="D61" s="902"/>
      <c r="E61" s="45">
        <v>3</v>
      </c>
      <c r="F61" s="47">
        <f>'JULY 2025'!S143</f>
        <v>549593.11317333404</v>
      </c>
      <c r="G61" s="45">
        <v>3</v>
      </c>
      <c r="H61" s="47">
        <f>'JULY 2025'!T143</f>
        <v>1430208.8359733301</v>
      </c>
      <c r="I61" s="372"/>
      <c r="J61" s="372"/>
    </row>
    <row r="62" spans="1:11" ht="24.75" customHeight="1" x14ac:dyDescent="0.2">
      <c r="A62" s="46">
        <v>12</v>
      </c>
      <c r="B62" s="902" t="s">
        <v>436</v>
      </c>
      <c r="C62" s="902"/>
      <c r="D62" s="902"/>
      <c r="E62" s="45">
        <v>10</v>
      </c>
      <c r="F62" s="47">
        <f>'JULY 2025'!S157</f>
        <v>4517660.6156833302</v>
      </c>
      <c r="G62" s="910" t="str">
        <f>'JULY 2025'!C157</f>
        <v>11</v>
      </c>
      <c r="H62" s="47">
        <f>'JULY 2025'!T157</f>
        <v>4059406.5636833301</v>
      </c>
      <c r="I62" s="372"/>
      <c r="J62" s="372"/>
    </row>
    <row r="63" spans="1:11" ht="24.75" customHeight="1" x14ac:dyDescent="0.2">
      <c r="A63" s="46">
        <v>13</v>
      </c>
      <c r="B63" s="937" t="s">
        <v>437</v>
      </c>
      <c r="C63" s="937"/>
      <c r="D63" s="937"/>
      <c r="E63" s="45">
        <v>61</v>
      </c>
      <c r="F63" s="47">
        <f>'JULY 2025'!S224</f>
        <v>14590342.8582367</v>
      </c>
      <c r="G63" s="910" t="str">
        <f>'JULY 2025'!C224</f>
        <v>64</v>
      </c>
      <c r="H63" s="47">
        <f>'JULY 2025'!T224</f>
        <v>14246857.125809999</v>
      </c>
      <c r="I63" s="372"/>
      <c r="J63" s="372"/>
    </row>
    <row r="64" spans="1:11" ht="24" customHeight="1" x14ac:dyDescent="0.2">
      <c r="A64" s="44"/>
      <c r="B64" s="44"/>
      <c r="C64" s="44"/>
      <c r="D64" s="44"/>
      <c r="E64" s="55">
        <f>SUM(E51:E63)</f>
        <v>164</v>
      </c>
      <c r="F64" s="49">
        <f>SUM(F51:F63)</f>
        <v>67891075.945995405</v>
      </c>
      <c r="G64" s="55">
        <v>155</v>
      </c>
      <c r="H64" s="49">
        <f>SUM(H51:H63)</f>
        <v>68876985.540006593</v>
      </c>
      <c r="I64" s="372"/>
      <c r="J64" s="372"/>
    </row>
    <row r="65" spans="1:14" ht="0.75" customHeight="1" x14ac:dyDescent="0.2">
      <c r="A65" s="44"/>
      <c r="B65" s="44"/>
      <c r="C65" s="44"/>
      <c r="D65" s="44"/>
      <c r="E65" s="39"/>
      <c r="F65" s="900"/>
      <c r="G65" s="39"/>
      <c r="H65" s="900"/>
      <c r="I65" s="372"/>
      <c r="J65" s="372"/>
    </row>
    <row r="66" spans="1:14" ht="60.95" customHeight="1" x14ac:dyDescent="0.2">
      <c r="A66" s="939" t="s">
        <v>438</v>
      </c>
      <c r="B66" s="939"/>
      <c r="C66" s="939"/>
      <c r="D66" s="939"/>
      <c r="E66" s="939"/>
      <c r="F66" s="939"/>
      <c r="G66" s="939"/>
      <c r="H66" s="939"/>
      <c r="I66" s="44"/>
      <c r="J66" s="132"/>
      <c r="K66" s="132"/>
      <c r="L66" s="44"/>
      <c r="M66" s="44"/>
      <c r="N66" s="44"/>
    </row>
    <row r="67" spans="1:14" ht="4.5" customHeight="1" x14ac:dyDescent="0.2">
      <c r="A67" s="903"/>
      <c r="B67" s="903"/>
      <c r="C67" s="903"/>
      <c r="D67" s="903"/>
      <c r="E67" s="903"/>
      <c r="F67" s="903"/>
      <c r="G67" s="903"/>
      <c r="H67" s="903"/>
      <c r="I67" s="44"/>
      <c r="J67" s="44"/>
      <c r="K67" s="44"/>
      <c r="L67" s="44"/>
      <c r="M67" s="44"/>
      <c r="N67" s="44"/>
    </row>
    <row r="68" spans="1:14" ht="2.25" hidden="1" customHeight="1" x14ac:dyDescent="0.2">
      <c r="A68" s="903"/>
      <c r="B68" s="903"/>
      <c r="C68" s="903"/>
      <c r="D68" s="903"/>
      <c r="E68" s="903"/>
      <c r="F68" s="903"/>
      <c r="G68" s="903"/>
      <c r="H68" s="903"/>
      <c r="I68" s="44"/>
      <c r="J68" s="44"/>
      <c r="K68" s="44"/>
      <c r="L68" s="44"/>
      <c r="M68" s="44"/>
      <c r="N68" s="44"/>
    </row>
    <row r="69" spans="1:14" ht="42.95" customHeight="1" x14ac:dyDescent="0.2">
      <c r="F69" s="44"/>
      <c r="G69" s="44"/>
      <c r="H69" s="44"/>
    </row>
    <row r="70" spans="1:14" ht="17.25" customHeight="1" x14ac:dyDescent="0.2">
      <c r="A70" s="940" t="s">
        <v>253</v>
      </c>
      <c r="B70" s="940"/>
      <c r="C70" s="940"/>
      <c r="D70" s="940"/>
      <c r="E70" s="940"/>
      <c r="F70" s="44"/>
      <c r="G70" s="44"/>
      <c r="H70" s="44"/>
      <c r="I70" s="372"/>
      <c r="K70" s="368"/>
    </row>
    <row r="71" spans="1:14" ht="13.5" x14ac:dyDescent="0.15">
      <c r="A71" s="229"/>
      <c r="B71" s="229"/>
      <c r="C71" s="229"/>
      <c r="D71" s="229" t="s">
        <v>439</v>
      </c>
      <c r="E71" s="229"/>
      <c r="F71" s="229"/>
      <c r="G71" s="229"/>
      <c r="H71" s="229"/>
      <c r="I71" s="179"/>
      <c r="K71" s="368"/>
    </row>
    <row r="72" spans="1:14" x14ac:dyDescent="0.15">
      <c r="K72" s="368"/>
    </row>
    <row r="73" spans="1:14" x14ac:dyDescent="0.15">
      <c r="K73" s="368"/>
    </row>
    <row r="76" spans="1:14" x14ac:dyDescent="0.15">
      <c r="C76" t="s">
        <v>440</v>
      </c>
    </row>
    <row r="174" spans="3:3" x14ac:dyDescent="0.15">
      <c r="C174">
        <f>10000</f>
        <v>10000</v>
      </c>
    </row>
  </sheetData>
  <mergeCells count="30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G33"/>
    <mergeCell ref="E49:F49"/>
    <mergeCell ref="G49:H49"/>
    <mergeCell ref="B51:D51"/>
    <mergeCell ref="B53:D53"/>
    <mergeCell ref="B54:D54"/>
    <mergeCell ref="B55:D55"/>
    <mergeCell ref="B56:D56"/>
    <mergeCell ref="B63:D63"/>
    <mergeCell ref="A66:H66"/>
    <mergeCell ref="A70:E70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F4" sqref="F4:F8"/>
    </sheetView>
  </sheetViews>
  <sheetFormatPr defaultColWidth="8.76171875" defaultRowHeight="12.75" x14ac:dyDescent="0.15"/>
  <cols>
    <col min="1" max="1" width="4.8515625" customWidth="1"/>
    <col min="2" max="2" width="21.57421875" customWidth="1"/>
    <col min="4" max="4" width="11.32421875" customWidth="1"/>
    <col min="5" max="6" width="16.85546875" customWidth="1"/>
    <col min="7" max="7" width="19.01171875" customWidth="1"/>
    <col min="8" max="8" width="15.23828125" customWidth="1"/>
  </cols>
  <sheetData>
    <row r="1" spans="1:8" s="1" customFormat="1" ht="60" customHeight="1" x14ac:dyDescent="0.2">
      <c r="A1" s="2"/>
      <c r="B1" s="3" t="s">
        <v>2</v>
      </c>
      <c r="C1" s="4" t="s">
        <v>3</v>
      </c>
      <c r="D1" s="5" t="s">
        <v>4</v>
      </c>
      <c r="E1" s="184" t="s">
        <v>441</v>
      </c>
      <c r="F1" s="184" t="s">
        <v>442</v>
      </c>
      <c r="G1" s="184" t="s">
        <v>443</v>
      </c>
      <c r="H1" s="184" t="s">
        <v>444</v>
      </c>
    </row>
    <row r="2" spans="1:8" s="1" customFormat="1" ht="17.25" customHeight="1" x14ac:dyDescent="0.2">
      <c r="C2" s="6"/>
      <c r="D2" s="6"/>
      <c r="E2" s="67" t="s">
        <v>20</v>
      </c>
      <c r="F2" s="67" t="s">
        <v>20</v>
      </c>
      <c r="G2" s="67" t="s">
        <v>20</v>
      </c>
      <c r="H2" s="67" t="s">
        <v>20</v>
      </c>
    </row>
    <row r="4" spans="1:8" s="1" customFormat="1" ht="20.100000000000001" customHeight="1" x14ac:dyDescent="0.2">
      <c r="A4" s="2">
        <v>1</v>
      </c>
      <c r="B4" s="9" t="s">
        <v>226</v>
      </c>
      <c r="C4" s="2" t="s">
        <v>227</v>
      </c>
      <c r="D4" s="8" t="s">
        <v>52</v>
      </c>
      <c r="E4" s="70">
        <v>541351.33333333302</v>
      </c>
      <c r="F4" s="70">
        <f>E4*0.11</f>
        <v>59548.646666666602</v>
      </c>
      <c r="G4" s="70">
        <v>41432.938524999998</v>
      </c>
      <c r="H4" s="70">
        <f>F4-G4</f>
        <v>18115.708141666601</v>
      </c>
    </row>
    <row r="5" spans="1:8" s="1" customFormat="1" ht="20.100000000000001" customHeight="1" x14ac:dyDescent="0.2">
      <c r="A5" s="2">
        <v>2</v>
      </c>
      <c r="B5" s="9" t="s">
        <v>228</v>
      </c>
      <c r="C5" s="2" t="s">
        <v>227</v>
      </c>
      <c r="D5" s="8" t="s">
        <v>229</v>
      </c>
      <c r="E5" s="70">
        <v>542419.5</v>
      </c>
      <c r="F5" s="70">
        <f>E5*0.11</f>
        <v>59666.144999999997</v>
      </c>
      <c r="G5" s="70">
        <v>42433.938524999998</v>
      </c>
      <c r="H5" s="70">
        <f>F5-G5</f>
        <v>17232.206474999999</v>
      </c>
    </row>
    <row r="6" spans="1:8" s="1" customFormat="1" ht="20.100000000000001" customHeight="1" x14ac:dyDescent="0.2">
      <c r="A6" s="2">
        <v>3</v>
      </c>
      <c r="B6" s="9" t="s">
        <v>230</v>
      </c>
      <c r="C6" s="2" t="s">
        <v>231</v>
      </c>
      <c r="D6" s="13" t="s">
        <v>232</v>
      </c>
      <c r="E6" s="186">
        <v>329950.41666666698</v>
      </c>
      <c r="F6" s="70">
        <f>E6*0.11</f>
        <v>36294.545833333403</v>
      </c>
      <c r="G6" s="70">
        <v>25333.447479999999</v>
      </c>
      <c r="H6" s="70">
        <f>F6-G6</f>
        <v>10961.0983533334</v>
      </c>
    </row>
    <row r="7" spans="1:8" s="1" customFormat="1" ht="20.100000000000001" customHeight="1" x14ac:dyDescent="0.2">
      <c r="A7" s="2">
        <v>4</v>
      </c>
      <c r="B7" s="16" t="s">
        <v>233</v>
      </c>
      <c r="C7" s="2" t="s">
        <v>231</v>
      </c>
      <c r="D7" s="8" t="s">
        <v>96</v>
      </c>
      <c r="E7" s="186">
        <v>330407.08333333302</v>
      </c>
      <c r="F7" s="70">
        <f>E7*0.11</f>
        <v>36344.779166666602</v>
      </c>
      <c r="G7" s="70">
        <v>26334.447479999999</v>
      </c>
      <c r="H7" s="70">
        <f>F7-G7</f>
        <v>10010.331686666599</v>
      </c>
    </row>
    <row r="8" spans="1:8" s="1" customFormat="1" ht="20.100000000000001" customHeight="1" x14ac:dyDescent="0.2">
      <c r="A8" s="2">
        <v>5</v>
      </c>
      <c r="B8" s="16" t="s">
        <v>234</v>
      </c>
      <c r="C8" s="2" t="s">
        <v>231</v>
      </c>
      <c r="D8" s="13" t="s">
        <v>206</v>
      </c>
      <c r="E8" s="186">
        <v>308920.66666666698</v>
      </c>
      <c r="F8" s="70">
        <f>E8*0.11</f>
        <v>33981.273333333404</v>
      </c>
      <c r="G8" s="70">
        <v>24566.195445000001</v>
      </c>
      <c r="H8" s="70">
        <f>F8-G8</f>
        <v>9415.0778883333696</v>
      </c>
    </row>
    <row r="9" spans="1:8" ht="21.95" customHeight="1" x14ac:dyDescent="0.2">
      <c r="B9" s="892" t="s">
        <v>111</v>
      </c>
      <c r="C9" s="892"/>
      <c r="D9" s="892"/>
      <c r="E9" s="892"/>
      <c r="F9" s="892"/>
      <c r="G9" s="892"/>
      <c r="H9" s="892">
        <f>SUM(H4:H8)</f>
        <v>65734.422544999994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"/>
  <sheetViews>
    <sheetView topLeftCell="H7" workbookViewId="0">
      <selection activeCell="P16" sqref="P16"/>
    </sheetView>
  </sheetViews>
  <sheetFormatPr defaultColWidth="8.76171875" defaultRowHeight="12.75" x14ac:dyDescent="0.15"/>
  <cols>
    <col min="1" max="1" width="4.04296875" customWidth="1"/>
    <col min="2" max="2" width="17.52734375" customWidth="1"/>
    <col min="3" max="3" width="18.203125" customWidth="1"/>
    <col min="5" max="5" width="14.6953125"/>
    <col min="7" max="7" width="12.80859375"/>
    <col min="8" max="8" width="11.59375"/>
    <col min="9" max="9" width="12.80859375"/>
    <col min="10" max="10" width="14.6953125"/>
    <col min="12" max="13" width="12.80859375"/>
    <col min="14" max="14" width="11.59375"/>
    <col min="15" max="17" width="12.80859375"/>
    <col min="18" max="18" width="14.6953125"/>
    <col min="19" max="19" width="12.80859375"/>
  </cols>
  <sheetData>
    <row r="1" spans="1:18" s="1" customFormat="1" ht="49.5" customHeight="1" x14ac:dyDescent="0.2">
      <c r="A1" s="725"/>
      <c r="B1" s="642" t="s">
        <v>2</v>
      </c>
      <c r="C1" s="643" t="s">
        <v>3</v>
      </c>
      <c r="D1" s="644" t="s">
        <v>4</v>
      </c>
      <c r="E1" s="636" t="s">
        <v>5</v>
      </c>
      <c r="F1" s="636" t="s">
        <v>6</v>
      </c>
      <c r="G1" s="636" t="s">
        <v>7</v>
      </c>
      <c r="H1" s="636" t="s">
        <v>7</v>
      </c>
      <c r="I1" s="636" t="s">
        <v>8</v>
      </c>
      <c r="J1" s="645" t="s">
        <v>9</v>
      </c>
      <c r="K1" s="636" t="s">
        <v>10</v>
      </c>
      <c r="L1" s="636" t="s">
        <v>445</v>
      </c>
      <c r="M1" s="636" t="s">
        <v>12</v>
      </c>
      <c r="N1" s="636" t="s">
        <v>14</v>
      </c>
      <c r="O1" s="887" t="s">
        <v>15</v>
      </c>
      <c r="P1" s="636" t="s">
        <v>16</v>
      </c>
      <c r="Q1" s="646" t="s">
        <v>17</v>
      </c>
      <c r="R1" s="647" t="s">
        <v>19</v>
      </c>
    </row>
    <row r="2" spans="1:18" s="1" customFormat="1" ht="17.25" customHeight="1" x14ac:dyDescent="0.2">
      <c r="A2" s="718"/>
      <c r="B2" s="718"/>
      <c r="C2" s="688"/>
      <c r="D2" s="688"/>
      <c r="E2" s="882" t="s">
        <v>20</v>
      </c>
      <c r="F2" s="882" t="s">
        <v>20</v>
      </c>
      <c r="G2" s="882" t="s">
        <v>20</v>
      </c>
      <c r="H2" s="882" t="s">
        <v>20</v>
      </c>
      <c r="I2" s="882" t="s">
        <v>20</v>
      </c>
      <c r="J2" s="888" t="s">
        <v>20</v>
      </c>
      <c r="K2" s="882" t="s">
        <v>20</v>
      </c>
      <c r="L2" s="882" t="s">
        <v>20</v>
      </c>
      <c r="M2" s="882" t="s">
        <v>20</v>
      </c>
      <c r="N2" s="882" t="s">
        <v>20</v>
      </c>
      <c r="O2" s="882" t="s">
        <v>20</v>
      </c>
      <c r="P2" s="882" t="s">
        <v>20</v>
      </c>
      <c r="Q2" s="890" t="s">
        <v>20</v>
      </c>
      <c r="R2" s="888" t="s">
        <v>20</v>
      </c>
    </row>
    <row r="3" spans="1:18" s="718" customFormat="1" ht="39" customHeight="1" x14ac:dyDescent="0.15">
      <c r="A3" s="689">
        <v>1</v>
      </c>
      <c r="B3" s="724" t="s">
        <v>126</v>
      </c>
      <c r="C3" s="725" t="s">
        <v>446</v>
      </c>
      <c r="D3" s="689" t="s">
        <v>128</v>
      </c>
      <c r="E3" s="691">
        <v>1647612</v>
      </c>
      <c r="F3" s="691"/>
      <c r="G3" s="692">
        <f>200000</f>
        <v>200000</v>
      </c>
      <c r="H3" s="692"/>
      <c r="I3" s="691"/>
      <c r="J3" s="696">
        <f>SUM(E3:I3)</f>
        <v>1847612</v>
      </c>
      <c r="K3" s="691"/>
      <c r="L3" s="691"/>
      <c r="M3" s="691"/>
      <c r="N3" s="691"/>
      <c r="O3" s="691">
        <v>303177.16234666703</v>
      </c>
      <c r="P3" s="691">
        <v>131808.95999999999</v>
      </c>
      <c r="Q3" s="700">
        <f>O3+N3+M3+L3+K3+P3</f>
        <v>434986.12234666699</v>
      </c>
      <c r="R3" s="696">
        <f>J3-Q3</f>
        <v>1412625.8776533301</v>
      </c>
    </row>
    <row r="4" spans="1:18" s="1" customFormat="1" ht="36.950000000000003" customHeight="1" x14ac:dyDescent="0.2">
      <c r="A4" s="689">
        <v>1</v>
      </c>
      <c r="B4" s="724" t="s">
        <v>126</v>
      </c>
      <c r="C4" s="725" t="s">
        <v>127</v>
      </c>
      <c r="D4" s="689" t="s">
        <v>154</v>
      </c>
      <c r="E4" s="691">
        <v>905306.75</v>
      </c>
      <c r="F4" s="691"/>
      <c r="G4" s="692">
        <f>180000</f>
        <v>180000</v>
      </c>
      <c r="H4" s="692"/>
      <c r="I4" s="691">
        <v>100000</v>
      </c>
      <c r="J4" s="696">
        <f>SUM(E4:I4)</f>
        <v>1185306.75</v>
      </c>
      <c r="K4" s="691"/>
      <c r="L4" s="691"/>
      <c r="M4" s="691"/>
      <c r="N4" s="691"/>
      <c r="O4" s="691">
        <v>192340.05098666699</v>
      </c>
      <c r="P4" s="691">
        <v>72424.539999999994</v>
      </c>
      <c r="Q4" s="700">
        <f>O4+N4+M4+L4+K4+P4</f>
        <v>264764.59098666703</v>
      </c>
      <c r="R4" s="696">
        <f>J4-Q4</f>
        <v>920542.15901333303</v>
      </c>
    </row>
    <row r="5" spans="1:18" ht="24" customHeight="1" x14ac:dyDescent="0.15">
      <c r="A5" s="229"/>
      <c r="B5" s="236" t="s">
        <v>447</v>
      </c>
      <c r="C5" s="236"/>
      <c r="D5" s="236"/>
      <c r="E5" s="236"/>
      <c r="F5" s="236"/>
      <c r="G5" s="236"/>
      <c r="H5" s="236"/>
      <c r="I5" s="236"/>
      <c r="J5" s="889">
        <f>J3-J4</f>
        <v>662305.25</v>
      </c>
      <c r="K5" s="889"/>
      <c r="L5" s="889"/>
      <c r="M5" s="889"/>
      <c r="N5" s="889"/>
      <c r="O5" s="889">
        <f>O3-O4</f>
        <v>110837.11136</v>
      </c>
      <c r="P5" s="889">
        <f>P3-P4</f>
        <v>59384.42</v>
      </c>
      <c r="Q5" s="889">
        <f>Q3-Q4</f>
        <v>170221.53135999999</v>
      </c>
      <c r="R5" s="889">
        <f>R3-R4</f>
        <v>492083.71863999998</v>
      </c>
    </row>
    <row r="6" spans="1:18" ht="18" customHeight="1" x14ac:dyDescent="0.15">
      <c r="A6" s="229"/>
      <c r="B6" s="236" t="s">
        <v>448</v>
      </c>
      <c r="C6" s="236"/>
      <c r="D6" s="236"/>
      <c r="E6" s="236"/>
      <c r="F6" s="236"/>
      <c r="G6" s="236"/>
      <c r="H6" s="236"/>
      <c r="I6" s="236"/>
      <c r="J6" s="889">
        <f>J5*3.65</f>
        <v>2417414.1625000001</v>
      </c>
      <c r="K6" s="236"/>
      <c r="L6" s="236"/>
      <c r="M6" s="236"/>
      <c r="N6" s="236"/>
      <c r="O6" s="889">
        <f>O5*3.65</f>
        <v>404555.45646399999</v>
      </c>
      <c r="P6" s="236"/>
      <c r="Q6" s="889">
        <f>O6</f>
        <v>404555.45646399999</v>
      </c>
      <c r="R6" s="889">
        <f>J6-Q6</f>
        <v>2012858.706036</v>
      </c>
    </row>
    <row r="7" spans="1:18" x14ac:dyDescent="0.15">
      <c r="R7" s="180">
        <f>SUM(R5:R6)</f>
        <v>2504942.4246760001</v>
      </c>
    </row>
    <row r="9" spans="1:18" s="718" customFormat="1" ht="42.95" customHeight="1" x14ac:dyDescent="0.15">
      <c r="A9" s="689" t="s">
        <v>449</v>
      </c>
      <c r="B9" s="883" t="s">
        <v>450</v>
      </c>
      <c r="C9" s="884" t="s">
        <v>287</v>
      </c>
      <c r="D9" s="689" t="s">
        <v>137</v>
      </c>
      <c r="E9" s="691">
        <f>353512.5</f>
        <v>353512.5</v>
      </c>
      <c r="F9" s="691"/>
      <c r="G9" s="692"/>
      <c r="H9" s="692">
        <v>60000</v>
      </c>
      <c r="I9" s="691"/>
      <c r="J9" s="700">
        <f>E9+F9+G9+H9+I9</f>
        <v>413512.5</v>
      </c>
      <c r="K9" s="691"/>
      <c r="L9" s="691"/>
      <c r="M9" s="691"/>
      <c r="N9" s="691"/>
      <c r="O9" s="691">
        <v>52068.58</v>
      </c>
      <c r="P9" s="691">
        <v>28281</v>
      </c>
      <c r="Q9" s="700">
        <f>O9+N9+M9+L9+K9+P9</f>
        <v>80349.58</v>
      </c>
      <c r="R9" s="700">
        <f>J9-Q9</f>
        <v>333162.92</v>
      </c>
    </row>
    <row r="10" spans="1:18" ht="24.75" x14ac:dyDescent="0.15">
      <c r="A10" t="s">
        <v>451</v>
      </c>
      <c r="B10" s="883" t="s">
        <v>450</v>
      </c>
      <c r="C10" s="884" t="s">
        <v>287</v>
      </c>
      <c r="D10" s="728" t="s">
        <v>137</v>
      </c>
      <c r="E10" s="692">
        <v>441159</v>
      </c>
      <c r="F10" s="691"/>
      <c r="G10" s="692"/>
      <c r="H10" s="692">
        <f>60000</f>
        <v>60000</v>
      </c>
      <c r="I10" s="691"/>
      <c r="J10" s="696">
        <f>SUM(E10:I10)</f>
        <v>501159</v>
      </c>
      <c r="K10" s="691"/>
      <c r="L10" s="691"/>
      <c r="M10" s="691"/>
      <c r="N10" s="691"/>
      <c r="O10" s="691">
        <v>68112.992426666693</v>
      </c>
      <c r="P10" s="595">
        <v>35292.720000000001</v>
      </c>
      <c r="Q10" s="700">
        <f>O10+N10+M10+L10+K10+P10</f>
        <v>103405.712426667</v>
      </c>
      <c r="R10" s="696">
        <f>J10-Q10</f>
        <v>397753.28757333301</v>
      </c>
    </row>
    <row r="11" spans="1:18" ht="21" customHeight="1" x14ac:dyDescent="0.15">
      <c r="B11" s="883" t="s">
        <v>452</v>
      </c>
      <c r="C11" s="345"/>
      <c r="D11" s="345"/>
      <c r="E11" s="885">
        <f>E10-E9</f>
        <v>87646.5</v>
      </c>
      <c r="F11" s="885"/>
      <c r="G11" s="885"/>
      <c r="H11" s="885"/>
      <c r="I11" s="885"/>
      <c r="J11" s="885">
        <f>J10-J9</f>
        <v>87646.5</v>
      </c>
      <c r="K11" s="885"/>
      <c r="L11" s="885"/>
      <c r="M11" s="885"/>
      <c r="N11" s="885"/>
      <c r="O11" s="885">
        <f>O10-O9</f>
        <v>16044.4124266667</v>
      </c>
      <c r="P11" s="885"/>
      <c r="Q11" s="885">
        <f>Q10-Q9</f>
        <v>23056.1324266667</v>
      </c>
      <c r="R11" s="891">
        <f>R10-R9</f>
        <v>64590.3675733333</v>
      </c>
    </row>
    <row r="12" spans="1:18" ht="29.1" customHeight="1" x14ac:dyDescent="0.15">
      <c r="B12" s="883" t="s">
        <v>453</v>
      </c>
      <c r="C12" s="345"/>
      <c r="D12" s="345"/>
      <c r="E12" s="885">
        <f>J12</f>
        <v>350586</v>
      </c>
      <c r="F12" s="885"/>
      <c r="G12" s="885"/>
      <c r="H12" s="885"/>
      <c r="I12" s="885"/>
      <c r="J12" s="885">
        <f>J11*4</f>
        <v>350586</v>
      </c>
      <c r="K12" s="885"/>
      <c r="L12" s="885"/>
      <c r="M12" s="885"/>
      <c r="N12" s="885"/>
      <c r="O12" s="885">
        <f>O11*4</f>
        <v>64177.649706666802</v>
      </c>
      <c r="P12" s="885"/>
      <c r="Q12" s="885">
        <f>O12</f>
        <v>64177.649706666802</v>
      </c>
      <c r="R12" s="891">
        <f>J12-Q12</f>
        <v>286408.350293333</v>
      </c>
    </row>
    <row r="13" spans="1:18" ht="17.100000000000001" customHeight="1" x14ac:dyDescent="0.15">
      <c r="R13" s="372">
        <f>R10+R12</f>
        <v>684161.63786666701</v>
      </c>
    </row>
    <row r="15" spans="1:18" s="718" customFormat="1" ht="27.95" customHeight="1" x14ac:dyDescent="0.15">
      <c r="A15" s="886" t="s">
        <v>451</v>
      </c>
      <c r="B15" s="726" t="s">
        <v>244</v>
      </c>
      <c r="C15" s="725" t="s">
        <v>245</v>
      </c>
      <c r="D15" s="689" t="s">
        <v>96</v>
      </c>
      <c r="E15" s="691">
        <v>330407.08333333302</v>
      </c>
      <c r="F15" s="691"/>
      <c r="G15" s="692"/>
      <c r="H15" s="692">
        <f>60000</f>
        <v>60000</v>
      </c>
      <c r="I15" s="691"/>
      <c r="J15" s="700">
        <f>E15+F15+G15+H15+I15</f>
        <v>390407.08333333302</v>
      </c>
      <c r="K15" s="691"/>
      <c r="L15" s="691"/>
      <c r="M15" s="691"/>
      <c r="N15" s="691"/>
      <c r="O15" s="691">
        <v>48549.773866666699</v>
      </c>
      <c r="P15" s="691">
        <v>26432.566666666698</v>
      </c>
      <c r="Q15" s="700">
        <f>O15+N15+M15+L15+K15+P15</f>
        <v>74982.340533333394</v>
      </c>
      <c r="R15" s="700">
        <f>J15-Q15</f>
        <v>315424.74280000001</v>
      </c>
    </row>
    <row r="16" spans="1:18" s="718" customFormat="1" ht="35.1" customHeight="1" x14ac:dyDescent="0.15">
      <c r="A16" s="689" t="s">
        <v>449</v>
      </c>
      <c r="B16" s="726" t="s">
        <v>244</v>
      </c>
      <c r="C16" s="725" t="s">
        <v>245</v>
      </c>
      <c r="D16" s="689" t="s">
        <v>96</v>
      </c>
      <c r="E16" s="691">
        <f>255849</f>
        <v>255849</v>
      </c>
      <c r="F16" s="691"/>
      <c r="G16" s="692"/>
      <c r="H16" s="692">
        <v>60000</v>
      </c>
      <c r="I16" s="691"/>
      <c r="J16" s="700">
        <f>E16+F16+G16+H16+I16</f>
        <v>315849</v>
      </c>
      <c r="K16" s="691"/>
      <c r="L16" s="691"/>
      <c r="M16" s="691"/>
      <c r="N16" s="691"/>
      <c r="O16" s="691">
        <v>36790.688106666697</v>
      </c>
      <c r="P16" s="691"/>
      <c r="Q16" s="700">
        <f>O16+N16+M16+L16+K16+P16</f>
        <v>36790.688106666697</v>
      </c>
      <c r="R16" s="700">
        <f>J16-Q16</f>
        <v>279058.31189333298</v>
      </c>
    </row>
    <row r="17" spans="2:18" ht="21" customHeight="1" x14ac:dyDescent="0.15">
      <c r="E17" s="372">
        <f>E15-E16</f>
        <v>74558.083333332994</v>
      </c>
      <c r="F17" s="372"/>
      <c r="G17" s="372"/>
      <c r="H17" s="372"/>
      <c r="I17" s="372"/>
      <c r="J17" s="372">
        <f>J15-J16</f>
        <v>74558.083333332994</v>
      </c>
      <c r="K17" s="372"/>
      <c r="L17" s="372"/>
      <c r="M17" s="372"/>
      <c r="N17" s="372"/>
      <c r="O17" s="372">
        <f>O15-O16</f>
        <v>11759.08576</v>
      </c>
      <c r="P17" s="372"/>
      <c r="Q17" s="372">
        <f>Q15-Q16</f>
        <v>38191.652426666697</v>
      </c>
      <c r="R17" s="372">
        <f>R15-R16</f>
        <v>36366.430906666297</v>
      </c>
    </row>
    <row r="18" spans="2:18" x14ac:dyDescent="0.15">
      <c r="B18" t="s">
        <v>454</v>
      </c>
      <c r="E18" s="372">
        <f>E17*9</f>
        <v>671022.74999999697</v>
      </c>
      <c r="F18" s="372"/>
      <c r="G18" s="372"/>
      <c r="H18" s="372"/>
      <c r="I18" s="372"/>
      <c r="J18" s="372">
        <f>J17*9</f>
        <v>671022.74999999697</v>
      </c>
      <c r="K18" s="372"/>
      <c r="L18" s="372"/>
      <c r="M18" s="372"/>
      <c r="N18" s="372"/>
      <c r="O18" s="372">
        <f>O17*9</f>
        <v>105831.77184</v>
      </c>
      <c r="P18" s="372">
        <f>P17*9</f>
        <v>0</v>
      </c>
      <c r="Q18" s="372">
        <f>O18</f>
        <v>105831.77184</v>
      </c>
      <c r="R18" s="372">
        <f>R17*9</f>
        <v>327297.878159997</v>
      </c>
    </row>
    <row r="19" spans="2:18" x14ac:dyDescent="0.15">
      <c r="R19" s="372">
        <f>R15+R18</f>
        <v>642722.62095999694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68"/>
  <sheetViews>
    <sheetView zoomScale="89" zoomScaleNormal="89" zoomScaleSheetLayoutView="50" workbookViewId="0">
      <pane xSplit="3" ySplit="8" topLeftCell="J116" activePane="bottomRight" state="frozen"/>
      <selection pane="bottomLeft"/>
      <selection pane="topRight"/>
      <selection pane="bottomRight" activeCell="N121" sqref="N121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5" width="19.28125" style="1" customWidth="1"/>
    <col min="6" max="6" width="19.28125" style="842" customWidth="1"/>
    <col min="7" max="7" width="19.28125" style="1" customWidth="1"/>
    <col min="8" max="8" width="18.33984375" style="1" customWidth="1"/>
    <col min="9" max="9" width="18.0703125" style="1" customWidth="1"/>
    <col min="10" max="17" width="19.6875" style="1" customWidth="1"/>
    <col min="18" max="16384" width="9.16796875" style="1"/>
  </cols>
  <sheetData>
    <row r="1" spans="1:17" ht="27" customHeight="1" x14ac:dyDescent="0.3">
      <c r="A1" s="948" t="s">
        <v>0</v>
      </c>
      <c r="B1" s="948"/>
      <c r="C1" s="948"/>
      <c r="D1" s="948"/>
      <c r="E1" s="948"/>
      <c r="F1" s="949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 x14ac:dyDescent="0.3">
      <c r="A2" s="843" t="s">
        <v>455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 x14ac:dyDescent="0.2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456</v>
      </c>
      <c r="F4" s="850" t="s">
        <v>457</v>
      </c>
      <c r="G4" s="184" t="s">
        <v>458</v>
      </c>
      <c r="H4" s="184" t="s">
        <v>459</v>
      </c>
      <c r="I4" s="184" t="s">
        <v>460</v>
      </c>
      <c r="J4" s="858" t="s">
        <v>461</v>
      </c>
      <c r="K4" s="858" t="s">
        <v>462</v>
      </c>
      <c r="L4" s="858" t="s">
        <v>463</v>
      </c>
      <c r="M4" s="858" t="s">
        <v>464</v>
      </c>
      <c r="N4" s="858" t="s">
        <v>465</v>
      </c>
      <c r="O4" s="858" t="s">
        <v>466</v>
      </c>
      <c r="P4" s="858" t="s">
        <v>467</v>
      </c>
      <c r="Q4" s="858" t="s">
        <v>468</v>
      </c>
    </row>
    <row r="5" spans="1:17" ht="17.25" customHeight="1" x14ac:dyDescent="0.2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 x14ac:dyDescent="0.2">
      <c r="A6" s="2"/>
      <c r="B6" s="2"/>
      <c r="C6" s="6"/>
      <c r="D6" s="6"/>
      <c r="E6" s="8" t="s">
        <v>469</v>
      </c>
      <c r="F6" s="852" t="s">
        <v>470</v>
      </c>
      <c r="G6" s="8" t="s">
        <v>471</v>
      </c>
      <c r="H6" s="8" t="s">
        <v>472</v>
      </c>
      <c r="I6" s="859" t="s">
        <v>473</v>
      </c>
      <c r="J6" s="859" t="s">
        <v>474</v>
      </c>
      <c r="K6" s="859" t="s">
        <v>475</v>
      </c>
      <c r="L6" s="859" t="s">
        <v>476</v>
      </c>
      <c r="M6" s="859" t="s">
        <v>477</v>
      </c>
      <c r="N6" s="859" t="s">
        <v>478</v>
      </c>
      <c r="O6" s="859" t="s">
        <v>479</v>
      </c>
      <c r="P6" s="859" t="s">
        <v>480</v>
      </c>
      <c r="Q6" s="859" t="s">
        <v>481</v>
      </c>
    </row>
    <row r="7" spans="1:17" ht="20.100000000000001" customHeight="1" x14ac:dyDescent="0.2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482</v>
      </c>
      <c r="I7" s="8" t="s">
        <v>483</v>
      </c>
      <c r="J7" s="859" t="s">
        <v>484</v>
      </c>
      <c r="K7" s="859" t="s">
        <v>485</v>
      </c>
      <c r="L7" s="859" t="s">
        <v>486</v>
      </c>
      <c r="M7" s="859"/>
      <c r="N7" s="859" t="s">
        <v>487</v>
      </c>
      <c r="O7" s="859" t="s">
        <v>488</v>
      </c>
      <c r="P7" s="859" t="s">
        <v>488</v>
      </c>
      <c r="Q7" s="859" t="s">
        <v>488</v>
      </c>
    </row>
    <row r="8" spans="1:17" ht="20.100000000000001" customHeight="1" x14ac:dyDescent="0.2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>F8+G8</f>
        <v>1971137.08333333</v>
      </c>
      <c r="I8" s="186">
        <f>H8-E8</f>
        <v>311385.91633332998</v>
      </c>
      <c r="J8" s="860"/>
      <c r="K8" s="860"/>
      <c r="L8" s="860">
        <f t="shared" ref="L8:L39" si="0">K8-J8</f>
        <v>0</v>
      </c>
      <c r="M8" s="860"/>
      <c r="N8" s="860"/>
      <c r="O8" s="860">
        <f>N8-M8</f>
        <v>0</v>
      </c>
      <c r="P8" s="860">
        <f>K8*12</f>
        <v>0</v>
      </c>
      <c r="Q8" s="860">
        <f>N8*12</f>
        <v>0</v>
      </c>
    </row>
    <row r="9" spans="1:17" ht="20.100000000000001" customHeight="1" x14ac:dyDescent="0.2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ref="H9:H38" si="1">F9+G9</f>
        <v>905306.75</v>
      </c>
      <c r="I9" s="186">
        <f t="shared" ref="I9:I40" si="2">H9-E9</f>
        <v>142933.58333333299</v>
      </c>
      <c r="J9" s="860">
        <v>60989.853333333303</v>
      </c>
      <c r="K9" s="860">
        <f t="shared" ref="K9:K40" si="3">H9*0.08</f>
        <v>72424.539999999994</v>
      </c>
      <c r="L9" s="860">
        <f t="shared" si="0"/>
        <v>11434.686666666699</v>
      </c>
      <c r="M9" s="860"/>
      <c r="N9" s="860"/>
      <c r="O9" s="860">
        <f t="shared" ref="O9:O40" si="4">N9-M9</f>
        <v>0</v>
      </c>
      <c r="P9" s="860">
        <f t="shared" ref="P9:P38" si="5">K9*12</f>
        <v>869094.48</v>
      </c>
      <c r="Q9" s="860">
        <f t="shared" ref="Q9:Q38" si="6">N9*12</f>
        <v>0</v>
      </c>
    </row>
    <row r="10" spans="1:17" ht="20.100000000000001" customHeight="1" x14ac:dyDescent="0.2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1"/>
        <v>905306.75</v>
      </c>
      <c r="I10" s="186">
        <f t="shared" si="2"/>
        <v>142933.58333333299</v>
      </c>
      <c r="J10" s="860"/>
      <c r="K10" s="860"/>
      <c r="L10" s="860">
        <f t="shared" si="0"/>
        <v>0</v>
      </c>
      <c r="M10" s="860"/>
      <c r="N10" s="860"/>
      <c r="O10" s="860">
        <f t="shared" si="4"/>
        <v>0</v>
      </c>
      <c r="P10" s="860">
        <f t="shared" si="5"/>
        <v>0</v>
      </c>
      <c r="Q10" s="860">
        <f t="shared" si="6"/>
        <v>0</v>
      </c>
    </row>
    <row r="11" spans="1:17" ht="20.100000000000001" customHeight="1" x14ac:dyDescent="0.2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1"/>
        <v>905306.75</v>
      </c>
      <c r="I11" s="186">
        <f t="shared" si="2"/>
        <v>142933.58333333299</v>
      </c>
      <c r="J11" s="860">
        <v>60989.853333333303</v>
      </c>
      <c r="K11" s="860">
        <f t="shared" si="3"/>
        <v>72424.539999999994</v>
      </c>
      <c r="L11" s="860">
        <f t="shared" si="0"/>
        <v>11434.686666666699</v>
      </c>
      <c r="M11" s="860">
        <v>10293.3979166667</v>
      </c>
      <c r="N11" s="860">
        <f>0.025*F11</f>
        <v>13866.737499999999</v>
      </c>
      <c r="O11" s="860">
        <f t="shared" si="4"/>
        <v>3573.3395833333002</v>
      </c>
      <c r="P11" s="860">
        <f t="shared" si="5"/>
        <v>869094.48</v>
      </c>
      <c r="Q11" s="860">
        <f t="shared" si="6"/>
        <v>166400.85</v>
      </c>
    </row>
    <row r="12" spans="1:17" ht="20.100000000000001" customHeight="1" x14ac:dyDescent="0.2">
      <c r="A12" s="8">
        <v>5</v>
      </c>
      <c r="B12" s="9" t="s">
        <v>33</v>
      </c>
      <c r="C12" s="10" t="s">
        <v>34</v>
      </c>
      <c r="D12" s="13" t="s">
        <v>35</v>
      </c>
      <c r="E12" s="70">
        <v>716034</v>
      </c>
      <c r="F12" s="853">
        <f>'[2] FGN 2024 MGT Monthly'!$I$44</f>
        <v>539028</v>
      </c>
      <c r="G12" s="70">
        <f>'[2]Peculiar Allowance'!$I$44</f>
        <v>339980.91666666698</v>
      </c>
      <c r="H12" s="186">
        <f t="shared" si="1"/>
        <v>879008.91666666698</v>
      </c>
      <c r="I12" s="186">
        <f t="shared" si="2"/>
        <v>162974.91666666701</v>
      </c>
      <c r="J12" s="860">
        <v>59136.286666666703</v>
      </c>
      <c r="K12" s="860">
        <f t="shared" si="3"/>
        <v>70320.713333333304</v>
      </c>
      <c r="L12" s="860">
        <f t="shared" si="0"/>
        <v>11184.426666666601</v>
      </c>
      <c r="M12" s="860">
        <v>10293.3979166667</v>
      </c>
      <c r="N12" s="860">
        <f>0.025*F12</f>
        <v>13475.7</v>
      </c>
      <c r="O12" s="860">
        <f t="shared" si="4"/>
        <v>3182.3020833332998</v>
      </c>
      <c r="P12" s="860">
        <f t="shared" si="5"/>
        <v>843848.56</v>
      </c>
      <c r="Q12" s="860">
        <f t="shared" si="6"/>
        <v>161708.4</v>
      </c>
    </row>
    <row r="13" spans="1:17" ht="20.100000000000001" customHeight="1" x14ac:dyDescent="0.2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1"/>
        <v>722595.5</v>
      </c>
      <c r="I13" s="186">
        <f t="shared" si="2"/>
        <v>121198.66666666701</v>
      </c>
      <c r="J13" s="860">
        <v>46569.446666666699</v>
      </c>
      <c r="K13" s="860">
        <f t="shared" si="3"/>
        <v>57807.64</v>
      </c>
      <c r="L13" s="860">
        <f t="shared" si="0"/>
        <v>11238.1933333333</v>
      </c>
      <c r="M13" s="860">
        <v>7859.6312500000004</v>
      </c>
      <c r="N13" s="860">
        <f>0.025*F13</f>
        <v>11149.895833333299</v>
      </c>
      <c r="O13" s="860">
        <f t="shared" si="4"/>
        <v>3290.2645833332999</v>
      </c>
      <c r="P13" s="860">
        <f t="shared" si="5"/>
        <v>693691.68</v>
      </c>
      <c r="Q13" s="860">
        <f t="shared" si="6"/>
        <v>133798.75</v>
      </c>
    </row>
    <row r="14" spans="1:17" ht="20.100000000000001" customHeight="1" x14ac:dyDescent="0.2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70">
        <v>223239.5</v>
      </c>
      <c r="H14" s="186">
        <f t="shared" si="1"/>
        <v>589657</v>
      </c>
      <c r="I14" s="186">
        <f t="shared" si="2"/>
        <v>105283.25</v>
      </c>
      <c r="J14" s="860">
        <v>38749.9</v>
      </c>
      <c r="K14" s="860">
        <f t="shared" si="3"/>
        <v>47172.56</v>
      </c>
      <c r="L14" s="860">
        <f t="shared" si="0"/>
        <v>8422.66</v>
      </c>
      <c r="M14" s="860"/>
      <c r="N14" s="860"/>
      <c r="O14" s="860">
        <f t="shared" si="4"/>
        <v>0</v>
      </c>
      <c r="P14" s="860">
        <f t="shared" si="5"/>
        <v>566070.72</v>
      </c>
      <c r="Q14" s="860">
        <f t="shared" si="6"/>
        <v>0</v>
      </c>
    </row>
    <row r="15" spans="1:17" ht="20.100000000000001" customHeight="1" x14ac:dyDescent="0.2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1"/>
        <v>722595.5</v>
      </c>
      <c r="I15" s="186">
        <f t="shared" si="2"/>
        <v>121198.66666666701</v>
      </c>
      <c r="J15" s="860">
        <v>46569.45</v>
      </c>
      <c r="K15" s="860">
        <f t="shared" si="3"/>
        <v>57807.64</v>
      </c>
      <c r="L15" s="860">
        <f t="shared" si="0"/>
        <v>11238.19</v>
      </c>
      <c r="M15" s="860"/>
      <c r="N15" s="860"/>
      <c r="O15" s="860">
        <f t="shared" si="4"/>
        <v>0</v>
      </c>
      <c r="P15" s="860">
        <f t="shared" si="5"/>
        <v>693691.68</v>
      </c>
      <c r="Q15" s="860">
        <f t="shared" si="6"/>
        <v>0</v>
      </c>
    </row>
    <row r="16" spans="1:17" ht="20.100000000000001" customHeight="1" x14ac:dyDescent="0.2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1"/>
        <v>558165.25</v>
      </c>
      <c r="I16" s="186">
        <f t="shared" si="2"/>
        <v>101543</v>
      </c>
      <c r="J16" s="860">
        <v>35419.72</v>
      </c>
      <c r="K16" s="860">
        <f t="shared" si="3"/>
        <v>44653.22</v>
      </c>
      <c r="L16" s="860">
        <f t="shared" si="0"/>
        <v>9233.5</v>
      </c>
      <c r="M16" s="860"/>
      <c r="N16" s="860"/>
      <c r="O16" s="860">
        <f t="shared" si="4"/>
        <v>0</v>
      </c>
      <c r="P16" s="860">
        <f t="shared" si="5"/>
        <v>535838.64</v>
      </c>
      <c r="Q16" s="860">
        <f t="shared" si="6"/>
        <v>0</v>
      </c>
    </row>
    <row r="17" spans="1:17" ht="20.100000000000001" customHeight="1" x14ac:dyDescent="0.2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70">
        <v>267732.83333333302</v>
      </c>
      <c r="H17" s="186">
        <f t="shared" si="1"/>
        <v>700713.91666666605</v>
      </c>
      <c r="I17" s="186">
        <f t="shared" si="2"/>
        <v>118595.83333333299</v>
      </c>
      <c r="J17" s="860">
        <v>46569.45</v>
      </c>
      <c r="K17" s="860">
        <f t="shared" si="3"/>
        <v>56057.113333333298</v>
      </c>
      <c r="L17" s="860">
        <f t="shared" si="0"/>
        <v>9487.6633333332902</v>
      </c>
      <c r="M17" s="860"/>
      <c r="N17" s="860"/>
      <c r="O17" s="860">
        <f t="shared" si="4"/>
        <v>0</v>
      </c>
      <c r="P17" s="860">
        <f t="shared" si="5"/>
        <v>672685.35999999905</v>
      </c>
      <c r="Q17" s="860">
        <f t="shared" si="6"/>
        <v>0</v>
      </c>
    </row>
    <row r="18" spans="1:17" ht="20.100000000000001" customHeight="1" x14ac:dyDescent="0.2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70">
        <v>203620.5</v>
      </c>
      <c r="H18" s="186">
        <f t="shared" si="1"/>
        <v>541351.33333333302</v>
      </c>
      <c r="I18" s="186">
        <f t="shared" si="2"/>
        <v>99546.416666666002</v>
      </c>
      <c r="J18" s="860">
        <v>34313.273333333302</v>
      </c>
      <c r="K18" s="860">
        <f t="shared" si="3"/>
        <v>43308.106666666601</v>
      </c>
      <c r="L18" s="860">
        <f t="shared" si="0"/>
        <v>8994.8333333333394</v>
      </c>
      <c r="M18" s="860"/>
      <c r="N18" s="860"/>
      <c r="O18" s="860">
        <f t="shared" si="4"/>
        <v>0</v>
      </c>
      <c r="P18" s="860">
        <f t="shared" si="5"/>
        <v>519697.28</v>
      </c>
      <c r="Q18" s="860">
        <f t="shared" si="6"/>
        <v>0</v>
      </c>
    </row>
    <row r="19" spans="1:17" ht="20.100000000000001" customHeight="1" x14ac:dyDescent="0.2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70">
        <v>197680.16666666701</v>
      </c>
      <c r="H19" s="186">
        <f t="shared" si="1"/>
        <v>526725.08333333395</v>
      </c>
      <c r="I19" s="186">
        <f t="shared" si="2"/>
        <v>97809.166666667006</v>
      </c>
      <c r="J19" s="860">
        <v>33282.153333333299</v>
      </c>
      <c r="K19" s="860">
        <f t="shared" si="3"/>
        <v>42138.006666666697</v>
      </c>
      <c r="L19" s="860">
        <f t="shared" si="0"/>
        <v>8855.8533333334199</v>
      </c>
      <c r="M19" s="860">
        <v>5607.1770833333303</v>
      </c>
      <c r="N19" s="860">
        <f t="shared" ref="N19:N23" si="7">0.025*F19</f>
        <v>8226.1229166666708</v>
      </c>
      <c r="O19" s="860">
        <f t="shared" si="4"/>
        <v>2618.94583333334</v>
      </c>
      <c r="P19" s="860">
        <f t="shared" si="5"/>
        <v>505656.08000000101</v>
      </c>
      <c r="Q19" s="860">
        <f t="shared" si="6"/>
        <v>98713.475000000006</v>
      </c>
    </row>
    <row r="20" spans="1:17" ht="20.100000000000001" customHeight="1" x14ac:dyDescent="0.2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70">
        <v>185799.5</v>
      </c>
      <c r="H20" s="186">
        <f t="shared" si="1"/>
        <v>497472.75</v>
      </c>
      <c r="I20" s="186">
        <f t="shared" si="2"/>
        <v>94334.75</v>
      </c>
      <c r="J20" s="860">
        <v>31219.913333333399</v>
      </c>
      <c r="K20" s="860">
        <f t="shared" si="3"/>
        <v>39797.82</v>
      </c>
      <c r="L20" s="860">
        <f t="shared" si="0"/>
        <v>8577.9066666666004</v>
      </c>
      <c r="M20" s="860">
        <v>5967.3062499999996</v>
      </c>
      <c r="N20" s="860">
        <f t="shared" si="7"/>
        <v>7791.8312500000002</v>
      </c>
      <c r="O20" s="860">
        <f t="shared" si="4"/>
        <v>1824.5250000000001</v>
      </c>
      <c r="P20" s="860">
        <f t="shared" si="5"/>
        <v>477573.84</v>
      </c>
      <c r="Q20" s="860">
        <f t="shared" si="6"/>
        <v>93501.975000000006</v>
      </c>
    </row>
    <row r="21" spans="1:17" ht="20.100000000000001" customHeight="1" x14ac:dyDescent="0.2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70">
        <v>185799.5</v>
      </c>
      <c r="H21" s="186">
        <f t="shared" si="1"/>
        <v>497472.75</v>
      </c>
      <c r="I21" s="186">
        <f t="shared" si="2"/>
        <v>94334.75</v>
      </c>
      <c r="J21" s="860">
        <v>31219.913333333399</v>
      </c>
      <c r="K21" s="860">
        <f t="shared" si="3"/>
        <v>39797.82</v>
      </c>
      <c r="L21" s="860">
        <f t="shared" si="0"/>
        <v>8577.9066666666004</v>
      </c>
      <c r="M21" s="860"/>
      <c r="N21" s="860"/>
      <c r="O21" s="860">
        <f t="shared" si="4"/>
        <v>0</v>
      </c>
      <c r="P21" s="860">
        <f t="shared" si="5"/>
        <v>477573.84</v>
      </c>
      <c r="Q21" s="860">
        <f t="shared" si="6"/>
        <v>0</v>
      </c>
    </row>
    <row r="22" spans="1:17" ht="20.100000000000001" customHeight="1" x14ac:dyDescent="0.2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1"/>
        <v>496497.16666666698</v>
      </c>
      <c r="I22" s="186">
        <f t="shared" si="2"/>
        <v>94219.166666667006</v>
      </c>
      <c r="J22" s="860">
        <v>31206.92</v>
      </c>
      <c r="K22" s="860">
        <f t="shared" si="3"/>
        <v>39719.773333333404</v>
      </c>
      <c r="L22" s="860">
        <f t="shared" si="0"/>
        <v>8512.8533333333598</v>
      </c>
      <c r="M22" s="860">
        <v>5257.5625</v>
      </c>
      <c r="N22" s="860">
        <f t="shared" si="7"/>
        <v>7777.3604166666701</v>
      </c>
      <c r="O22" s="860">
        <f t="shared" si="4"/>
        <v>2519.7979166666701</v>
      </c>
      <c r="P22" s="860">
        <f t="shared" si="5"/>
        <v>476637.28</v>
      </c>
      <c r="Q22" s="860">
        <f t="shared" si="6"/>
        <v>93328.324999999997</v>
      </c>
    </row>
    <row r="23" spans="1:17" ht="18.75" customHeight="1" x14ac:dyDescent="0.2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70">
        <v>179784</v>
      </c>
      <c r="H23" s="186">
        <f t="shared" si="1"/>
        <v>482662.66666666698</v>
      </c>
      <c r="I23" s="186">
        <f t="shared" si="2"/>
        <v>92576.166666667006</v>
      </c>
      <c r="J23" s="860">
        <v>30231.613333333298</v>
      </c>
      <c r="K23" s="860">
        <f t="shared" si="3"/>
        <v>38613.013333333402</v>
      </c>
      <c r="L23" s="860">
        <f t="shared" si="0"/>
        <v>8381.4000000000597</v>
      </c>
      <c r="M23" s="860"/>
      <c r="N23" s="860">
        <f t="shared" si="7"/>
        <v>7571.9666666666699</v>
      </c>
      <c r="O23" s="860">
        <f t="shared" si="4"/>
        <v>7571.9666666666699</v>
      </c>
      <c r="P23" s="860">
        <f t="shared" si="5"/>
        <v>463356.15999999997</v>
      </c>
      <c r="Q23" s="860">
        <f t="shared" si="6"/>
        <v>90863.600000000093</v>
      </c>
    </row>
    <row r="24" spans="1:17" ht="20.100000000000001" customHeight="1" x14ac:dyDescent="0.2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70">
        <v>168546.5</v>
      </c>
      <c r="H24" s="186">
        <f t="shared" si="1"/>
        <v>454993.58333333302</v>
      </c>
      <c r="I24" s="186">
        <f t="shared" si="2"/>
        <v>89289.583333332994</v>
      </c>
      <c r="J24" s="860">
        <v>28281</v>
      </c>
      <c r="K24" s="860">
        <f t="shared" si="3"/>
        <v>36399.486666666598</v>
      </c>
      <c r="L24" s="860">
        <f t="shared" si="0"/>
        <v>8118.4866666666403</v>
      </c>
      <c r="M24" s="860"/>
      <c r="N24" s="860"/>
      <c r="O24" s="860">
        <f t="shared" si="4"/>
        <v>0</v>
      </c>
      <c r="P24" s="860">
        <f t="shared" si="5"/>
        <v>436793.84</v>
      </c>
      <c r="Q24" s="860">
        <f t="shared" si="6"/>
        <v>0</v>
      </c>
    </row>
    <row r="25" spans="1:17" ht="21.6" customHeight="1" x14ac:dyDescent="0.2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70">
        <v>168546.5</v>
      </c>
      <c r="H25" s="186">
        <f t="shared" si="1"/>
        <v>454993.58333333302</v>
      </c>
      <c r="I25" s="186">
        <f t="shared" si="2"/>
        <v>89289.583333332994</v>
      </c>
      <c r="J25" s="860">
        <v>28281</v>
      </c>
      <c r="K25" s="860">
        <f t="shared" si="3"/>
        <v>36399.486666666598</v>
      </c>
      <c r="L25" s="860">
        <f t="shared" si="0"/>
        <v>8118.4866666666403</v>
      </c>
      <c r="M25" s="860"/>
      <c r="N25" s="860"/>
      <c r="O25" s="860">
        <f t="shared" si="4"/>
        <v>0</v>
      </c>
      <c r="P25" s="860">
        <f t="shared" si="5"/>
        <v>436793.84</v>
      </c>
      <c r="Q25" s="860">
        <f t="shared" si="6"/>
        <v>0</v>
      </c>
    </row>
    <row r="26" spans="1:17" ht="20.100000000000001" customHeight="1" x14ac:dyDescent="0.2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70">
        <v>140266.08333333299</v>
      </c>
      <c r="H26" s="186">
        <f t="shared" si="1"/>
        <v>381140.66666666599</v>
      </c>
      <c r="I26" s="186">
        <f t="shared" si="2"/>
        <v>88110.999999998996</v>
      </c>
      <c r="J26" s="860">
        <v>23442.3733333333</v>
      </c>
      <c r="K26" s="860">
        <f t="shared" si="3"/>
        <v>30491.253333333301</v>
      </c>
      <c r="L26" s="860">
        <f t="shared" si="0"/>
        <v>7048.8799999999801</v>
      </c>
      <c r="M26" s="860"/>
      <c r="N26" s="860"/>
      <c r="O26" s="860">
        <f t="shared" si="4"/>
        <v>0</v>
      </c>
      <c r="P26" s="860">
        <f t="shared" si="5"/>
        <v>365895.03999999899</v>
      </c>
      <c r="Q26" s="860">
        <f t="shared" si="6"/>
        <v>0</v>
      </c>
    </row>
    <row r="27" spans="1:17" ht="20.100000000000001" customHeight="1" x14ac:dyDescent="0.2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70">
        <v>140266.08333333299</v>
      </c>
      <c r="H27" s="186">
        <f t="shared" si="1"/>
        <v>381140.66666666599</v>
      </c>
      <c r="I27" s="186">
        <f t="shared" si="2"/>
        <v>80175.083333332994</v>
      </c>
      <c r="J27" s="860">
        <v>23442.373333333398</v>
      </c>
      <c r="K27" s="860">
        <f t="shared" si="3"/>
        <v>30491.253333333301</v>
      </c>
      <c r="L27" s="860">
        <f t="shared" si="0"/>
        <v>7048.8799999998801</v>
      </c>
      <c r="M27" s="860"/>
      <c r="N27" s="860">
        <f>0.025*F27</f>
        <v>6021.8645833333203</v>
      </c>
      <c r="O27" s="860">
        <f t="shared" si="4"/>
        <v>6021.8645833333203</v>
      </c>
      <c r="P27" s="860">
        <f t="shared" si="5"/>
        <v>365895.03999999899</v>
      </c>
      <c r="Q27" s="860">
        <f t="shared" si="6"/>
        <v>72262.374999999898</v>
      </c>
    </row>
    <row r="28" spans="1:17" ht="18.75" customHeight="1" x14ac:dyDescent="0.2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70">
        <v>127704.91666666701</v>
      </c>
      <c r="H28" s="186">
        <f t="shared" si="1"/>
        <v>355320.66666666698</v>
      </c>
      <c r="I28" s="186">
        <f t="shared" si="2"/>
        <v>77522.666666667006</v>
      </c>
      <c r="J28" s="860">
        <v>21638.5333333333</v>
      </c>
      <c r="K28" s="860">
        <f t="shared" si="3"/>
        <v>28425.653333333401</v>
      </c>
      <c r="L28" s="860">
        <f t="shared" si="0"/>
        <v>6787.1200000000599</v>
      </c>
      <c r="M28" s="860"/>
      <c r="N28" s="860">
        <f>0.025*F28</f>
        <v>5690.3937500000002</v>
      </c>
      <c r="O28" s="860">
        <f t="shared" si="4"/>
        <v>5690.3937500000002</v>
      </c>
      <c r="P28" s="860">
        <f t="shared" si="5"/>
        <v>341107.84</v>
      </c>
      <c r="Q28" s="860">
        <f t="shared" si="6"/>
        <v>68284.725000000006</v>
      </c>
    </row>
    <row r="29" spans="1:17" ht="18.75" customHeight="1" x14ac:dyDescent="0.2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70">
        <v>127704.91666666701</v>
      </c>
      <c r="H29" s="186">
        <f t="shared" si="1"/>
        <v>355320.66666666698</v>
      </c>
      <c r="I29" s="186">
        <f t="shared" si="2"/>
        <v>77522.666666667006</v>
      </c>
      <c r="J29" s="860">
        <v>21638.5333333333</v>
      </c>
      <c r="K29" s="860">
        <f t="shared" si="3"/>
        <v>28425.653333333401</v>
      </c>
      <c r="L29" s="860">
        <f t="shared" si="0"/>
        <v>6787.1200000000599</v>
      </c>
      <c r="M29" s="860"/>
      <c r="N29" s="860">
        <f>0.025*F29</f>
        <v>5690.3937500000002</v>
      </c>
      <c r="O29" s="860">
        <f t="shared" si="4"/>
        <v>5690.3937500000002</v>
      </c>
      <c r="P29" s="860">
        <f t="shared" si="5"/>
        <v>341107.84</v>
      </c>
      <c r="Q29" s="860">
        <f t="shared" si="6"/>
        <v>68284.725000000006</v>
      </c>
    </row>
    <row r="30" spans="1:17" ht="20.100000000000001" customHeight="1" x14ac:dyDescent="0.2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70">
        <v>127704.91666666701</v>
      </c>
      <c r="H30" s="186">
        <f t="shared" si="1"/>
        <v>355320.66666666698</v>
      </c>
      <c r="I30" s="186">
        <f t="shared" si="2"/>
        <v>77522.666666667006</v>
      </c>
      <c r="J30" s="860">
        <v>21638.5333333333</v>
      </c>
      <c r="K30" s="860">
        <f t="shared" si="3"/>
        <v>28425.653333333401</v>
      </c>
      <c r="L30" s="860">
        <f t="shared" si="0"/>
        <v>6787.1200000000599</v>
      </c>
      <c r="M30" s="860"/>
      <c r="N30" s="860"/>
      <c r="O30" s="860">
        <f t="shared" si="4"/>
        <v>0</v>
      </c>
      <c r="P30" s="860">
        <f t="shared" si="5"/>
        <v>341107.84</v>
      </c>
      <c r="Q30" s="860">
        <f t="shared" si="6"/>
        <v>0</v>
      </c>
    </row>
    <row r="31" spans="1:17" ht="18.75" customHeight="1" x14ac:dyDescent="0.2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70">
        <v>124341.58333333299</v>
      </c>
      <c r="H31" s="186">
        <f t="shared" si="1"/>
        <v>347016.16666666599</v>
      </c>
      <c r="I31" s="186">
        <f t="shared" si="2"/>
        <v>76534.499999998996</v>
      </c>
      <c r="J31" s="860">
        <v>21053.226666666698</v>
      </c>
      <c r="K31" s="860">
        <f t="shared" si="3"/>
        <v>27761.293333333299</v>
      </c>
      <c r="L31" s="860">
        <f t="shared" si="0"/>
        <v>6708.0666666665802</v>
      </c>
      <c r="M31" s="860"/>
      <c r="N31" s="860"/>
      <c r="O31" s="860">
        <f t="shared" si="4"/>
        <v>0</v>
      </c>
      <c r="P31" s="860">
        <f t="shared" si="5"/>
        <v>333135.51999999903</v>
      </c>
      <c r="Q31" s="860">
        <f t="shared" si="6"/>
        <v>0</v>
      </c>
    </row>
    <row r="32" spans="1:17" ht="18.75" customHeight="1" x14ac:dyDescent="0.2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70">
        <v>120978.25</v>
      </c>
      <c r="H32" s="186">
        <f t="shared" si="1"/>
        <v>338711.66666666698</v>
      </c>
      <c r="I32" s="186">
        <f t="shared" si="2"/>
        <v>75546.333333333998</v>
      </c>
      <c r="J32" s="860">
        <v>20467.919999999998</v>
      </c>
      <c r="K32" s="860">
        <f t="shared" si="3"/>
        <v>27096.9333333334</v>
      </c>
      <c r="L32" s="860">
        <f t="shared" si="0"/>
        <v>6629.0133333333597</v>
      </c>
      <c r="M32" s="860"/>
      <c r="N32" s="860"/>
      <c r="O32" s="860">
        <f t="shared" si="4"/>
        <v>0</v>
      </c>
      <c r="P32" s="860">
        <f t="shared" si="5"/>
        <v>325163.2</v>
      </c>
      <c r="Q32" s="860">
        <f t="shared" si="6"/>
        <v>0</v>
      </c>
    </row>
    <row r="33" spans="1:17" ht="18.75" customHeight="1" x14ac:dyDescent="0.2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70">
        <v>120978.25</v>
      </c>
      <c r="H33" s="186">
        <f t="shared" si="1"/>
        <v>338711.66666666698</v>
      </c>
      <c r="I33" s="186">
        <f t="shared" si="2"/>
        <v>75546.333333333998</v>
      </c>
      <c r="J33" s="860">
        <v>20467.919999999998</v>
      </c>
      <c r="K33" s="860">
        <f t="shared" si="3"/>
        <v>27096.9333333334</v>
      </c>
      <c r="L33" s="860">
        <f t="shared" si="0"/>
        <v>6629.0133333333597</v>
      </c>
      <c r="M33" s="860"/>
      <c r="N33" s="860"/>
      <c r="O33" s="860">
        <f t="shared" si="4"/>
        <v>0</v>
      </c>
      <c r="P33" s="860">
        <f t="shared" si="5"/>
        <v>325163.2</v>
      </c>
      <c r="Q33" s="860">
        <f t="shared" si="6"/>
        <v>0</v>
      </c>
    </row>
    <row r="34" spans="1:17" ht="18.75" customHeight="1" x14ac:dyDescent="0.2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70">
        <v>127704.91666666701</v>
      </c>
      <c r="H34" s="186">
        <f t="shared" si="1"/>
        <v>355320.66666666698</v>
      </c>
      <c r="I34" s="186">
        <f t="shared" si="2"/>
        <v>77522.666666667006</v>
      </c>
      <c r="J34" s="860">
        <v>21638.5333333333</v>
      </c>
      <c r="K34" s="860">
        <f t="shared" si="3"/>
        <v>28425.653333333401</v>
      </c>
      <c r="L34" s="860">
        <f t="shared" si="0"/>
        <v>6787.1200000000599</v>
      </c>
      <c r="M34" s="860">
        <v>3653.5</v>
      </c>
      <c r="N34" s="860">
        <f t="shared" ref="N34:N38" si="8">0.025*F34</f>
        <v>5690.3937500000002</v>
      </c>
      <c r="O34" s="860">
        <f t="shared" si="4"/>
        <v>2036.89375</v>
      </c>
      <c r="P34" s="860">
        <f t="shared" si="5"/>
        <v>341107.84</v>
      </c>
      <c r="Q34" s="860">
        <f t="shared" si="6"/>
        <v>68284.725000000006</v>
      </c>
    </row>
    <row r="35" spans="1:17" ht="18.75" customHeight="1" x14ac:dyDescent="0.2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70">
        <v>120978.25</v>
      </c>
      <c r="H35" s="186">
        <f t="shared" si="1"/>
        <v>338711.66666666698</v>
      </c>
      <c r="I35" s="186">
        <f t="shared" si="2"/>
        <v>75546.333333333998</v>
      </c>
      <c r="J35" s="860">
        <v>20467.919999999998</v>
      </c>
      <c r="K35" s="860">
        <f t="shared" si="3"/>
        <v>27096.9333333334</v>
      </c>
      <c r="L35" s="860">
        <f t="shared" si="0"/>
        <v>6629.0133333333597</v>
      </c>
      <c r="M35" s="860"/>
      <c r="N35" s="860"/>
      <c r="O35" s="860">
        <f t="shared" si="4"/>
        <v>0</v>
      </c>
      <c r="P35" s="860">
        <f t="shared" si="5"/>
        <v>325163.2</v>
      </c>
      <c r="Q35" s="860">
        <f t="shared" si="6"/>
        <v>0</v>
      </c>
    </row>
    <row r="36" spans="1:17" ht="18.75" customHeight="1" x14ac:dyDescent="0.2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70">
        <v>120978.25</v>
      </c>
      <c r="H36" s="186">
        <f t="shared" si="1"/>
        <v>338711.66666666698</v>
      </c>
      <c r="I36" s="186">
        <f t="shared" si="2"/>
        <v>75546.333333333998</v>
      </c>
      <c r="J36" s="860">
        <v>20467.919999999998</v>
      </c>
      <c r="K36" s="860">
        <f t="shared" si="3"/>
        <v>27096.9333333334</v>
      </c>
      <c r="L36" s="860">
        <f t="shared" si="0"/>
        <v>6629.0133333333597</v>
      </c>
      <c r="M36" s="860"/>
      <c r="N36" s="860"/>
      <c r="O36" s="860">
        <f t="shared" si="4"/>
        <v>0</v>
      </c>
      <c r="P36" s="860">
        <f t="shared" si="5"/>
        <v>325163.2</v>
      </c>
      <c r="Q36" s="860">
        <f t="shared" si="6"/>
        <v>0</v>
      </c>
    </row>
    <row r="37" spans="1:17" ht="18.75" customHeight="1" x14ac:dyDescent="0.2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70">
        <v>105546.33333333299</v>
      </c>
      <c r="H37" s="186">
        <f t="shared" si="1"/>
        <v>301910.75</v>
      </c>
      <c r="I37" s="186">
        <f t="shared" si="2"/>
        <v>71278.833333332994</v>
      </c>
      <c r="J37" s="860">
        <v>17956.78</v>
      </c>
      <c r="K37" s="860">
        <f t="shared" si="3"/>
        <v>24152.86</v>
      </c>
      <c r="L37" s="860">
        <f t="shared" si="0"/>
        <v>6196.08</v>
      </c>
      <c r="M37" s="860"/>
      <c r="N37" s="860">
        <f t="shared" si="8"/>
        <v>4909.1104166666801</v>
      </c>
      <c r="O37" s="860">
        <f t="shared" si="4"/>
        <v>4909.1104166666801</v>
      </c>
      <c r="P37" s="860">
        <f t="shared" si="5"/>
        <v>289834.32</v>
      </c>
      <c r="Q37" s="860">
        <f t="shared" si="6"/>
        <v>58909.325000000099</v>
      </c>
    </row>
    <row r="38" spans="1:17" ht="18.75" customHeight="1" x14ac:dyDescent="0.2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70">
        <v>102721.41666666701</v>
      </c>
      <c r="H38" s="186">
        <f t="shared" si="1"/>
        <v>294900.83333333401</v>
      </c>
      <c r="I38" s="186">
        <f t="shared" si="2"/>
        <v>70441.083333333998</v>
      </c>
      <c r="J38" s="860">
        <v>17463.006666666599</v>
      </c>
      <c r="K38" s="860">
        <f t="shared" si="3"/>
        <v>23592.066666666698</v>
      </c>
      <c r="L38" s="860">
        <f t="shared" si="0"/>
        <v>6129.0600000001205</v>
      </c>
      <c r="M38" s="860"/>
      <c r="N38" s="860">
        <f t="shared" si="8"/>
        <v>4804.4854166666801</v>
      </c>
      <c r="O38" s="860">
        <f t="shared" si="4"/>
        <v>4804.4854166666801</v>
      </c>
      <c r="P38" s="860">
        <f t="shared" si="5"/>
        <v>283104.80000000098</v>
      </c>
      <c r="Q38" s="860">
        <f t="shared" si="6"/>
        <v>57653.825000000099</v>
      </c>
    </row>
    <row r="39" spans="1:17" ht="26.25" customHeight="1" x14ac:dyDescent="0.2">
      <c r="A39" s="8"/>
      <c r="B39" s="18" t="s">
        <v>111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10680273.5</v>
      </c>
      <c r="G39" s="187">
        <f t="shared" si="9"/>
        <v>6613927.25</v>
      </c>
      <c r="H39" s="187">
        <f t="shared" si="9"/>
        <v>17294200.75</v>
      </c>
      <c r="I39" s="187">
        <f t="shared" si="9"/>
        <v>3221197.0830000001</v>
      </c>
      <c r="J39" s="187">
        <f t="shared" si="9"/>
        <v>914813.32</v>
      </c>
      <c r="K39" s="187">
        <f t="shared" si="9"/>
        <v>1153420.55333333</v>
      </c>
      <c r="L39" s="187">
        <f t="shared" si="9"/>
        <v>238607.23333333401</v>
      </c>
      <c r="M39" s="187">
        <f t="shared" si="9"/>
        <v>48931.972916666702</v>
      </c>
      <c r="N39" s="187">
        <f t="shared" si="9"/>
        <v>102666.25625000001</v>
      </c>
      <c r="O39" s="187">
        <f t="shared" si="9"/>
        <v>53734.283333333296</v>
      </c>
      <c r="P39" s="187">
        <f t="shared" si="9"/>
        <v>13841046.640000001</v>
      </c>
      <c r="Q39" s="187">
        <f t="shared" si="9"/>
        <v>1231995.075</v>
      </c>
    </row>
    <row r="40" spans="1:17" ht="18.75" customHeight="1" x14ac:dyDescent="0.2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 x14ac:dyDescent="0.2">
      <c r="A41" s="8"/>
      <c r="B41" s="18" t="s">
        <v>112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 x14ac:dyDescent="0.2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186">
        <v>660329.33333333302</v>
      </c>
      <c r="H42" s="855">
        <f>F42+G42</f>
        <v>1747106.41666666</v>
      </c>
      <c r="I42" s="186">
        <f t="shared" ref="I41:I72" si="10">H42-E42</f>
        <v>311386.41666665999</v>
      </c>
      <c r="J42" s="860">
        <v>114857.60000000001</v>
      </c>
      <c r="K42" s="860">
        <f t="shared" ref="K41:K72" si="11">H42*0.08</f>
        <v>139768.51333333299</v>
      </c>
      <c r="L42" s="860">
        <f t="shared" ref="L40:L71" si="12">K42-J42</f>
        <v>24910.913333332999</v>
      </c>
      <c r="M42" s="860"/>
      <c r="N42" s="860"/>
      <c r="O42" s="860">
        <f t="shared" ref="O41:O72" si="13">N42-M42</f>
        <v>0</v>
      </c>
      <c r="P42" s="860">
        <f>K42*12</f>
        <v>1677222.16</v>
      </c>
      <c r="Q42" s="860"/>
    </row>
    <row r="43" spans="1:17" ht="18.75" customHeight="1" x14ac:dyDescent="0.2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186">
        <v>140266.08333333299</v>
      </c>
      <c r="H43" s="855">
        <f>F43+G43</f>
        <v>381140.66666666599</v>
      </c>
      <c r="I43" s="186">
        <f t="shared" si="10"/>
        <v>80175.083333332994</v>
      </c>
      <c r="J43" s="860">
        <v>23442.3733333333</v>
      </c>
      <c r="K43" s="860">
        <f t="shared" si="11"/>
        <v>30491.253333333301</v>
      </c>
      <c r="L43" s="860">
        <f t="shared" si="12"/>
        <v>7048.88</v>
      </c>
      <c r="M43" s="860"/>
      <c r="N43" s="860">
        <f>0.025*F43</f>
        <v>6021.8645833333203</v>
      </c>
      <c r="O43" s="860">
        <f t="shared" si="13"/>
        <v>6021.8645833333203</v>
      </c>
      <c r="P43" s="860">
        <f>K43*12</f>
        <v>365895.04</v>
      </c>
      <c r="Q43" s="860"/>
    </row>
    <row r="44" spans="1:17" ht="18.75" customHeight="1" x14ac:dyDescent="0.2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186">
        <v>143964.66666666701</v>
      </c>
      <c r="H44" s="855">
        <f>F44+G44</f>
        <v>390135.83333333401</v>
      </c>
      <c r="I44" s="186">
        <f t="shared" si="10"/>
        <v>81234.333333333998</v>
      </c>
      <c r="J44" s="860">
        <v>24077.246666666699</v>
      </c>
      <c r="K44" s="860">
        <f t="shared" si="11"/>
        <v>31210.866666666701</v>
      </c>
      <c r="L44" s="860">
        <f t="shared" si="12"/>
        <v>7133.62</v>
      </c>
      <c r="M44" s="860"/>
      <c r="N44" s="860"/>
      <c r="O44" s="860">
        <f t="shared" si="13"/>
        <v>0</v>
      </c>
      <c r="P44" s="860">
        <f>K44*12</f>
        <v>374530.4</v>
      </c>
      <c r="Q44" s="860"/>
    </row>
    <row r="45" spans="1:17" ht="18.75" customHeight="1" x14ac:dyDescent="0.2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186">
        <v>120978.25</v>
      </c>
      <c r="H45" s="855">
        <f>F45+G45</f>
        <v>338711.66666666698</v>
      </c>
      <c r="I45" s="186">
        <f t="shared" si="10"/>
        <v>75546.333333333998</v>
      </c>
      <c r="J45" s="860">
        <v>20467.919999999998</v>
      </c>
      <c r="K45" s="860">
        <f t="shared" si="11"/>
        <v>27096.9333333334</v>
      </c>
      <c r="L45" s="860">
        <f t="shared" si="12"/>
        <v>6629.0133333333997</v>
      </c>
      <c r="M45" s="860"/>
      <c r="N45" s="860">
        <f>0.025*F45</f>
        <v>5443.3354166666804</v>
      </c>
      <c r="O45" s="860">
        <f t="shared" si="13"/>
        <v>5443.3354166666804</v>
      </c>
      <c r="P45" s="860">
        <f>K45*12</f>
        <v>325163.200000001</v>
      </c>
      <c r="Q45" s="860"/>
    </row>
    <row r="46" spans="1:17" ht="19.5" customHeight="1" x14ac:dyDescent="0.2">
      <c r="A46" s="8"/>
      <c r="B46" s="12"/>
      <c r="C46" s="19">
        <v>4</v>
      </c>
      <c r="D46" s="8"/>
      <c r="E46" s="187">
        <f t="shared" ref="E46:Q46" si="14">SUM(E42:E45)</f>
        <v>2308752.4166666698</v>
      </c>
      <c r="F46" s="854">
        <f t="shared" si="14"/>
        <v>1791556.25</v>
      </c>
      <c r="G46" s="187">
        <f t="shared" si="14"/>
        <v>1065538.33333333</v>
      </c>
      <c r="H46" s="187">
        <f t="shared" si="14"/>
        <v>2857094.5833333302</v>
      </c>
      <c r="I46" s="187">
        <f t="shared" si="14"/>
        <v>548342.16666666104</v>
      </c>
      <c r="J46" s="187">
        <f t="shared" si="14"/>
        <v>182845.14</v>
      </c>
      <c r="K46" s="187">
        <f t="shared" si="14"/>
        <v>228567.56666666601</v>
      </c>
      <c r="L46" s="187">
        <f t="shared" si="14"/>
        <v>45722.426666666397</v>
      </c>
      <c r="M46" s="187">
        <f t="shared" si="14"/>
        <v>0</v>
      </c>
      <c r="N46" s="187">
        <f t="shared" si="14"/>
        <v>11465.2</v>
      </c>
      <c r="O46" s="187">
        <f t="shared" si="14"/>
        <v>11465.2</v>
      </c>
      <c r="P46" s="187">
        <f t="shared" si="14"/>
        <v>2742810.8</v>
      </c>
      <c r="Q46" s="187">
        <f t="shared" si="14"/>
        <v>0</v>
      </c>
    </row>
    <row r="47" spans="1:17" ht="20.100000000000001" customHeight="1" x14ac:dyDescent="0.2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 x14ac:dyDescent="0.2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 x14ac:dyDescent="0.2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186">
        <v>350637.25</v>
      </c>
      <c r="H49" s="855">
        <f>F49+G49</f>
        <v>905306.75</v>
      </c>
      <c r="I49" s="186">
        <f t="shared" si="10"/>
        <v>142933.58333333299</v>
      </c>
      <c r="J49" s="860">
        <v>59136.286666666703</v>
      </c>
      <c r="K49" s="860">
        <f t="shared" si="11"/>
        <v>72424.539999999994</v>
      </c>
      <c r="L49" s="860">
        <f t="shared" si="12"/>
        <v>13288.253333333299</v>
      </c>
      <c r="M49" s="860"/>
      <c r="N49" s="860"/>
      <c r="O49" s="860">
        <f t="shared" si="13"/>
        <v>0</v>
      </c>
      <c r="P49" s="860">
        <f>K49*12</f>
        <v>869094.48</v>
      </c>
      <c r="Q49" s="860"/>
    </row>
    <row r="50" spans="1:17" ht="20.100000000000001" customHeight="1" x14ac:dyDescent="0.2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ref="H50:H56" si="15">F50+G50</f>
        <v>744477</v>
      </c>
      <c r="I50" s="186">
        <f t="shared" si="10"/>
        <v>123801.41666666701</v>
      </c>
      <c r="J50" s="860">
        <v>49654.046666666698</v>
      </c>
      <c r="K50" s="860">
        <f t="shared" si="11"/>
        <v>59558.16</v>
      </c>
      <c r="L50" s="860">
        <f t="shared" si="12"/>
        <v>9904.1133333333091</v>
      </c>
      <c r="M50" s="860"/>
      <c r="N50" s="860"/>
      <c r="O50" s="860">
        <f t="shared" si="13"/>
        <v>0</v>
      </c>
      <c r="P50" s="860">
        <f t="shared" ref="P50:P56" si="16">K50*12</f>
        <v>714697.92</v>
      </c>
      <c r="Q50" s="860"/>
    </row>
    <row r="51" spans="1:17" ht="20.100000000000001" customHeight="1" x14ac:dyDescent="0.2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5"/>
        <v>744477</v>
      </c>
      <c r="I51" s="186">
        <f t="shared" si="10"/>
        <v>123801.41666666701</v>
      </c>
      <c r="J51" s="860">
        <v>49654.046666666698</v>
      </c>
      <c r="K51" s="860">
        <f t="shared" si="11"/>
        <v>59558.16</v>
      </c>
      <c r="L51" s="860">
        <f t="shared" si="12"/>
        <v>9904.1133333333091</v>
      </c>
      <c r="M51" s="860">
        <v>8380.2270833333296</v>
      </c>
      <c r="N51" s="860">
        <f>0.025*F51</f>
        <v>11475.262500000001</v>
      </c>
      <c r="O51" s="860">
        <f t="shared" si="13"/>
        <v>3095.0354166666698</v>
      </c>
      <c r="P51" s="860">
        <f t="shared" si="16"/>
        <v>714697.92</v>
      </c>
      <c r="Q51" s="860">
        <f>N51*12</f>
        <v>137703.15</v>
      </c>
    </row>
    <row r="52" spans="1:17" ht="20.100000000000001" customHeight="1" x14ac:dyDescent="0.2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5"/>
        <v>722595.5</v>
      </c>
      <c r="I52" s="186">
        <f t="shared" si="10"/>
        <v>121198.66666666701</v>
      </c>
      <c r="J52" s="860">
        <v>46569.446666666699</v>
      </c>
      <c r="K52" s="860">
        <f t="shared" si="11"/>
        <v>57807.64</v>
      </c>
      <c r="L52" s="860">
        <f t="shared" si="12"/>
        <v>11238.1933333333</v>
      </c>
      <c r="M52" s="860"/>
      <c r="N52" s="860"/>
      <c r="O52" s="860">
        <f t="shared" si="13"/>
        <v>0</v>
      </c>
      <c r="P52" s="860">
        <f t="shared" si="16"/>
        <v>693691.68</v>
      </c>
      <c r="Q52" s="860"/>
    </row>
    <row r="53" spans="1:17" ht="20.100000000000001" customHeight="1" x14ac:dyDescent="0.2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5"/>
        <v>700713.91666666605</v>
      </c>
      <c r="I53" s="186">
        <f t="shared" si="10"/>
        <v>118595.83333333299</v>
      </c>
      <c r="J53" s="860">
        <v>46569.45</v>
      </c>
      <c r="K53" s="860">
        <f t="shared" si="11"/>
        <v>56057.113333333298</v>
      </c>
      <c r="L53" s="860">
        <f t="shared" si="12"/>
        <v>9487.6633333332993</v>
      </c>
      <c r="M53" s="860"/>
      <c r="N53" s="860"/>
      <c r="O53" s="860">
        <f t="shared" si="13"/>
        <v>0</v>
      </c>
      <c r="P53" s="860">
        <f t="shared" si="16"/>
        <v>672685.36</v>
      </c>
      <c r="Q53" s="860"/>
    </row>
    <row r="54" spans="1:17" ht="20.100000000000001" customHeight="1" x14ac:dyDescent="0.2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186">
        <v>143964.66666666701</v>
      </c>
      <c r="H54" s="855">
        <f t="shared" si="15"/>
        <v>390135.83333333401</v>
      </c>
      <c r="I54" s="186">
        <f t="shared" si="10"/>
        <v>81234.333333333998</v>
      </c>
      <c r="J54" s="860">
        <v>24077.246666666699</v>
      </c>
      <c r="K54" s="860">
        <f t="shared" si="11"/>
        <v>31210.866666666701</v>
      </c>
      <c r="L54" s="860">
        <f t="shared" si="12"/>
        <v>7133.62</v>
      </c>
      <c r="M54" s="860"/>
      <c r="N54" s="860"/>
      <c r="O54" s="860">
        <f t="shared" si="13"/>
        <v>0</v>
      </c>
      <c r="P54" s="860">
        <f t="shared" si="16"/>
        <v>374530.4</v>
      </c>
      <c r="Q54" s="860"/>
    </row>
    <row r="55" spans="1:17" ht="20.100000000000001" customHeight="1" x14ac:dyDescent="0.2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5"/>
        <v>347016.16666666599</v>
      </c>
      <c r="I55" s="186">
        <f t="shared" si="10"/>
        <v>76534.499999998996</v>
      </c>
      <c r="J55" s="860">
        <v>21053.226666666698</v>
      </c>
      <c r="K55" s="860">
        <f t="shared" si="11"/>
        <v>27761.293333333299</v>
      </c>
      <c r="L55" s="860">
        <f t="shared" si="12"/>
        <v>6708.0666666666002</v>
      </c>
      <c r="M55" s="860"/>
      <c r="N55" s="860"/>
      <c r="O55" s="860">
        <f t="shared" si="13"/>
        <v>0</v>
      </c>
      <c r="P55" s="860">
        <f t="shared" si="16"/>
        <v>333135.52</v>
      </c>
      <c r="Q55" s="860"/>
    </row>
    <row r="56" spans="1:17" ht="20.100000000000001" customHeight="1" x14ac:dyDescent="0.2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5"/>
        <v>347016.16666666599</v>
      </c>
      <c r="I56" s="186">
        <f t="shared" si="10"/>
        <v>76534.499999998996</v>
      </c>
      <c r="J56" s="860">
        <v>21053.226666666698</v>
      </c>
      <c r="K56" s="860">
        <f t="shared" si="11"/>
        <v>27761.293333333299</v>
      </c>
      <c r="L56" s="860">
        <f t="shared" si="12"/>
        <v>6708.0666666666002</v>
      </c>
      <c r="M56" s="860"/>
      <c r="N56" s="860"/>
      <c r="O56" s="860">
        <f t="shared" si="13"/>
        <v>0</v>
      </c>
      <c r="P56" s="860">
        <f t="shared" si="16"/>
        <v>333135.52</v>
      </c>
      <c r="Q56" s="860"/>
    </row>
    <row r="57" spans="1:17" ht="25.5" customHeight="1" x14ac:dyDescent="0.5">
      <c r="A57" s="8"/>
      <c r="B57" s="18" t="s">
        <v>111</v>
      </c>
      <c r="C57" s="19">
        <v>8</v>
      </c>
      <c r="D57" s="19"/>
      <c r="E57" s="78">
        <f t="shared" ref="E57:Q57" si="17">SUM(E49:E56)</f>
        <v>4037104.0833333302</v>
      </c>
      <c r="F57" s="856">
        <f t="shared" si="17"/>
        <v>3043187.75</v>
      </c>
      <c r="G57" s="78">
        <f t="shared" si="17"/>
        <v>1858550.58333333</v>
      </c>
      <c r="H57" s="78">
        <f t="shared" si="17"/>
        <v>4901738.3333333302</v>
      </c>
      <c r="I57" s="78">
        <f t="shared" si="17"/>
        <v>864634.24999999895</v>
      </c>
      <c r="J57" s="78">
        <f t="shared" si="17"/>
        <v>317766.97666666697</v>
      </c>
      <c r="K57" s="78">
        <f t="shared" si="17"/>
        <v>392139.066666667</v>
      </c>
      <c r="L57" s="78">
        <f t="shared" si="17"/>
        <v>74372.089999999705</v>
      </c>
      <c r="M57" s="78">
        <f t="shared" si="17"/>
        <v>8380.2270833333296</v>
      </c>
      <c r="N57" s="78">
        <f t="shared" si="17"/>
        <v>11475.262500000001</v>
      </c>
      <c r="O57" s="78">
        <f t="shared" si="17"/>
        <v>3095.0354166666698</v>
      </c>
      <c r="P57" s="78">
        <f t="shared" si="17"/>
        <v>4705668.8</v>
      </c>
      <c r="Q57" s="78">
        <f t="shared" si="17"/>
        <v>137703.15</v>
      </c>
    </row>
    <row r="58" spans="1:17" ht="20.100000000000001" customHeight="1" x14ac:dyDescent="0.2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 x14ac:dyDescent="0.2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 x14ac:dyDescent="0.2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186">
        <v>660329.33333333302</v>
      </c>
      <c r="H60" s="855">
        <f>F60+G60</f>
        <v>1747106.41666666</v>
      </c>
      <c r="I60" s="186">
        <f t="shared" si="10"/>
        <v>311386.41666665999</v>
      </c>
      <c r="J60" s="860">
        <v>114857.60000000001</v>
      </c>
      <c r="K60" s="860">
        <f t="shared" si="11"/>
        <v>139768.51333333299</v>
      </c>
      <c r="L60" s="860">
        <f t="shared" si="12"/>
        <v>24910.913333332999</v>
      </c>
      <c r="M60" s="860"/>
      <c r="N60" s="860"/>
      <c r="O60" s="860">
        <f t="shared" si="13"/>
        <v>0</v>
      </c>
      <c r="P60" s="860">
        <f>K60*12</f>
        <v>1677222.16</v>
      </c>
      <c r="Q60" s="860"/>
    </row>
    <row r="61" spans="1:17" ht="20.100000000000001" customHeight="1" x14ac:dyDescent="0.2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>F61+G61</f>
        <v>744477</v>
      </c>
      <c r="I61" s="186">
        <f t="shared" si="10"/>
        <v>123801.41666666701</v>
      </c>
      <c r="J61" s="860">
        <v>49654.046666666698</v>
      </c>
      <c r="K61" s="860">
        <f t="shared" si="11"/>
        <v>59558.16</v>
      </c>
      <c r="L61" s="860">
        <f t="shared" si="12"/>
        <v>9904.1133333333091</v>
      </c>
      <c r="M61" s="860"/>
      <c r="N61" s="860"/>
      <c r="O61" s="860">
        <f t="shared" si="13"/>
        <v>0</v>
      </c>
      <c r="P61" s="860">
        <f>K61*12</f>
        <v>714697.92</v>
      </c>
      <c r="Q61" s="860"/>
    </row>
    <row r="62" spans="1:17" ht="20.100000000000001" customHeight="1" x14ac:dyDescent="0.5">
      <c r="A62" s="8"/>
      <c r="B62" s="18" t="s">
        <v>111</v>
      </c>
      <c r="C62" s="19">
        <v>2</v>
      </c>
      <c r="D62" s="19"/>
      <c r="E62" s="78">
        <f t="shared" ref="E62:Q62" si="18">SUM(E60:E61)</f>
        <v>2056395.58333333</v>
      </c>
      <c r="F62" s="856">
        <f t="shared" si="18"/>
        <v>1545787.58333333</v>
      </c>
      <c r="G62" s="78">
        <f t="shared" si="18"/>
        <v>945795.83333333302</v>
      </c>
      <c r="H62" s="78">
        <f t="shared" si="18"/>
        <v>2491583.41666666</v>
      </c>
      <c r="I62" s="78">
        <f t="shared" si="18"/>
        <v>435187.83333332703</v>
      </c>
      <c r="J62" s="78">
        <f t="shared" si="18"/>
        <v>164511.64666666699</v>
      </c>
      <c r="K62" s="78">
        <f t="shared" si="18"/>
        <v>199326.67333333299</v>
      </c>
      <c r="L62" s="78">
        <f t="shared" si="18"/>
        <v>34815.026666666301</v>
      </c>
      <c r="M62" s="78">
        <f t="shared" si="18"/>
        <v>0</v>
      </c>
      <c r="N62" s="78">
        <f t="shared" si="18"/>
        <v>0</v>
      </c>
      <c r="O62" s="78">
        <f t="shared" si="18"/>
        <v>0</v>
      </c>
      <c r="P62" s="78">
        <f t="shared" si="18"/>
        <v>2391920.08</v>
      </c>
      <c r="Q62" s="78">
        <f t="shared" si="18"/>
        <v>0</v>
      </c>
    </row>
    <row r="63" spans="1:17" ht="20.100000000000001" customHeight="1" x14ac:dyDescent="0.2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 x14ac:dyDescent="0.2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 x14ac:dyDescent="0.2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70">
        <v>350637.25</v>
      </c>
      <c r="H65" s="186">
        <f>F65+G65</f>
        <v>905306.75</v>
      </c>
      <c r="I65" s="186">
        <f t="shared" si="10"/>
        <v>142933.58333333299</v>
      </c>
      <c r="J65" s="860">
        <v>60989.853333333303</v>
      </c>
      <c r="K65" s="860">
        <f t="shared" si="11"/>
        <v>72424.539999999994</v>
      </c>
      <c r="L65" s="860">
        <f t="shared" si="12"/>
        <v>11434.686666666699</v>
      </c>
      <c r="M65" s="860">
        <v>10293.3979166667</v>
      </c>
      <c r="N65" s="860">
        <f>0.025*F65</f>
        <v>13866.737499999999</v>
      </c>
      <c r="O65" s="860">
        <f t="shared" si="13"/>
        <v>3573.3395833333002</v>
      </c>
      <c r="P65" s="860">
        <f>K65*12</f>
        <v>869094.48</v>
      </c>
      <c r="Q65" s="860">
        <f>N65*12</f>
        <v>166400.85</v>
      </c>
    </row>
    <row r="66" spans="1:17" ht="20.100000000000001" customHeight="1" x14ac:dyDescent="0.2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ref="H66:H71" si="19">F66+G66</f>
        <v>558165.25</v>
      </c>
      <c r="I66" s="186">
        <f t="shared" si="10"/>
        <v>101543</v>
      </c>
      <c r="J66" s="860">
        <v>35419.72</v>
      </c>
      <c r="K66" s="860">
        <f t="shared" si="11"/>
        <v>44653.22</v>
      </c>
      <c r="L66" s="860">
        <f t="shared" si="12"/>
        <v>9233.5</v>
      </c>
      <c r="M66" s="860"/>
      <c r="N66" s="860"/>
      <c r="O66" s="860">
        <f t="shared" si="13"/>
        <v>0</v>
      </c>
      <c r="P66" s="860">
        <f t="shared" ref="P66:P71" si="20">K66*12</f>
        <v>535838.64</v>
      </c>
      <c r="Q66" s="860"/>
    </row>
    <row r="67" spans="1:17" ht="20.100000000000001" customHeight="1" x14ac:dyDescent="0.2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186">
        <v>174165.25</v>
      </c>
      <c r="H67" s="186">
        <f t="shared" si="19"/>
        <v>468828.16666666698</v>
      </c>
      <c r="I67" s="186">
        <f t="shared" si="10"/>
        <v>90933</v>
      </c>
      <c r="J67" s="860">
        <v>29256.3066666667</v>
      </c>
      <c r="K67" s="860">
        <f t="shared" si="11"/>
        <v>37506.253333333399</v>
      </c>
      <c r="L67" s="860">
        <f t="shared" si="12"/>
        <v>8249.9466666666594</v>
      </c>
      <c r="M67" s="860"/>
      <c r="N67" s="860"/>
      <c r="O67" s="860">
        <f t="shared" si="13"/>
        <v>0</v>
      </c>
      <c r="P67" s="860">
        <f t="shared" si="20"/>
        <v>450075.04000000103</v>
      </c>
      <c r="Q67" s="860"/>
    </row>
    <row r="68" spans="1:17" ht="20.100000000000001" customHeight="1" x14ac:dyDescent="0.2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186">
        <v>174165.25</v>
      </c>
      <c r="H68" s="186">
        <f t="shared" si="19"/>
        <v>468828.16666666698</v>
      </c>
      <c r="I68" s="186">
        <f t="shared" si="10"/>
        <v>90933</v>
      </c>
      <c r="J68" s="860">
        <v>29256.3066666667</v>
      </c>
      <c r="K68" s="860">
        <f t="shared" si="11"/>
        <v>37506.253333333399</v>
      </c>
      <c r="L68" s="860">
        <f t="shared" si="12"/>
        <v>8249.9466666666594</v>
      </c>
      <c r="M68" s="860"/>
      <c r="N68" s="860"/>
      <c r="O68" s="860">
        <f t="shared" si="13"/>
        <v>0</v>
      </c>
      <c r="P68" s="860">
        <f t="shared" si="20"/>
        <v>450075.04000000103</v>
      </c>
      <c r="Q68" s="860"/>
    </row>
    <row r="69" spans="1:17" ht="20.100000000000001" customHeight="1" x14ac:dyDescent="0.2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186">
        <v>174165.25</v>
      </c>
      <c r="H69" s="186">
        <f t="shared" si="19"/>
        <v>468828.16666666698</v>
      </c>
      <c r="I69" s="186">
        <f t="shared" si="10"/>
        <v>90933</v>
      </c>
      <c r="J69" s="860">
        <v>29256.3066666667</v>
      </c>
      <c r="K69" s="860">
        <f t="shared" si="11"/>
        <v>37506.253333333399</v>
      </c>
      <c r="L69" s="860">
        <f t="shared" si="12"/>
        <v>8249.9466666666594</v>
      </c>
      <c r="M69" s="860"/>
      <c r="N69" s="860"/>
      <c r="O69" s="860">
        <f t="shared" si="13"/>
        <v>0</v>
      </c>
      <c r="P69" s="860">
        <f t="shared" si="20"/>
        <v>450075.04000000103</v>
      </c>
      <c r="Q69" s="860"/>
    </row>
    <row r="70" spans="1:17" ht="20.100000000000001" customHeight="1" x14ac:dyDescent="0.2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186">
        <v>179784</v>
      </c>
      <c r="H70" s="186">
        <f t="shared" si="19"/>
        <v>482662.66666666698</v>
      </c>
      <c r="I70" s="186">
        <f t="shared" si="10"/>
        <v>92576.166666667006</v>
      </c>
      <c r="J70" s="860">
        <v>30231.613333333298</v>
      </c>
      <c r="K70" s="860">
        <f t="shared" si="11"/>
        <v>38613.013333333402</v>
      </c>
      <c r="L70" s="860">
        <f t="shared" si="12"/>
        <v>8381.4000000000597</v>
      </c>
      <c r="M70" s="860"/>
      <c r="N70" s="860"/>
      <c r="O70" s="860">
        <f t="shared" si="13"/>
        <v>0</v>
      </c>
      <c r="P70" s="860">
        <f t="shared" si="20"/>
        <v>463356.16000000102</v>
      </c>
      <c r="Q70" s="860"/>
    </row>
    <row r="71" spans="1:17" ht="21.6" customHeight="1" x14ac:dyDescent="0.2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186">
        <v>143964.66666666701</v>
      </c>
      <c r="H71" s="186">
        <f t="shared" si="19"/>
        <v>390135.83333333401</v>
      </c>
      <c r="I71" s="186">
        <f t="shared" si="10"/>
        <v>81234.333333333998</v>
      </c>
      <c r="J71" s="860">
        <v>24077.246666666699</v>
      </c>
      <c r="K71" s="860">
        <f t="shared" si="11"/>
        <v>31210.866666666701</v>
      </c>
      <c r="L71" s="860">
        <f t="shared" si="12"/>
        <v>7133.6200000000199</v>
      </c>
      <c r="M71" s="860"/>
      <c r="N71" s="860">
        <f>0.025*F71</f>
        <v>6154.2791666666799</v>
      </c>
      <c r="O71" s="860">
        <f t="shared" si="13"/>
        <v>6154.2791666666799</v>
      </c>
      <c r="P71" s="860">
        <f t="shared" si="20"/>
        <v>374530.4</v>
      </c>
      <c r="Q71" s="860"/>
    </row>
    <row r="72" spans="1:17" ht="27" customHeight="1" x14ac:dyDescent="0.5">
      <c r="A72" s="8"/>
      <c r="B72" s="18" t="s">
        <v>111</v>
      </c>
      <c r="C72" s="19">
        <v>7</v>
      </c>
      <c r="D72" s="19"/>
      <c r="E72" s="78">
        <f t="shared" ref="E72:Q72" si="21">SUM(E65:E71)</f>
        <v>3051668.9166666698</v>
      </c>
      <c r="F72" s="856">
        <f t="shared" si="21"/>
        <v>2335424</v>
      </c>
      <c r="G72" s="78">
        <f t="shared" si="21"/>
        <v>1407331</v>
      </c>
      <c r="H72" s="78">
        <f t="shared" si="21"/>
        <v>3742755</v>
      </c>
      <c r="I72" s="78">
        <f t="shared" si="21"/>
        <v>691086.08333333395</v>
      </c>
      <c r="J72" s="78">
        <f t="shared" si="21"/>
        <v>238487.35333333301</v>
      </c>
      <c r="K72" s="78">
        <f t="shared" si="21"/>
        <v>299420.40000000002</v>
      </c>
      <c r="L72" s="78">
        <f t="shared" si="21"/>
        <v>60933.046666666698</v>
      </c>
      <c r="M72" s="78">
        <f t="shared" si="21"/>
        <v>10293.3979166667</v>
      </c>
      <c r="N72" s="78">
        <f t="shared" si="21"/>
        <v>20021.016666666699</v>
      </c>
      <c r="O72" s="78">
        <f t="shared" si="21"/>
        <v>9727.6187499999796</v>
      </c>
      <c r="P72" s="78">
        <f t="shared" si="21"/>
        <v>3593044.8</v>
      </c>
      <c r="Q72" s="78">
        <f t="shared" si="21"/>
        <v>166400.85</v>
      </c>
    </row>
    <row r="73" spans="1:17" ht="20.100000000000001" customHeight="1" x14ac:dyDescent="0.2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 x14ac:dyDescent="0.2">
      <c r="A74" s="8"/>
      <c r="B74" s="18" t="s">
        <v>169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 x14ac:dyDescent="0.2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22">F75+G75</f>
        <v>1747106.41666666</v>
      </c>
      <c r="I75" s="186">
        <f t="shared" ref="I73:I104" si="23">H75-E75</f>
        <v>311386.41666665999</v>
      </c>
      <c r="J75" s="860">
        <v>114857.60000000001</v>
      </c>
      <c r="K75" s="860">
        <f t="shared" ref="K73:K104" si="24">H75*0.08</f>
        <v>139768.51333333299</v>
      </c>
      <c r="L75" s="860">
        <f t="shared" ref="L72:L103" si="25">K75-J75</f>
        <v>24910.913333332799</v>
      </c>
      <c r="M75" s="860"/>
      <c r="N75" s="860"/>
      <c r="O75" s="860">
        <f t="shared" ref="O73:O104" si="26">N75-M75</f>
        <v>0</v>
      </c>
      <c r="P75" s="860">
        <f t="shared" ref="P75:P80" si="27">K75*12</f>
        <v>1677222.16</v>
      </c>
      <c r="Q75" s="860"/>
    </row>
    <row r="76" spans="1:17" ht="20.100000000000001" customHeight="1" x14ac:dyDescent="0.2">
      <c r="A76" s="8">
        <v>2</v>
      </c>
      <c r="B76" s="9" t="s">
        <v>172</v>
      </c>
      <c r="C76" s="2" t="s">
        <v>173</v>
      </c>
      <c r="D76" s="8" t="s">
        <v>49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22"/>
        <v>722595.5</v>
      </c>
      <c r="I76" s="186">
        <f t="shared" si="23"/>
        <v>140477.41666666701</v>
      </c>
      <c r="J76" s="860">
        <v>46569.446666666699</v>
      </c>
      <c r="K76" s="860">
        <f t="shared" si="24"/>
        <v>57807.64</v>
      </c>
      <c r="L76" s="860">
        <f t="shared" si="25"/>
        <v>11238.1933333333</v>
      </c>
      <c r="M76" s="860"/>
      <c r="N76" s="860"/>
      <c r="O76" s="860">
        <f t="shared" si="26"/>
        <v>0</v>
      </c>
      <c r="P76" s="860">
        <f t="shared" si="27"/>
        <v>693691.68</v>
      </c>
      <c r="Q76" s="860"/>
    </row>
    <row r="77" spans="1:17" ht="20.100000000000001" customHeight="1" x14ac:dyDescent="0.2">
      <c r="A77" s="8">
        <v>3</v>
      </c>
      <c r="B77" s="9" t="s">
        <v>174</v>
      </c>
      <c r="C77" s="2" t="s">
        <v>175</v>
      </c>
      <c r="D77" s="13" t="s">
        <v>176</v>
      </c>
      <c r="E77" s="70">
        <v>470498</v>
      </c>
      <c r="F77" s="853">
        <v>357066.66666666698</v>
      </c>
      <c r="G77" s="186">
        <v>216844.41666666701</v>
      </c>
      <c r="H77" s="855">
        <f t="shared" si="22"/>
        <v>573911.08333333395</v>
      </c>
      <c r="I77" s="186">
        <f t="shared" si="23"/>
        <v>103413.083333334</v>
      </c>
      <c r="J77" s="860">
        <v>36529.78</v>
      </c>
      <c r="K77" s="860">
        <f t="shared" si="24"/>
        <v>45912.886666666702</v>
      </c>
      <c r="L77" s="860">
        <f t="shared" si="25"/>
        <v>9383.1066666667193</v>
      </c>
      <c r="M77" s="860">
        <v>6154.3229166666697</v>
      </c>
      <c r="N77" s="860">
        <f>0.025*F77</f>
        <v>8926.6666666666806</v>
      </c>
      <c r="O77" s="860">
        <f t="shared" si="26"/>
        <v>2772.34375000001</v>
      </c>
      <c r="P77" s="860">
        <f t="shared" si="27"/>
        <v>550954.64</v>
      </c>
      <c r="Q77" s="860">
        <f>N77*12</f>
        <v>107120</v>
      </c>
    </row>
    <row r="78" spans="1:17" ht="20.100000000000001" customHeight="1" x14ac:dyDescent="0.2">
      <c r="A78" s="8">
        <v>4</v>
      </c>
      <c r="B78" s="9" t="s">
        <v>181</v>
      </c>
      <c r="C78" s="2" t="s">
        <v>182</v>
      </c>
      <c r="D78" s="8" t="s">
        <v>68</v>
      </c>
      <c r="E78" s="70">
        <v>365703.83333333302</v>
      </c>
      <c r="F78" s="853">
        <v>286447.08333333302</v>
      </c>
      <c r="G78" s="186">
        <v>168546.5</v>
      </c>
      <c r="H78" s="855">
        <f t="shared" si="22"/>
        <v>454993.58333333302</v>
      </c>
      <c r="I78" s="186">
        <f t="shared" si="23"/>
        <v>89289.75</v>
      </c>
      <c r="J78" s="860">
        <v>28281</v>
      </c>
      <c r="K78" s="860">
        <f t="shared" si="24"/>
        <v>36399.486666666598</v>
      </c>
      <c r="L78" s="860">
        <f t="shared" si="25"/>
        <v>8118.4866666666403</v>
      </c>
      <c r="M78" s="860"/>
      <c r="N78" s="860"/>
      <c r="O78" s="860">
        <f t="shared" si="26"/>
        <v>0</v>
      </c>
      <c r="P78" s="860">
        <f t="shared" si="27"/>
        <v>436793.83999999898</v>
      </c>
      <c r="Q78" s="860"/>
    </row>
    <row r="79" spans="1:17" ht="20.100000000000001" customHeight="1" x14ac:dyDescent="0.2">
      <c r="A79" s="8">
        <v>5</v>
      </c>
      <c r="B79" s="9" t="s">
        <v>183</v>
      </c>
      <c r="C79" s="2" t="s">
        <v>184</v>
      </c>
      <c r="D79" s="8" t="s">
        <v>87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22"/>
        <v>347016.16666666599</v>
      </c>
      <c r="I79" s="186">
        <f t="shared" si="23"/>
        <v>83850.833333332994</v>
      </c>
      <c r="J79" s="860">
        <v>21053.226666666698</v>
      </c>
      <c r="K79" s="860">
        <f t="shared" si="24"/>
        <v>27761.293333333299</v>
      </c>
      <c r="L79" s="860">
        <f t="shared" si="25"/>
        <v>6708.0666666665802</v>
      </c>
      <c r="M79" s="860"/>
      <c r="N79" s="860">
        <f>0.025*F79</f>
        <v>5566.8645833333203</v>
      </c>
      <c r="O79" s="860">
        <f t="shared" si="26"/>
        <v>5566.8645833333203</v>
      </c>
      <c r="P79" s="860">
        <f t="shared" si="27"/>
        <v>333135.52</v>
      </c>
      <c r="Q79" s="860"/>
    </row>
    <row r="80" spans="1:17" ht="20.100000000000001" customHeight="1" x14ac:dyDescent="0.2">
      <c r="A80" s="8">
        <v>6</v>
      </c>
      <c r="B80" s="9" t="s">
        <v>185</v>
      </c>
      <c r="C80" s="2" t="s">
        <v>186</v>
      </c>
      <c r="D80" s="8" t="s">
        <v>102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22"/>
        <v>301910.75</v>
      </c>
      <c r="I80" s="186">
        <f t="shared" si="23"/>
        <v>71278.833333332994</v>
      </c>
      <c r="J80" s="860">
        <v>17956.78</v>
      </c>
      <c r="K80" s="860">
        <f t="shared" si="24"/>
        <v>24152.86</v>
      </c>
      <c r="L80" s="860">
        <f t="shared" si="25"/>
        <v>6196.08</v>
      </c>
      <c r="M80" s="860"/>
      <c r="N80" s="860"/>
      <c r="O80" s="860">
        <f t="shared" si="26"/>
        <v>0</v>
      </c>
      <c r="P80" s="860">
        <f t="shared" si="27"/>
        <v>289834.32</v>
      </c>
      <c r="Q80" s="860"/>
    </row>
    <row r="81" spans="1:17" ht="20.100000000000001" customHeight="1" x14ac:dyDescent="0.5">
      <c r="A81" s="8"/>
      <c r="B81" s="18" t="s">
        <v>111</v>
      </c>
      <c r="C81" s="19">
        <v>6</v>
      </c>
      <c r="D81" s="19"/>
      <c r="E81" s="78">
        <f t="shared" ref="E81:Q81" si="28">SUM(E75:E80)</f>
        <v>3347837.1666666698</v>
      </c>
      <c r="F81" s="856">
        <f t="shared" si="28"/>
        <v>2595325.66666666</v>
      </c>
      <c r="G81" s="78">
        <f t="shared" si="28"/>
        <v>1552207.83333333</v>
      </c>
      <c r="H81" s="78">
        <f t="shared" si="28"/>
        <v>4147533.4999999902</v>
      </c>
      <c r="I81" s="78">
        <f t="shared" si="28"/>
        <v>799696.33333332697</v>
      </c>
      <c r="J81" s="78">
        <f t="shared" si="28"/>
        <v>265247.83333333302</v>
      </c>
      <c r="K81" s="78">
        <f t="shared" si="28"/>
        <v>331802.68</v>
      </c>
      <c r="L81" s="78">
        <f t="shared" si="28"/>
        <v>66554.846666665995</v>
      </c>
      <c r="M81" s="78">
        <f t="shared" si="28"/>
        <v>6154.3229166666697</v>
      </c>
      <c r="N81" s="78">
        <f t="shared" si="28"/>
        <v>14493.53125</v>
      </c>
      <c r="O81" s="78">
        <f t="shared" si="28"/>
        <v>8339.2083333333303</v>
      </c>
      <c r="P81" s="78">
        <f t="shared" si="28"/>
        <v>3981632.16</v>
      </c>
      <c r="Q81" s="78">
        <f t="shared" si="28"/>
        <v>107120</v>
      </c>
    </row>
    <row r="82" spans="1:17" ht="20.100000000000001" customHeight="1" x14ac:dyDescent="0.2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 x14ac:dyDescent="0.2">
      <c r="A83" s="8"/>
      <c r="B83" s="18" t="s">
        <v>187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 x14ac:dyDescent="0.2">
      <c r="A84" s="8">
        <v>1</v>
      </c>
      <c r="B84" s="9" t="s">
        <v>188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29">F84+G84</f>
        <v>1647612</v>
      </c>
      <c r="I84" s="186">
        <f t="shared" si="23"/>
        <v>295569.33333332703</v>
      </c>
      <c r="J84" s="860">
        <v>114857.60000000001</v>
      </c>
      <c r="K84" s="860">
        <f t="shared" si="24"/>
        <v>131808.95999999999</v>
      </c>
      <c r="L84" s="860">
        <f t="shared" si="25"/>
        <v>16951.3599999998</v>
      </c>
      <c r="M84" s="860">
        <v>18254.974999999999</v>
      </c>
      <c r="N84" s="860">
        <f>0.025*F84</f>
        <v>25644.208333333299</v>
      </c>
      <c r="O84" s="860">
        <f t="shared" si="26"/>
        <v>7389.2333333332999</v>
      </c>
      <c r="P84" s="860">
        <f>12*K84</f>
        <v>1581707.52</v>
      </c>
      <c r="Q84" s="860">
        <f>N84*12</f>
        <v>307730.49999999901</v>
      </c>
    </row>
    <row r="85" spans="1:17" ht="20.100000000000001" customHeight="1" x14ac:dyDescent="0.2">
      <c r="A85" s="8">
        <v>2</v>
      </c>
      <c r="B85" s="9" t="s">
        <v>190</v>
      </c>
      <c r="C85" s="2" t="s">
        <v>191</v>
      </c>
      <c r="D85" s="8" t="s">
        <v>192</v>
      </c>
      <c r="E85" s="70">
        <v>716034</v>
      </c>
      <c r="F85" s="853">
        <v>523386.5</v>
      </c>
      <c r="G85" s="70">
        <v>329324.58333333302</v>
      </c>
      <c r="H85" s="186">
        <f t="shared" si="29"/>
        <v>852711.08333333302</v>
      </c>
      <c r="I85" s="186">
        <f t="shared" si="23"/>
        <v>136677.08333333299</v>
      </c>
      <c r="J85" s="860">
        <v>59136.286666666703</v>
      </c>
      <c r="K85" s="860">
        <f t="shared" si="24"/>
        <v>68216.8866666666</v>
      </c>
      <c r="L85" s="860">
        <f t="shared" si="25"/>
        <v>9080.5999999999403</v>
      </c>
      <c r="M85" s="860"/>
      <c r="N85" s="860"/>
      <c r="O85" s="860">
        <f t="shared" si="26"/>
        <v>0</v>
      </c>
      <c r="P85" s="860">
        <f t="shared" ref="P85:P93" si="30">12*K85</f>
        <v>818602.64</v>
      </c>
      <c r="Q85" s="860"/>
    </row>
    <row r="86" spans="1:17" ht="20.100000000000001" customHeight="1" x14ac:dyDescent="0.2">
      <c r="A86" s="8">
        <v>3</v>
      </c>
      <c r="B86" s="9" t="s">
        <v>193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29"/>
        <v>722595.5</v>
      </c>
      <c r="I86" s="186">
        <f t="shared" si="23"/>
        <v>121198.66666666701</v>
      </c>
      <c r="J86" s="860">
        <v>46569.446666666699</v>
      </c>
      <c r="K86" s="860">
        <f t="shared" si="24"/>
        <v>57807.64</v>
      </c>
      <c r="L86" s="860">
        <f t="shared" si="25"/>
        <v>11238.1933333333</v>
      </c>
      <c r="M86" s="860"/>
      <c r="N86" s="860"/>
      <c r="O86" s="860">
        <f t="shared" si="26"/>
        <v>0</v>
      </c>
      <c r="P86" s="860">
        <f t="shared" si="30"/>
        <v>693691.68</v>
      </c>
      <c r="Q86" s="860"/>
    </row>
    <row r="87" spans="1:17" ht="21.6" customHeight="1" x14ac:dyDescent="0.2">
      <c r="A87" s="8">
        <v>4</v>
      </c>
      <c r="B87" s="9" t="s">
        <v>194</v>
      </c>
      <c r="C87" s="2" t="s">
        <v>156</v>
      </c>
      <c r="D87" s="13" t="s">
        <v>46</v>
      </c>
      <c r="E87" s="70">
        <v>456622.25</v>
      </c>
      <c r="F87" s="853">
        <v>347715.91666666698</v>
      </c>
      <c r="G87" s="186">
        <v>210449.33333333299</v>
      </c>
      <c r="H87" s="186">
        <f t="shared" si="29"/>
        <v>558165.25</v>
      </c>
      <c r="I87" s="186">
        <f t="shared" si="23"/>
        <v>101543</v>
      </c>
      <c r="J87" s="860">
        <v>35344.393333333297</v>
      </c>
      <c r="K87" s="860">
        <f t="shared" si="24"/>
        <v>44653.22</v>
      </c>
      <c r="L87" s="860">
        <f t="shared" si="25"/>
        <v>9308.8266666666696</v>
      </c>
      <c r="M87" s="860"/>
      <c r="N87" s="860"/>
      <c r="O87" s="860">
        <f t="shared" si="26"/>
        <v>0</v>
      </c>
      <c r="P87" s="860">
        <f t="shared" si="30"/>
        <v>535838.64</v>
      </c>
      <c r="Q87" s="860"/>
    </row>
    <row r="88" spans="1:17" ht="21.6" customHeight="1" x14ac:dyDescent="0.2">
      <c r="A88" s="8">
        <v>5</v>
      </c>
      <c r="B88" s="9" t="s">
        <v>195</v>
      </c>
      <c r="C88" s="2" t="s">
        <v>156</v>
      </c>
      <c r="D88" s="13" t="s">
        <v>46</v>
      </c>
      <c r="E88" s="70">
        <v>456622.25</v>
      </c>
      <c r="F88" s="853">
        <v>347716.91666666698</v>
      </c>
      <c r="G88" s="186">
        <v>210449.33333333299</v>
      </c>
      <c r="H88" s="186">
        <f t="shared" si="29"/>
        <v>558166.25</v>
      </c>
      <c r="I88" s="186">
        <f t="shared" si="23"/>
        <v>101544</v>
      </c>
      <c r="J88" s="860">
        <v>35419.72</v>
      </c>
      <c r="K88" s="860">
        <f t="shared" si="24"/>
        <v>44653.3</v>
      </c>
      <c r="L88" s="860">
        <f t="shared" si="25"/>
        <v>9233.5799999999708</v>
      </c>
      <c r="M88" s="860"/>
      <c r="N88" s="860">
        <f>0.025*F88</f>
        <v>8692.9229166666701</v>
      </c>
      <c r="O88" s="860">
        <f t="shared" si="26"/>
        <v>8692.9229166666701</v>
      </c>
      <c r="P88" s="860">
        <f t="shared" si="30"/>
        <v>535839.6</v>
      </c>
      <c r="Q88" s="860">
        <f>N88*12</f>
        <v>104315.075</v>
      </c>
    </row>
    <row r="89" spans="1:17" ht="21.6" customHeight="1" x14ac:dyDescent="0.2">
      <c r="A89" s="8">
        <v>6</v>
      </c>
      <c r="B89" s="9" t="s">
        <v>196</v>
      </c>
      <c r="C89" s="10" t="s">
        <v>156</v>
      </c>
      <c r="D89" s="13" t="s">
        <v>197</v>
      </c>
      <c r="E89" s="70">
        <v>442746.5</v>
      </c>
      <c r="F89" s="853">
        <v>338365.25</v>
      </c>
      <c r="G89" s="186">
        <v>204054.25</v>
      </c>
      <c r="H89" s="186">
        <f t="shared" si="29"/>
        <v>542419.5</v>
      </c>
      <c r="I89" s="186">
        <f t="shared" si="23"/>
        <v>99673</v>
      </c>
      <c r="J89" s="860">
        <v>34309.660000000003</v>
      </c>
      <c r="K89" s="860">
        <f t="shared" si="24"/>
        <v>43393.56</v>
      </c>
      <c r="L89" s="860">
        <f t="shared" si="25"/>
        <v>9083.8999999999905</v>
      </c>
      <c r="M89" s="860"/>
      <c r="N89" s="860"/>
      <c r="O89" s="860">
        <f t="shared" si="26"/>
        <v>0</v>
      </c>
      <c r="P89" s="860">
        <f t="shared" si="30"/>
        <v>520722.72</v>
      </c>
      <c r="Q89" s="860"/>
    </row>
    <row r="90" spans="1:17" ht="21.6" customHeight="1" x14ac:dyDescent="0.2">
      <c r="A90" s="8">
        <v>7</v>
      </c>
      <c r="B90" s="9" t="s">
        <v>198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186">
        <v>174165.25</v>
      </c>
      <c r="H90" s="186">
        <f t="shared" si="29"/>
        <v>468828.16666666698</v>
      </c>
      <c r="I90" s="186">
        <f t="shared" si="23"/>
        <v>90933</v>
      </c>
      <c r="J90" s="860">
        <v>29256.3066666667</v>
      </c>
      <c r="K90" s="860">
        <f t="shared" si="24"/>
        <v>37506.253333333399</v>
      </c>
      <c r="L90" s="860">
        <f t="shared" si="25"/>
        <v>8249.9466666666594</v>
      </c>
      <c r="M90" s="860"/>
      <c r="N90" s="860"/>
      <c r="O90" s="860">
        <f t="shared" si="26"/>
        <v>0</v>
      </c>
      <c r="P90" s="860">
        <f t="shared" si="30"/>
        <v>450075.04</v>
      </c>
      <c r="Q90" s="860"/>
    </row>
    <row r="91" spans="1:17" ht="21.6" customHeight="1" x14ac:dyDescent="0.2">
      <c r="A91" s="8">
        <v>8</v>
      </c>
      <c r="B91" s="9" t="s">
        <v>199</v>
      </c>
      <c r="C91" s="15" t="s">
        <v>158</v>
      </c>
      <c r="D91" s="13" t="s">
        <v>200</v>
      </c>
      <c r="E91" s="70">
        <v>403137.91666666698</v>
      </c>
      <c r="F91" s="853">
        <v>311673.25</v>
      </c>
      <c r="G91" s="186">
        <v>185799.5</v>
      </c>
      <c r="H91" s="186">
        <f t="shared" si="29"/>
        <v>497472.75</v>
      </c>
      <c r="I91" s="186">
        <f t="shared" si="23"/>
        <v>94334.833333332994</v>
      </c>
      <c r="J91" s="860">
        <v>31219.913333333301</v>
      </c>
      <c r="K91" s="860">
        <f t="shared" si="24"/>
        <v>39797.82</v>
      </c>
      <c r="L91" s="860">
        <f t="shared" si="25"/>
        <v>8577.9066666667004</v>
      </c>
      <c r="M91" s="860">
        <v>5259.7437499999996</v>
      </c>
      <c r="N91" s="860">
        <f>0.025*F91</f>
        <v>7791.8312500000002</v>
      </c>
      <c r="O91" s="860">
        <f t="shared" si="26"/>
        <v>2532.0875000000001</v>
      </c>
      <c r="P91" s="860">
        <f t="shared" si="30"/>
        <v>477573.84</v>
      </c>
      <c r="Q91" s="860">
        <f>N91*12</f>
        <v>93501.975000000006</v>
      </c>
    </row>
    <row r="92" spans="1:17" ht="21.6" customHeight="1" x14ac:dyDescent="0.2">
      <c r="A92" s="8">
        <v>9</v>
      </c>
      <c r="B92" s="9" t="s">
        <v>202</v>
      </c>
      <c r="C92" s="2" t="s">
        <v>203</v>
      </c>
      <c r="D92" s="8" t="s">
        <v>119</v>
      </c>
      <c r="E92" s="186">
        <v>308901.5</v>
      </c>
      <c r="F92" s="853">
        <v>246171.16666666701</v>
      </c>
      <c r="G92" s="186">
        <v>143964.66666666701</v>
      </c>
      <c r="H92" s="186">
        <f t="shared" si="29"/>
        <v>390135.83333333401</v>
      </c>
      <c r="I92" s="186">
        <f t="shared" si="23"/>
        <v>81234.333333333998</v>
      </c>
      <c r="J92" s="860">
        <v>24077.246666666699</v>
      </c>
      <c r="K92" s="860">
        <f t="shared" si="24"/>
        <v>31210.866666666701</v>
      </c>
      <c r="L92" s="860">
        <f t="shared" si="25"/>
        <v>7133.6200000000199</v>
      </c>
      <c r="M92" s="860"/>
      <c r="N92" s="860"/>
      <c r="O92" s="860">
        <f t="shared" si="26"/>
        <v>0</v>
      </c>
      <c r="P92" s="860">
        <f t="shared" si="30"/>
        <v>374530.40000000101</v>
      </c>
      <c r="Q92" s="860"/>
    </row>
    <row r="93" spans="1:17" ht="21.6" customHeight="1" x14ac:dyDescent="0.2">
      <c r="A93" s="8">
        <v>10</v>
      </c>
      <c r="B93" s="9" t="s">
        <v>204</v>
      </c>
      <c r="C93" s="15" t="s">
        <v>205</v>
      </c>
      <c r="D93" s="13" t="s">
        <v>206</v>
      </c>
      <c r="E93" s="186">
        <v>236804.08333333299</v>
      </c>
      <c r="F93" s="853">
        <v>200549.41666666701</v>
      </c>
      <c r="G93" s="186">
        <v>108371.25</v>
      </c>
      <c r="H93" s="186">
        <f t="shared" si="29"/>
        <v>308920.66666666698</v>
      </c>
      <c r="I93" s="186">
        <f t="shared" si="23"/>
        <v>72116.583333333998</v>
      </c>
      <c r="J93" s="860">
        <v>18450.553333333301</v>
      </c>
      <c r="K93" s="860">
        <f t="shared" si="24"/>
        <v>24713.653333333401</v>
      </c>
      <c r="L93" s="860">
        <f t="shared" si="25"/>
        <v>6263.1000000000604</v>
      </c>
      <c r="M93" s="860"/>
      <c r="N93" s="860">
        <f>0.025*F93</f>
        <v>5013.7354166666801</v>
      </c>
      <c r="O93" s="860">
        <f t="shared" si="26"/>
        <v>5013.7354166666801</v>
      </c>
      <c r="P93" s="860">
        <f t="shared" si="30"/>
        <v>296563.84000000003</v>
      </c>
      <c r="Q93" s="860"/>
    </row>
    <row r="94" spans="1:17" ht="20.100000000000001" customHeight="1" x14ac:dyDescent="0.5">
      <c r="A94" s="8"/>
      <c r="B94" s="18" t="s">
        <v>111</v>
      </c>
      <c r="C94" s="19">
        <v>10</v>
      </c>
      <c r="D94" s="19"/>
      <c r="E94" s="78">
        <f t="shared" ref="E94:Q94" si="31">SUM(E84:E93)</f>
        <v>5352203.1666666698</v>
      </c>
      <c r="F94" s="856">
        <f t="shared" si="31"/>
        <v>4082005.5</v>
      </c>
      <c r="G94" s="78">
        <f t="shared" si="31"/>
        <v>2465021.5</v>
      </c>
      <c r="H94" s="78">
        <f t="shared" si="31"/>
        <v>6547027</v>
      </c>
      <c r="I94" s="78">
        <f t="shared" si="31"/>
        <v>1194823.83333333</v>
      </c>
      <c r="J94" s="78">
        <f t="shared" si="31"/>
        <v>428641.126666667</v>
      </c>
      <c r="K94" s="78">
        <f t="shared" si="31"/>
        <v>523762.16</v>
      </c>
      <c r="L94" s="78">
        <f t="shared" si="31"/>
        <v>95121.033333333093</v>
      </c>
      <c r="M94" s="78">
        <f t="shared" si="31"/>
        <v>23514.71875</v>
      </c>
      <c r="N94" s="78">
        <f t="shared" si="31"/>
        <v>47142.697916666599</v>
      </c>
      <c r="O94" s="78">
        <f t="shared" si="31"/>
        <v>23627.979166666599</v>
      </c>
      <c r="P94" s="78">
        <f t="shared" si="31"/>
        <v>6285145.9199999999</v>
      </c>
      <c r="Q94" s="78">
        <f t="shared" si="31"/>
        <v>505547.549999999</v>
      </c>
    </row>
    <row r="95" spans="1:17" ht="20.100000000000001" customHeight="1" x14ac:dyDescent="0.2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 x14ac:dyDescent="0.2">
      <c r="A96" s="8"/>
      <c r="B96" s="18" t="s">
        <v>207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 x14ac:dyDescent="0.2">
      <c r="A97" s="8">
        <v>1</v>
      </c>
      <c r="B97" s="12" t="s">
        <v>208</v>
      </c>
      <c r="C97" s="2" t="s">
        <v>209</v>
      </c>
      <c r="D97" s="14" t="s">
        <v>210</v>
      </c>
      <c r="E97" s="70">
        <v>1393881.33333333</v>
      </c>
      <c r="F97" s="853">
        <v>1056272.83333333</v>
      </c>
      <c r="G97" s="186">
        <v>641086.5</v>
      </c>
      <c r="H97" s="855">
        <f>F97+G97</f>
        <v>1697359.33333333</v>
      </c>
      <c r="I97" s="186">
        <f t="shared" si="23"/>
        <v>303478</v>
      </c>
      <c r="J97" s="860">
        <v>114857.60000000001</v>
      </c>
      <c r="K97" s="860">
        <f t="shared" si="24"/>
        <v>135788.746666666</v>
      </c>
      <c r="L97" s="860">
        <f t="shared" si="25"/>
        <v>20931.146666666398</v>
      </c>
      <c r="M97" s="860">
        <v>18254.974999999999</v>
      </c>
      <c r="N97" s="860">
        <f>0.025*F97</f>
        <v>26406.820833333299</v>
      </c>
      <c r="O97" s="860">
        <f t="shared" si="26"/>
        <v>8151.8458333333001</v>
      </c>
      <c r="P97" s="860">
        <f>12*K97</f>
        <v>1629464.95999999</v>
      </c>
      <c r="Q97" s="860">
        <f>N97*12</f>
        <v>316881.84999999899</v>
      </c>
    </row>
    <row r="98" spans="1:17" ht="20.100000000000001" customHeight="1" x14ac:dyDescent="0.2">
      <c r="A98" s="8">
        <v>2</v>
      </c>
      <c r="B98" s="9" t="s">
        <v>211</v>
      </c>
      <c r="C98" s="2" t="s">
        <v>212</v>
      </c>
      <c r="D98" s="13" t="s">
        <v>176</v>
      </c>
      <c r="E98" s="70">
        <v>470498</v>
      </c>
      <c r="F98" s="853">
        <v>357066.66666666698</v>
      </c>
      <c r="G98" s="186">
        <v>216844.41666666701</v>
      </c>
      <c r="H98" s="855">
        <f>F98+G98</f>
        <v>573911.08333333395</v>
      </c>
      <c r="I98" s="186">
        <f t="shared" si="23"/>
        <v>103413.083333334</v>
      </c>
      <c r="J98" s="860">
        <v>36529.78</v>
      </c>
      <c r="K98" s="860">
        <f t="shared" si="24"/>
        <v>45912.886666666702</v>
      </c>
      <c r="L98" s="860">
        <f t="shared" si="25"/>
        <v>9383.1066666667193</v>
      </c>
      <c r="M98" s="860"/>
      <c r="N98" s="860"/>
      <c r="O98" s="860">
        <f t="shared" si="26"/>
        <v>0</v>
      </c>
      <c r="P98" s="860">
        <f>12*K98</f>
        <v>550954.64</v>
      </c>
      <c r="Q98" s="860">
        <f>N98*12</f>
        <v>0</v>
      </c>
    </row>
    <row r="99" spans="1:17" ht="20.100000000000001" customHeight="1" x14ac:dyDescent="0.2">
      <c r="A99" s="8">
        <v>3</v>
      </c>
      <c r="B99" s="9" t="s">
        <v>213</v>
      </c>
      <c r="C99" s="10" t="s">
        <v>214</v>
      </c>
      <c r="D99" s="13" t="s">
        <v>200</v>
      </c>
      <c r="E99" s="70">
        <v>403137.91666666698</v>
      </c>
      <c r="F99" s="853">
        <v>311673.25</v>
      </c>
      <c r="G99" s="186">
        <v>185799.5</v>
      </c>
      <c r="H99" s="855">
        <f>F99+G99</f>
        <v>497472.75</v>
      </c>
      <c r="I99" s="186">
        <f t="shared" si="23"/>
        <v>94334.833333332994</v>
      </c>
      <c r="J99" s="860">
        <v>31219.91</v>
      </c>
      <c r="K99" s="860">
        <f t="shared" si="24"/>
        <v>39797.82</v>
      </c>
      <c r="L99" s="860">
        <f t="shared" si="25"/>
        <v>8577.91</v>
      </c>
      <c r="M99" s="860">
        <v>5967.3062499999996</v>
      </c>
      <c r="N99" s="860">
        <f>0.025*F99</f>
        <v>7791.8312500000002</v>
      </c>
      <c r="O99" s="860">
        <f t="shared" si="26"/>
        <v>1824.5250000000001</v>
      </c>
      <c r="P99" s="860">
        <f>12*K99</f>
        <v>477573.84</v>
      </c>
      <c r="Q99" s="860">
        <f>N99*12</f>
        <v>93501.975000000006</v>
      </c>
    </row>
    <row r="100" spans="1:17" ht="20.100000000000001" customHeight="1" x14ac:dyDescent="0.2">
      <c r="A100" s="8">
        <v>4</v>
      </c>
      <c r="B100" s="9" t="s">
        <v>217</v>
      </c>
      <c r="C100" s="2" t="s">
        <v>218</v>
      </c>
      <c r="D100" s="13" t="s">
        <v>65</v>
      </c>
      <c r="E100" s="70">
        <v>390086.5</v>
      </c>
      <c r="F100" s="853">
        <v>302878.66666666698</v>
      </c>
      <c r="G100" s="186">
        <v>179784</v>
      </c>
      <c r="H100" s="855">
        <f>F100+G100</f>
        <v>482662.66666666698</v>
      </c>
      <c r="I100" s="186">
        <f t="shared" si="23"/>
        <v>92576.166666667006</v>
      </c>
      <c r="J100" s="860">
        <v>30231.613333333298</v>
      </c>
      <c r="K100" s="860">
        <f t="shared" si="24"/>
        <v>38613.013333333402</v>
      </c>
      <c r="L100" s="860">
        <f t="shared" si="25"/>
        <v>8381.4000000000597</v>
      </c>
      <c r="M100" s="860"/>
      <c r="N100" s="860"/>
      <c r="O100" s="860">
        <f t="shared" si="26"/>
        <v>0</v>
      </c>
      <c r="P100" s="860">
        <f>12*K100</f>
        <v>463356.16000000102</v>
      </c>
      <c r="Q100" s="860">
        <f>N100*12</f>
        <v>0</v>
      </c>
    </row>
    <row r="101" spans="1:17" ht="20.100000000000001" customHeight="1" x14ac:dyDescent="0.2">
      <c r="A101" s="8">
        <v>5</v>
      </c>
      <c r="B101" s="9" t="s">
        <v>219</v>
      </c>
      <c r="C101" s="2" t="s">
        <v>220</v>
      </c>
      <c r="D101" s="13" t="s">
        <v>119</v>
      </c>
      <c r="E101" s="186">
        <v>308901.5</v>
      </c>
      <c r="F101" s="853">
        <v>246171.16666666701</v>
      </c>
      <c r="G101" s="186">
        <v>143964.66666666701</v>
      </c>
      <c r="H101" s="855">
        <f>F101+G101</f>
        <v>390135.83333333401</v>
      </c>
      <c r="I101" s="186">
        <f t="shared" si="23"/>
        <v>81234.333333333998</v>
      </c>
      <c r="J101" s="860">
        <v>24077.246666666699</v>
      </c>
      <c r="K101" s="860">
        <f t="shared" si="24"/>
        <v>31210.866666666701</v>
      </c>
      <c r="L101" s="860">
        <f t="shared" si="25"/>
        <v>7133.6200000000199</v>
      </c>
      <c r="M101" s="860"/>
      <c r="N101" s="860"/>
      <c r="O101" s="860">
        <f t="shared" si="26"/>
        <v>0</v>
      </c>
      <c r="P101" s="860">
        <f>12*K101</f>
        <v>374530.4</v>
      </c>
      <c r="Q101" s="860">
        <f>N101*12</f>
        <v>0</v>
      </c>
    </row>
    <row r="102" spans="1:17" ht="20.100000000000001" customHeight="1" x14ac:dyDescent="0.5">
      <c r="A102" s="2"/>
      <c r="B102" s="18" t="s">
        <v>111</v>
      </c>
      <c r="C102" s="19">
        <v>5</v>
      </c>
      <c r="D102" s="24"/>
      <c r="E102" s="78">
        <f t="shared" ref="E102:Q102" si="32">SUM(E97:E101)</f>
        <v>2966505.25</v>
      </c>
      <c r="F102" s="856">
        <f t="shared" si="32"/>
        <v>2274062.5833333302</v>
      </c>
      <c r="G102" s="78">
        <f t="shared" si="32"/>
        <v>1367479.08333333</v>
      </c>
      <c r="H102" s="78">
        <f t="shared" si="32"/>
        <v>3641541.6666666698</v>
      </c>
      <c r="I102" s="78">
        <f t="shared" si="32"/>
        <v>675036.41666666802</v>
      </c>
      <c r="J102" s="78">
        <f t="shared" si="32"/>
        <v>236916.15</v>
      </c>
      <c r="K102" s="78">
        <f t="shared" si="32"/>
        <v>291323.33333333302</v>
      </c>
      <c r="L102" s="78">
        <f t="shared" si="32"/>
        <v>54407.183333333203</v>
      </c>
      <c r="M102" s="78">
        <f t="shared" si="32"/>
        <v>24222.28125</v>
      </c>
      <c r="N102" s="78">
        <f t="shared" si="32"/>
        <v>34198.652083333298</v>
      </c>
      <c r="O102" s="78">
        <f t="shared" si="32"/>
        <v>9976.3708333332997</v>
      </c>
      <c r="P102" s="78">
        <f t="shared" si="32"/>
        <v>3495879.9999999902</v>
      </c>
      <c r="Q102" s="78">
        <f t="shared" si="32"/>
        <v>410383.82499999902</v>
      </c>
    </row>
    <row r="103" spans="1:17" ht="20.100000000000001" customHeight="1" x14ac:dyDescent="0.2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 x14ac:dyDescent="0.2">
      <c r="A104" s="2"/>
      <c r="B104" s="18" t="s">
        <v>221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853">
        <v>1086777.08333333</v>
      </c>
      <c r="G105" s="186">
        <v>660329.33333333302</v>
      </c>
      <c r="H105" s="855">
        <f>F105+G105</f>
        <v>1747106.41666666</v>
      </c>
      <c r="I105" s="186">
        <f t="shared" ref="I105:I136" si="33">H105-E105</f>
        <v>311386.41666665999</v>
      </c>
      <c r="J105" s="860">
        <v>114857.60000000001</v>
      </c>
      <c r="K105" s="860">
        <f t="shared" ref="K105:K111" si="34">H105*0.08</f>
        <v>139768.51333333299</v>
      </c>
      <c r="L105" s="860">
        <f>K105-J105</f>
        <v>24910.913333332799</v>
      </c>
      <c r="M105" s="860">
        <v>0</v>
      </c>
      <c r="N105" s="860"/>
      <c r="O105" s="860">
        <f t="shared" ref="O105:O136" si="35">N105-M105</f>
        <v>0</v>
      </c>
      <c r="P105" s="860">
        <f>K105*12</f>
        <v>1677222.16</v>
      </c>
      <c r="Q105" s="860"/>
    </row>
    <row r="106" spans="1:17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853">
        <v>554669.5</v>
      </c>
      <c r="G106" s="186">
        <v>350637.25</v>
      </c>
      <c r="H106" s="855">
        <f t="shared" ref="H106:H111" si="36">F106+G106</f>
        <v>905306.75</v>
      </c>
      <c r="I106" s="186">
        <f t="shared" si="33"/>
        <v>142933.58333333299</v>
      </c>
      <c r="J106" s="860">
        <v>60989.853333333303</v>
      </c>
      <c r="K106" s="860">
        <f t="shared" si="34"/>
        <v>72424.539999999994</v>
      </c>
      <c r="L106" s="860">
        <f t="shared" ref="L106:L117" si="37">K106-J106</f>
        <v>11434.686666666699</v>
      </c>
      <c r="M106" s="860">
        <v>10293.3979166667</v>
      </c>
      <c r="N106" s="860">
        <f t="shared" ref="N106:N111" si="38">0.025*F106</f>
        <v>13866.737499999999</v>
      </c>
      <c r="O106" s="860">
        <f t="shared" si="35"/>
        <v>3573.3395833333002</v>
      </c>
      <c r="P106" s="860">
        <f t="shared" ref="P106:P111" si="39">K106*12</f>
        <v>869094.48</v>
      </c>
      <c r="Q106" s="860">
        <f>N106*12</f>
        <v>166400.85</v>
      </c>
    </row>
    <row r="107" spans="1:17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853">
        <v>337730.83333333302</v>
      </c>
      <c r="G107" s="186">
        <v>203620.5</v>
      </c>
      <c r="H107" s="855">
        <f t="shared" si="36"/>
        <v>541351.33333333302</v>
      </c>
      <c r="I107" s="186">
        <f t="shared" si="33"/>
        <v>99546.416666666002</v>
      </c>
      <c r="J107" s="860">
        <v>35344.393333333297</v>
      </c>
      <c r="K107" s="860">
        <f t="shared" si="34"/>
        <v>43308.106666666601</v>
      </c>
      <c r="L107" s="860">
        <f t="shared" si="37"/>
        <v>7963.7133333333504</v>
      </c>
      <c r="M107" s="860">
        <v>5954.6104166666701</v>
      </c>
      <c r="N107" s="860">
        <f t="shared" si="38"/>
        <v>8443.2708333333303</v>
      </c>
      <c r="O107" s="860">
        <f t="shared" si="35"/>
        <v>2488.6604166666598</v>
      </c>
      <c r="P107" s="860">
        <f t="shared" si="39"/>
        <v>519697.28</v>
      </c>
      <c r="Q107" s="860">
        <f>N107*12</f>
        <v>101319.25</v>
      </c>
    </row>
    <row r="108" spans="1:17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229</v>
      </c>
      <c r="E108" s="70">
        <v>441804.91666666698</v>
      </c>
      <c r="F108" s="853">
        <v>338365.25</v>
      </c>
      <c r="G108" s="186">
        <v>204054.25</v>
      </c>
      <c r="H108" s="855">
        <f t="shared" si="36"/>
        <v>542419.5</v>
      </c>
      <c r="I108" s="186">
        <f t="shared" si="33"/>
        <v>100614.58333333299</v>
      </c>
      <c r="J108" s="860">
        <v>35344.393333333297</v>
      </c>
      <c r="K108" s="860">
        <f t="shared" si="34"/>
        <v>43393.56</v>
      </c>
      <c r="L108" s="860">
        <f t="shared" si="37"/>
        <v>8049.1666666666997</v>
      </c>
      <c r="M108" s="860"/>
      <c r="N108" s="860"/>
      <c r="O108" s="860">
        <f t="shared" si="35"/>
        <v>0</v>
      </c>
      <c r="P108" s="860">
        <f t="shared" si="39"/>
        <v>520722.72</v>
      </c>
      <c r="Q108" s="860"/>
    </row>
    <row r="109" spans="1:17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232</v>
      </c>
      <c r="E109" s="186">
        <v>255320.58333333299</v>
      </c>
      <c r="F109" s="853">
        <v>213104.41666666701</v>
      </c>
      <c r="G109" s="186">
        <v>116846</v>
      </c>
      <c r="H109" s="855">
        <f t="shared" si="36"/>
        <v>329950.41666666698</v>
      </c>
      <c r="I109" s="186">
        <f t="shared" si="33"/>
        <v>74629.833333333998</v>
      </c>
      <c r="J109" s="860">
        <v>19931.8733333333</v>
      </c>
      <c r="K109" s="860">
        <f t="shared" si="34"/>
        <v>26396.033333333398</v>
      </c>
      <c r="L109" s="860">
        <f t="shared" si="37"/>
        <v>6464.1600000000599</v>
      </c>
      <c r="M109" s="860"/>
      <c r="N109" s="860"/>
      <c r="O109" s="860">
        <f t="shared" si="35"/>
        <v>0</v>
      </c>
      <c r="P109" s="860">
        <f t="shared" si="39"/>
        <v>316752.40000000002</v>
      </c>
      <c r="Q109" s="860"/>
    </row>
    <row r="110" spans="1:17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96</v>
      </c>
      <c r="E110" s="186">
        <v>255849</v>
      </c>
      <c r="F110" s="853">
        <v>212792.16666666701</v>
      </c>
      <c r="G110" s="186">
        <v>117614.91666666701</v>
      </c>
      <c r="H110" s="855">
        <f t="shared" si="36"/>
        <v>330407.08333333401</v>
      </c>
      <c r="I110" s="186">
        <f t="shared" si="33"/>
        <v>74558.083333333998</v>
      </c>
      <c r="J110" s="860">
        <v>21053.226666666698</v>
      </c>
      <c r="K110" s="860">
        <f t="shared" si="34"/>
        <v>26432.566666666698</v>
      </c>
      <c r="L110" s="860">
        <f t="shared" si="37"/>
        <v>5379.3400000000202</v>
      </c>
      <c r="M110" s="860"/>
      <c r="N110" s="860"/>
      <c r="O110" s="860">
        <f t="shared" si="35"/>
        <v>0</v>
      </c>
      <c r="P110" s="860">
        <f t="shared" si="39"/>
        <v>317190.80000000098</v>
      </c>
      <c r="Q110" s="860"/>
    </row>
    <row r="111" spans="1:17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206</v>
      </c>
      <c r="E111" s="186">
        <v>236804.08333333299</v>
      </c>
      <c r="F111" s="853">
        <v>200549.41666666701</v>
      </c>
      <c r="G111" s="186">
        <v>108371.25</v>
      </c>
      <c r="H111" s="855">
        <f t="shared" si="36"/>
        <v>308920.66666666698</v>
      </c>
      <c r="I111" s="186">
        <f t="shared" si="33"/>
        <v>72116.583333333998</v>
      </c>
      <c r="J111" s="860">
        <v>18450.553333333301</v>
      </c>
      <c r="K111" s="860">
        <f t="shared" si="34"/>
        <v>24713.653333333401</v>
      </c>
      <c r="L111" s="860">
        <f t="shared" si="37"/>
        <v>6263.1000000000604</v>
      </c>
      <c r="M111" s="860"/>
      <c r="N111" s="860">
        <f t="shared" si="38"/>
        <v>5013.7354166666801</v>
      </c>
      <c r="O111" s="860">
        <f t="shared" si="35"/>
        <v>5013.7354166666801</v>
      </c>
      <c r="P111" s="860">
        <f t="shared" si="39"/>
        <v>296563.84000000003</v>
      </c>
      <c r="Q111" s="860"/>
    </row>
    <row r="112" spans="1:17" ht="25.5" customHeight="1" x14ac:dyDescent="0.5">
      <c r="A112" s="2"/>
      <c r="B112" s="18" t="s">
        <v>111</v>
      </c>
      <c r="C112" s="19">
        <v>7</v>
      </c>
      <c r="D112" s="2"/>
      <c r="E112" s="189">
        <f t="shared" ref="E112:Q112" si="40">SUM(E105:E111)</f>
        <v>3829676.6666666698</v>
      </c>
      <c r="F112" s="862">
        <f t="shared" si="40"/>
        <v>2943988.66666666</v>
      </c>
      <c r="G112" s="189">
        <f t="shared" si="40"/>
        <v>1761473.5</v>
      </c>
      <c r="H112" s="189">
        <f t="shared" si="40"/>
        <v>4705462.1666666605</v>
      </c>
      <c r="I112" s="189">
        <f t="shared" si="40"/>
        <v>875785.49999999395</v>
      </c>
      <c r="J112" s="189">
        <f t="shared" si="40"/>
        <v>305971.89333333302</v>
      </c>
      <c r="K112" s="189">
        <f t="shared" si="40"/>
        <v>376436.97333333298</v>
      </c>
      <c r="L112" s="189">
        <f t="shared" si="40"/>
        <v>70465.079999999696</v>
      </c>
      <c r="M112" s="189">
        <f t="shared" si="40"/>
        <v>16248.008333333401</v>
      </c>
      <c r="N112" s="189">
        <f t="shared" si="40"/>
        <v>27323.743750000001</v>
      </c>
      <c r="O112" s="189">
        <f t="shared" si="40"/>
        <v>11075.735416666599</v>
      </c>
      <c r="P112" s="189">
        <f t="shared" si="40"/>
        <v>4517243.68</v>
      </c>
      <c r="Q112" s="189">
        <f t="shared" si="40"/>
        <v>267720.09999999998</v>
      </c>
    </row>
    <row r="113" spans="1:17" ht="20.100000000000001" customHeight="1" x14ac:dyDescent="0.5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 x14ac:dyDescent="0.2">
      <c r="A114" s="8"/>
      <c r="B114" s="18" t="s">
        <v>235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 x14ac:dyDescent="0.2">
      <c r="A115" s="8">
        <v>1</v>
      </c>
      <c r="B115" s="9" t="s">
        <v>236</v>
      </c>
      <c r="C115" s="2" t="s">
        <v>237</v>
      </c>
      <c r="D115" s="13" t="s">
        <v>65</v>
      </c>
      <c r="E115" s="70">
        <v>390086.5</v>
      </c>
      <c r="F115" s="853">
        <v>302878.66666666698</v>
      </c>
      <c r="G115" s="186">
        <v>179784</v>
      </c>
      <c r="H115" s="855">
        <f>F115+G115</f>
        <v>482662.66666666698</v>
      </c>
      <c r="I115" s="186">
        <f t="shared" si="33"/>
        <v>92576.166666667006</v>
      </c>
      <c r="J115" s="860">
        <v>30231.613333333298</v>
      </c>
      <c r="K115" s="860">
        <f>H115*0.08</f>
        <v>38613.013333333402</v>
      </c>
      <c r="L115" s="860">
        <f t="shared" si="37"/>
        <v>8381.4000000000597</v>
      </c>
      <c r="M115" s="860"/>
      <c r="N115" s="860"/>
      <c r="O115" s="860">
        <f t="shared" si="35"/>
        <v>0</v>
      </c>
      <c r="P115" s="860">
        <f>12*K115</f>
        <v>463356.16000000102</v>
      </c>
      <c r="Q115" s="860"/>
    </row>
    <row r="116" spans="1:17" ht="18.75" customHeight="1" x14ac:dyDescent="0.2">
      <c r="A116" s="8">
        <v>2</v>
      </c>
      <c r="B116" s="9" t="s">
        <v>238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186">
        <v>174165.25</v>
      </c>
      <c r="H116" s="855">
        <f>F116+G116</f>
        <v>468828.16666666698</v>
      </c>
      <c r="I116" s="186">
        <f t="shared" si="33"/>
        <v>90933</v>
      </c>
      <c r="J116" s="860">
        <v>30231.613333333298</v>
      </c>
      <c r="K116" s="860">
        <f>H116*0.08</f>
        <v>37506.253333333399</v>
      </c>
      <c r="L116" s="860">
        <f t="shared" si="37"/>
        <v>7274.6400000000604</v>
      </c>
      <c r="M116" s="860"/>
      <c r="N116" s="860"/>
      <c r="O116" s="860">
        <f t="shared" si="35"/>
        <v>0</v>
      </c>
      <c r="P116" s="860">
        <f>12*K116</f>
        <v>450075.04000000103</v>
      </c>
      <c r="Q116" s="860"/>
    </row>
    <row r="117" spans="1:17" ht="20.100000000000001" customHeight="1" x14ac:dyDescent="0.2">
      <c r="A117" s="8">
        <v>3</v>
      </c>
      <c r="B117" s="9" t="s">
        <v>177</v>
      </c>
      <c r="C117" s="10" t="s">
        <v>178</v>
      </c>
      <c r="D117" s="13" t="s">
        <v>159</v>
      </c>
      <c r="E117" s="70">
        <v>390248.91666666698</v>
      </c>
      <c r="F117" s="853">
        <v>302987.41666666698</v>
      </c>
      <c r="G117" s="186">
        <v>179859.16666666701</v>
      </c>
      <c r="H117" s="855">
        <f>F117+G117</f>
        <v>482846.58333333401</v>
      </c>
      <c r="I117" s="186">
        <f t="shared" si="33"/>
        <v>92597.666666667006</v>
      </c>
      <c r="J117" s="860">
        <v>31219.91</v>
      </c>
      <c r="K117" s="860">
        <f>H117*0.08</f>
        <v>38627.726666666698</v>
      </c>
      <c r="L117" s="860">
        <f t="shared" si="37"/>
        <v>7407.8166666667203</v>
      </c>
      <c r="M117" s="860">
        <v>5967.3062499999996</v>
      </c>
      <c r="N117" s="860">
        <f>0.025*F117</f>
        <v>7574.6854166666699</v>
      </c>
      <c r="O117" s="860">
        <f t="shared" si="35"/>
        <v>1607.37916666667</v>
      </c>
      <c r="P117" s="860">
        <f>12*K117</f>
        <v>463532.72</v>
      </c>
      <c r="Q117" s="860">
        <f>N117*12</f>
        <v>90896.225000000093</v>
      </c>
    </row>
    <row r="118" spans="1:17" ht="24.75" customHeight="1" x14ac:dyDescent="0.5">
      <c r="A118" s="2"/>
      <c r="B118" s="18" t="s">
        <v>111</v>
      </c>
      <c r="C118" s="19">
        <v>3</v>
      </c>
      <c r="D118" s="24"/>
      <c r="E118" s="78">
        <f t="shared" ref="E118:Q118" si="41">SUM(E115:E117)</f>
        <v>1158230.58333333</v>
      </c>
      <c r="F118" s="856">
        <f t="shared" si="41"/>
        <v>900529.00000000105</v>
      </c>
      <c r="G118" s="78">
        <f t="shared" si="41"/>
        <v>533808.41666666698</v>
      </c>
      <c r="H118" s="78">
        <f t="shared" si="41"/>
        <v>1434337.41666667</v>
      </c>
      <c r="I118" s="78">
        <f t="shared" si="41"/>
        <v>276106.83333333401</v>
      </c>
      <c r="J118" s="78">
        <f t="shared" si="41"/>
        <v>91683.1366666666</v>
      </c>
      <c r="K118" s="78">
        <f t="shared" si="41"/>
        <v>114746.993333334</v>
      </c>
      <c r="L118" s="78">
        <f t="shared" si="41"/>
        <v>23063.856666666801</v>
      </c>
      <c r="M118" s="78">
        <f t="shared" si="41"/>
        <v>5967.3062499999996</v>
      </c>
      <c r="N118" s="78">
        <f t="shared" si="41"/>
        <v>7574.6854166666699</v>
      </c>
      <c r="O118" s="78">
        <f t="shared" si="41"/>
        <v>1607.37916666667</v>
      </c>
      <c r="P118" s="78">
        <f t="shared" si="41"/>
        <v>1376963.92</v>
      </c>
      <c r="Q118" s="78">
        <f t="shared" si="41"/>
        <v>90896.225000000093</v>
      </c>
    </row>
    <row r="119" spans="1:17" ht="24.75" customHeight="1" x14ac:dyDescent="0.5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 x14ac:dyDescent="0.2">
      <c r="A120" s="8"/>
      <c r="B120" s="18" t="s">
        <v>243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 x14ac:dyDescent="0.2">
      <c r="A121" s="8">
        <v>2</v>
      </c>
      <c r="B121" s="9" t="s">
        <v>246</v>
      </c>
      <c r="C121" s="2" t="s">
        <v>247</v>
      </c>
      <c r="D121" s="8" t="s">
        <v>108</v>
      </c>
      <c r="E121" s="70">
        <v>218287.58333333299</v>
      </c>
      <c r="F121" s="853">
        <v>187994.41666666701</v>
      </c>
      <c r="G121" s="186">
        <v>99896.5</v>
      </c>
      <c r="H121" s="855">
        <f>F121+G121</f>
        <v>287890.91666666698</v>
      </c>
      <c r="I121" s="186">
        <f>H121-E121</f>
        <v>69603.333333333998</v>
      </c>
      <c r="J121" s="860">
        <v>17463.006666666599</v>
      </c>
      <c r="K121" s="860">
        <f>H121*0.08</f>
        <v>23031.2733333334</v>
      </c>
      <c r="L121" s="860">
        <f>K121-J121</f>
        <v>5568.2666666667601</v>
      </c>
      <c r="M121" s="860"/>
      <c r="N121" s="860"/>
      <c r="O121" s="860">
        <f t="shared" si="35"/>
        <v>0</v>
      </c>
      <c r="P121" s="860">
        <f>12*K121</f>
        <v>276375.28000000102</v>
      </c>
      <c r="Q121" s="860"/>
    </row>
    <row r="122" spans="1:17" ht="24.75" customHeight="1" x14ac:dyDescent="0.2">
      <c r="A122" s="8">
        <v>3</v>
      </c>
      <c r="B122" s="9" t="s">
        <v>248</v>
      </c>
      <c r="C122" s="2" t="s">
        <v>249</v>
      </c>
      <c r="D122" s="8" t="s">
        <v>108</v>
      </c>
      <c r="E122" s="70">
        <v>218287.58333333299</v>
      </c>
      <c r="F122" s="853">
        <v>187994.41666666701</v>
      </c>
      <c r="G122" s="186">
        <v>99896.5</v>
      </c>
      <c r="H122" s="855">
        <f>F122+G122</f>
        <v>287890.91666666698</v>
      </c>
      <c r="I122" s="186">
        <f>H122-E122</f>
        <v>69603.333333333998</v>
      </c>
      <c r="J122" s="860">
        <v>17463.006666666599</v>
      </c>
      <c r="K122" s="860">
        <f>H122*0.08</f>
        <v>23031.2733333334</v>
      </c>
      <c r="L122" s="860">
        <f>K122-J122</f>
        <v>5568.2666666667601</v>
      </c>
      <c r="M122" s="860"/>
      <c r="N122" s="860"/>
      <c r="O122" s="860">
        <f t="shared" si="35"/>
        <v>0</v>
      </c>
      <c r="P122" s="860">
        <f>12*K122</f>
        <v>276375.28000000102</v>
      </c>
      <c r="Q122" s="860"/>
    </row>
    <row r="123" spans="1:17" ht="20.100000000000001" customHeight="1" x14ac:dyDescent="0.5">
      <c r="A123" s="2"/>
      <c r="B123" s="18" t="s">
        <v>111</v>
      </c>
      <c r="C123" s="19">
        <v>3</v>
      </c>
      <c r="D123" s="24"/>
      <c r="E123" s="78">
        <f t="shared" ref="E123:Q123" si="42">SUM(E121:E122)</f>
        <v>436575.16666666599</v>
      </c>
      <c r="F123" s="856">
        <f t="shared" si="42"/>
        <v>375988.83333333401</v>
      </c>
      <c r="G123" s="78">
        <f t="shared" si="42"/>
        <v>199793</v>
      </c>
      <c r="H123" s="78">
        <f t="shared" si="42"/>
        <v>575781.83333333395</v>
      </c>
      <c r="I123" s="78">
        <f t="shared" si="42"/>
        <v>139206.666666668</v>
      </c>
      <c r="J123" s="78">
        <f t="shared" si="42"/>
        <v>34926.013333333198</v>
      </c>
      <c r="K123" s="78">
        <f t="shared" si="42"/>
        <v>46062.5466666668</v>
      </c>
      <c r="L123" s="78">
        <f t="shared" si="42"/>
        <v>11136.5333333335</v>
      </c>
      <c r="M123" s="78">
        <f t="shared" si="42"/>
        <v>0</v>
      </c>
      <c r="N123" s="78">
        <f t="shared" si="42"/>
        <v>0</v>
      </c>
      <c r="O123" s="78">
        <f t="shared" si="42"/>
        <v>0</v>
      </c>
      <c r="P123" s="78">
        <f t="shared" si="42"/>
        <v>552750.56000000203</v>
      </c>
      <c r="Q123" s="78">
        <f t="shared" si="42"/>
        <v>0</v>
      </c>
    </row>
    <row r="124" spans="1:17" ht="20.100000000000001" customHeight="1" x14ac:dyDescent="0.5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 x14ac:dyDescent="0.2">
      <c r="A125" s="2"/>
      <c r="B125" s="18" t="s">
        <v>250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 x14ac:dyDescent="0.2">
      <c r="A126" s="2">
        <v>1</v>
      </c>
      <c r="B126" s="9" t="s">
        <v>251</v>
      </c>
      <c r="C126" s="10" t="s">
        <v>252</v>
      </c>
      <c r="D126" s="13" t="s">
        <v>115</v>
      </c>
      <c r="E126" s="70">
        <v>1435720</v>
      </c>
      <c r="F126" s="853">
        <v>1086777.08333333</v>
      </c>
      <c r="G126" s="186">
        <v>660329.33333333302</v>
      </c>
      <c r="H126" s="855">
        <f t="shared" ref="H126:H135" si="43">F126+G126</f>
        <v>1747106.41666666</v>
      </c>
      <c r="I126" s="186">
        <f t="shared" ref="I126:I135" si="44">H126-E126</f>
        <v>311386.41666665999</v>
      </c>
      <c r="J126" s="860">
        <v>114857.60000000001</v>
      </c>
      <c r="K126" s="860">
        <f>H126*0.08</f>
        <v>139768.51333333299</v>
      </c>
      <c r="L126" s="860">
        <f t="shared" ref="L126:L135" si="45">K126-J126</f>
        <v>24910.913333332799</v>
      </c>
      <c r="M126" s="860">
        <v>19384.766666666699</v>
      </c>
      <c r="N126" s="860">
        <f>0.025*F126</f>
        <v>27169.427083333299</v>
      </c>
      <c r="O126" s="860">
        <f t="shared" si="35"/>
        <v>7784.6604166666002</v>
      </c>
      <c r="P126" s="860">
        <f>12*K126</f>
        <v>1677222.16</v>
      </c>
      <c r="Q126" s="860">
        <f>N126*12</f>
        <v>326033.12499999901</v>
      </c>
    </row>
    <row r="127" spans="1:17" ht="20.100000000000001" customHeight="1" x14ac:dyDescent="0.2">
      <c r="A127" s="2">
        <v>2</v>
      </c>
      <c r="B127" s="9" t="s">
        <v>253</v>
      </c>
      <c r="C127" s="10" t="s">
        <v>254</v>
      </c>
      <c r="D127" s="13" t="s">
        <v>154</v>
      </c>
      <c r="E127" s="70">
        <v>762373.16666666698</v>
      </c>
      <c r="F127" s="853">
        <v>554669.5</v>
      </c>
      <c r="G127" s="186">
        <v>350637.25</v>
      </c>
      <c r="H127" s="855">
        <f t="shared" si="43"/>
        <v>905306.75</v>
      </c>
      <c r="I127" s="186">
        <f t="shared" si="44"/>
        <v>142933.58333333299</v>
      </c>
      <c r="J127" s="860">
        <v>59136.286666666703</v>
      </c>
      <c r="K127" s="860">
        <f t="shared" ref="K127:K135" si="46">H127*0.08</f>
        <v>72424.539999999994</v>
      </c>
      <c r="L127" s="860">
        <f t="shared" si="45"/>
        <v>13288.253333333299</v>
      </c>
      <c r="M127" s="860">
        <v>9980.5666666666693</v>
      </c>
      <c r="N127" s="860">
        <f>0.025*F127</f>
        <v>13866.737499999999</v>
      </c>
      <c r="O127" s="860">
        <f t="shared" si="35"/>
        <v>3886.1708333333299</v>
      </c>
      <c r="P127" s="860">
        <f t="shared" ref="P127:P135" si="47">12*K127</f>
        <v>869094.48</v>
      </c>
      <c r="Q127" s="860">
        <f t="shared" ref="Q127:Q135" si="48">N127*12</f>
        <v>166400.85</v>
      </c>
    </row>
    <row r="128" spans="1:17" ht="20.100000000000001" customHeight="1" x14ac:dyDescent="0.2">
      <c r="A128" s="2">
        <v>3</v>
      </c>
      <c r="B128" s="12" t="s">
        <v>255</v>
      </c>
      <c r="C128" s="10" t="s">
        <v>256</v>
      </c>
      <c r="D128" s="13" t="s">
        <v>192</v>
      </c>
      <c r="E128" s="70">
        <v>716034</v>
      </c>
      <c r="F128" s="853">
        <v>523386.5</v>
      </c>
      <c r="G128" s="186">
        <v>329324.58333333302</v>
      </c>
      <c r="H128" s="855">
        <f t="shared" si="43"/>
        <v>852711.08333333302</v>
      </c>
      <c r="I128" s="186">
        <f t="shared" si="44"/>
        <v>136677.08333333299</v>
      </c>
      <c r="J128" s="860">
        <v>59136.286666666703</v>
      </c>
      <c r="K128" s="860">
        <f t="shared" si="46"/>
        <v>68216.8866666666</v>
      </c>
      <c r="L128" s="860">
        <f t="shared" si="45"/>
        <v>9080.5999999999403</v>
      </c>
      <c r="M128" s="860">
        <v>9980.5666666666693</v>
      </c>
      <c r="N128" s="860">
        <f>0.025*F128</f>
        <v>13084.6625</v>
      </c>
      <c r="O128" s="860">
        <f t="shared" si="35"/>
        <v>3104.0958333333301</v>
      </c>
      <c r="P128" s="860">
        <f t="shared" si="47"/>
        <v>818602.63999999897</v>
      </c>
      <c r="Q128" s="860">
        <f t="shared" si="48"/>
        <v>157015.95000000001</v>
      </c>
    </row>
    <row r="129" spans="1:17" ht="20.100000000000001" customHeight="1" x14ac:dyDescent="0.2">
      <c r="A129" s="2">
        <v>4</v>
      </c>
      <c r="B129" s="9" t="s">
        <v>257</v>
      </c>
      <c r="C129" s="10" t="s">
        <v>258</v>
      </c>
      <c r="D129" s="13" t="s">
        <v>41</v>
      </c>
      <c r="E129" s="70">
        <v>484373.75</v>
      </c>
      <c r="F129" s="853">
        <v>366417.5</v>
      </c>
      <c r="G129" s="186">
        <v>223239.5</v>
      </c>
      <c r="H129" s="855">
        <f t="shared" si="43"/>
        <v>589657</v>
      </c>
      <c r="I129" s="186">
        <f t="shared" si="44"/>
        <v>105283.25</v>
      </c>
      <c r="J129" s="860">
        <v>37639.839999999997</v>
      </c>
      <c r="K129" s="860">
        <f t="shared" si="46"/>
        <v>47172.56</v>
      </c>
      <c r="L129" s="860">
        <f t="shared" si="45"/>
        <v>9532.7199999999993</v>
      </c>
      <c r="M129" s="860">
        <v>0</v>
      </c>
      <c r="N129" s="860"/>
      <c r="O129" s="860">
        <f t="shared" si="35"/>
        <v>0</v>
      </c>
      <c r="P129" s="860">
        <f t="shared" si="47"/>
        <v>566070.72</v>
      </c>
      <c r="Q129" s="860">
        <f t="shared" si="48"/>
        <v>0</v>
      </c>
    </row>
    <row r="130" spans="1:17" ht="20.100000000000001" customHeight="1" x14ac:dyDescent="0.2">
      <c r="A130" s="2">
        <v>5</v>
      </c>
      <c r="B130" s="9" t="s">
        <v>259</v>
      </c>
      <c r="C130" s="10" t="s">
        <v>489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43"/>
        <v>558165.25</v>
      </c>
      <c r="I130" s="186">
        <f t="shared" si="44"/>
        <v>101543</v>
      </c>
      <c r="J130" s="860">
        <v>35419.72</v>
      </c>
      <c r="K130" s="860">
        <f t="shared" si="46"/>
        <v>44653.22</v>
      </c>
      <c r="L130" s="860">
        <f t="shared" si="45"/>
        <v>9233.5</v>
      </c>
      <c r="M130" s="860">
        <v>5967.3062499999996</v>
      </c>
      <c r="N130" s="860">
        <f t="shared" ref="N130:N135" si="49">0.025*F130</f>
        <v>8692.8979166666704</v>
      </c>
      <c r="O130" s="860">
        <f t="shared" si="35"/>
        <v>2725.5916666666699</v>
      </c>
      <c r="P130" s="860">
        <f t="shared" si="47"/>
        <v>535838.64</v>
      </c>
      <c r="Q130" s="860">
        <f t="shared" si="48"/>
        <v>104314.77499999999</v>
      </c>
    </row>
    <row r="131" spans="1:17" ht="20.100000000000001" customHeight="1" x14ac:dyDescent="0.2">
      <c r="A131" s="2">
        <v>6</v>
      </c>
      <c r="B131" s="9" t="s">
        <v>260</v>
      </c>
      <c r="C131" s="10" t="s">
        <v>258</v>
      </c>
      <c r="D131" s="13" t="s">
        <v>176</v>
      </c>
      <c r="E131" s="70">
        <v>470498</v>
      </c>
      <c r="F131" s="853">
        <v>357066.66666666698</v>
      </c>
      <c r="G131" s="186">
        <v>216844.41666666701</v>
      </c>
      <c r="H131" s="855">
        <f t="shared" si="43"/>
        <v>573911.08333333395</v>
      </c>
      <c r="I131" s="186">
        <f t="shared" si="44"/>
        <v>103413.083333334</v>
      </c>
      <c r="J131" s="860">
        <v>36529.78</v>
      </c>
      <c r="K131" s="860">
        <f t="shared" si="46"/>
        <v>45912.886666666702</v>
      </c>
      <c r="L131" s="860">
        <f t="shared" si="45"/>
        <v>9383.1066666667193</v>
      </c>
      <c r="M131" s="860">
        <v>6154.3229166666697</v>
      </c>
      <c r="N131" s="860">
        <f t="shared" si="49"/>
        <v>8926.6666666666806</v>
      </c>
      <c r="O131" s="860">
        <f t="shared" si="35"/>
        <v>2772.34375000001</v>
      </c>
      <c r="P131" s="860">
        <f t="shared" si="47"/>
        <v>550954.64</v>
      </c>
      <c r="Q131" s="860">
        <f t="shared" si="48"/>
        <v>107120</v>
      </c>
    </row>
    <row r="132" spans="1:17" ht="20.100000000000001" customHeight="1" x14ac:dyDescent="0.2">
      <c r="A132" s="2">
        <v>7</v>
      </c>
      <c r="B132" s="9" t="s">
        <v>263</v>
      </c>
      <c r="C132" s="10" t="s">
        <v>264</v>
      </c>
      <c r="D132" s="8" t="s">
        <v>79</v>
      </c>
      <c r="E132" s="70">
        <v>277798</v>
      </c>
      <c r="F132" s="853">
        <v>227615.75</v>
      </c>
      <c r="G132" s="186">
        <v>127704.91666666701</v>
      </c>
      <c r="H132" s="855">
        <f t="shared" si="43"/>
        <v>355320.66666666698</v>
      </c>
      <c r="I132" s="186">
        <f t="shared" si="44"/>
        <v>77522.666666667006</v>
      </c>
      <c r="J132" s="860">
        <v>21638.5333333333</v>
      </c>
      <c r="K132" s="860">
        <f t="shared" si="46"/>
        <v>28425.653333333401</v>
      </c>
      <c r="L132" s="860">
        <f t="shared" si="45"/>
        <v>6787.1200000000599</v>
      </c>
      <c r="M132" s="860"/>
      <c r="N132" s="860"/>
      <c r="O132" s="860">
        <f t="shared" si="35"/>
        <v>0</v>
      </c>
      <c r="P132" s="860">
        <f t="shared" si="47"/>
        <v>341107.84000000102</v>
      </c>
      <c r="Q132" s="860">
        <f t="shared" si="48"/>
        <v>0</v>
      </c>
    </row>
    <row r="133" spans="1:17" ht="20.100000000000001" customHeight="1" x14ac:dyDescent="0.2">
      <c r="A133" s="2">
        <v>8</v>
      </c>
      <c r="B133" s="16" t="s">
        <v>265</v>
      </c>
      <c r="C133" s="10" t="s">
        <v>266</v>
      </c>
      <c r="D133" s="13" t="s">
        <v>102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43"/>
        <v>301910.75</v>
      </c>
      <c r="I133" s="186">
        <f t="shared" si="44"/>
        <v>71278.833333332994</v>
      </c>
      <c r="J133" s="860">
        <v>17956.78</v>
      </c>
      <c r="K133" s="860">
        <f t="shared" si="46"/>
        <v>24152.86</v>
      </c>
      <c r="L133" s="860">
        <f t="shared" si="45"/>
        <v>6196.08</v>
      </c>
      <c r="M133" s="860">
        <v>0</v>
      </c>
      <c r="N133" s="860">
        <f>0.025*F133</f>
        <v>4909.1104166666801</v>
      </c>
      <c r="O133" s="860">
        <f t="shared" si="35"/>
        <v>4909.1104166666801</v>
      </c>
      <c r="P133" s="860">
        <f t="shared" si="47"/>
        <v>289834.32</v>
      </c>
      <c r="Q133" s="860">
        <f t="shared" si="48"/>
        <v>58909.325000000099</v>
      </c>
    </row>
    <row r="134" spans="1:17" ht="20.100000000000001" customHeight="1" x14ac:dyDescent="0.2">
      <c r="A134" s="2">
        <v>9</v>
      </c>
      <c r="B134" s="16" t="s">
        <v>267</v>
      </c>
      <c r="C134" s="10" t="s">
        <v>262</v>
      </c>
      <c r="D134" s="13" t="s">
        <v>102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43"/>
        <v>301910.75</v>
      </c>
      <c r="I134" s="186">
        <f t="shared" si="44"/>
        <v>71278.833333332994</v>
      </c>
      <c r="J134" s="860">
        <v>17956.78</v>
      </c>
      <c r="K134" s="860">
        <f t="shared" si="46"/>
        <v>24152.86</v>
      </c>
      <c r="L134" s="860">
        <f t="shared" si="45"/>
        <v>6196.08</v>
      </c>
      <c r="M134" s="860">
        <v>0</v>
      </c>
      <c r="N134" s="860">
        <f t="shared" si="49"/>
        <v>4909.1104166666801</v>
      </c>
      <c r="O134" s="860">
        <f t="shared" si="35"/>
        <v>4909.1104166666801</v>
      </c>
      <c r="P134" s="860">
        <f t="shared" si="47"/>
        <v>289834.32</v>
      </c>
      <c r="Q134" s="860">
        <f t="shared" si="48"/>
        <v>58909.325000000099</v>
      </c>
    </row>
    <row r="135" spans="1:17" ht="20.100000000000001" customHeight="1" x14ac:dyDescent="0.2">
      <c r="A135" s="2">
        <v>10</v>
      </c>
      <c r="B135" s="16" t="s">
        <v>268</v>
      </c>
      <c r="C135" s="10" t="s">
        <v>266</v>
      </c>
      <c r="D135" s="13" t="s">
        <v>105</v>
      </c>
      <c r="E135" s="70">
        <v>224459.75</v>
      </c>
      <c r="F135" s="853">
        <v>192179.41666666701</v>
      </c>
      <c r="G135" s="863">
        <v>102721.41666666701</v>
      </c>
      <c r="H135" s="864">
        <f t="shared" si="43"/>
        <v>294900.83333333401</v>
      </c>
      <c r="I135" s="863">
        <f t="shared" si="44"/>
        <v>70441.083333333998</v>
      </c>
      <c r="J135" s="866">
        <v>17463.006666666599</v>
      </c>
      <c r="K135" s="860">
        <f t="shared" si="46"/>
        <v>23592.066666666698</v>
      </c>
      <c r="L135" s="860">
        <f t="shared" si="45"/>
        <v>6129.0600000001205</v>
      </c>
      <c r="M135" s="860"/>
      <c r="N135" s="860">
        <f t="shared" si="49"/>
        <v>4804.4854166666801</v>
      </c>
      <c r="O135" s="860">
        <f t="shared" si="35"/>
        <v>4804.4854166666801</v>
      </c>
      <c r="P135" s="860">
        <f t="shared" si="47"/>
        <v>283104.8</v>
      </c>
      <c r="Q135" s="860">
        <f t="shared" si="48"/>
        <v>57653.825000000099</v>
      </c>
    </row>
    <row r="136" spans="1:17" ht="28.5" customHeight="1" x14ac:dyDescent="0.2">
      <c r="A136" s="2"/>
      <c r="B136" s="18" t="s">
        <v>111</v>
      </c>
      <c r="C136" s="24" t="s">
        <v>490</v>
      </c>
      <c r="D136" s="13"/>
      <c r="E136" s="122">
        <f t="shared" ref="E136:Q136" si="50">SUM(E126:E135)</f>
        <v>5289142.75</v>
      </c>
      <c r="F136" s="857">
        <f t="shared" si="50"/>
        <v>4048557.1666666698</v>
      </c>
      <c r="G136" s="187">
        <f t="shared" si="50"/>
        <v>2432343.4166666698</v>
      </c>
      <c r="H136" s="187">
        <f t="shared" si="50"/>
        <v>6480900.5833333302</v>
      </c>
      <c r="I136" s="187">
        <f t="shared" si="50"/>
        <v>1191757.83333333</v>
      </c>
      <c r="J136" s="187">
        <f t="shared" si="50"/>
        <v>417734.61333333299</v>
      </c>
      <c r="K136" s="187">
        <f t="shared" si="50"/>
        <v>518472.04666666599</v>
      </c>
      <c r="L136" s="187">
        <f t="shared" si="50"/>
        <v>100737.433333333</v>
      </c>
      <c r="M136" s="187">
        <f t="shared" si="50"/>
        <v>51467.529166666704</v>
      </c>
      <c r="N136" s="187">
        <f t="shared" si="50"/>
        <v>86363.097916666695</v>
      </c>
      <c r="O136" s="187">
        <f t="shared" si="50"/>
        <v>34895.568749999999</v>
      </c>
      <c r="P136" s="187">
        <f t="shared" si="50"/>
        <v>6221664.5599999996</v>
      </c>
      <c r="Q136" s="187">
        <f t="shared" si="50"/>
        <v>1036357.175</v>
      </c>
    </row>
    <row r="137" spans="1:17" ht="20.100000000000001" customHeight="1" x14ac:dyDescent="0.2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 x14ac:dyDescent="0.2">
      <c r="A138" s="2"/>
      <c r="B138" s="18" t="s">
        <v>270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 x14ac:dyDescent="0.2">
      <c r="A139" s="25">
        <v>1</v>
      </c>
      <c r="B139" s="12" t="s">
        <v>271</v>
      </c>
      <c r="C139" s="2" t="s">
        <v>272</v>
      </c>
      <c r="D139" s="8" t="s">
        <v>273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>F139+G139</f>
        <v>1647612</v>
      </c>
      <c r="I139" s="186">
        <f t="shared" ref="I136:I198" si="51">H139-E139</f>
        <v>295569.33333333</v>
      </c>
      <c r="J139" s="860">
        <v>114857.60000000001</v>
      </c>
      <c r="K139" s="860">
        <f>H139*0.08</f>
        <v>131808.95999999999</v>
      </c>
      <c r="L139" s="860">
        <f>K139-J139</f>
        <v>16951.36</v>
      </c>
      <c r="M139" s="860">
        <v>18254.974999999999</v>
      </c>
      <c r="N139" s="860">
        <f>0.025*F139</f>
        <v>25644.208333333299</v>
      </c>
      <c r="O139" s="860">
        <f t="shared" ref="O137:O168" si="52">N139-M139</f>
        <v>7389.2333333332999</v>
      </c>
      <c r="P139" s="860">
        <f>12*K139</f>
        <v>1581707.52</v>
      </c>
      <c r="Q139" s="860">
        <f>N139*12</f>
        <v>307730.49999999901</v>
      </c>
    </row>
    <row r="140" spans="1:17" ht="20.100000000000001" customHeight="1" x14ac:dyDescent="0.2">
      <c r="A140" s="25">
        <v>2</v>
      </c>
      <c r="B140" s="12" t="s">
        <v>274</v>
      </c>
      <c r="C140" s="2" t="s">
        <v>275</v>
      </c>
      <c r="D140" s="14" t="s">
        <v>154</v>
      </c>
      <c r="E140" s="70">
        <v>762373.16666666698</v>
      </c>
      <c r="F140" s="853">
        <v>554669.5</v>
      </c>
      <c r="G140" s="186">
        <v>350637.25</v>
      </c>
      <c r="H140" s="186">
        <f t="shared" ref="H140:H163" si="53">F140+G140</f>
        <v>905306.75</v>
      </c>
      <c r="I140" s="186">
        <f t="shared" si="51"/>
        <v>142933.58333333299</v>
      </c>
      <c r="J140" s="860">
        <v>60989.853333333303</v>
      </c>
      <c r="K140" s="860">
        <f t="shared" ref="K140:K171" si="54">H140*0.08</f>
        <v>72424.539999999994</v>
      </c>
      <c r="L140" s="860">
        <f t="shared" ref="L140:L171" si="55">K140-J140</f>
        <v>11434.686666666699</v>
      </c>
      <c r="M140" s="860">
        <v>10293.3979166667</v>
      </c>
      <c r="N140" s="860">
        <f>0.025*F140</f>
        <v>13866.737499999999</v>
      </c>
      <c r="O140" s="860">
        <f t="shared" si="52"/>
        <v>3573.3395833333002</v>
      </c>
      <c r="P140" s="860">
        <f t="shared" ref="P140:P186" si="56">12*K140</f>
        <v>869094.48</v>
      </c>
      <c r="Q140" s="860">
        <f t="shared" ref="Q140:Q176" si="57">N140*12</f>
        <v>166400.85</v>
      </c>
    </row>
    <row r="141" spans="1:17" ht="20.100000000000001" customHeight="1" x14ac:dyDescent="0.2">
      <c r="A141" s="25">
        <v>3</v>
      </c>
      <c r="B141" s="9" t="s">
        <v>276</v>
      </c>
      <c r="C141" s="10" t="s">
        <v>277</v>
      </c>
      <c r="D141" s="13" t="s">
        <v>49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53"/>
        <v>700713.91666666605</v>
      </c>
      <c r="I141" s="186">
        <f t="shared" si="51"/>
        <v>118595.83333333299</v>
      </c>
      <c r="J141" s="860">
        <v>46569.45</v>
      </c>
      <c r="K141" s="860">
        <f t="shared" si="54"/>
        <v>56057.113333333298</v>
      </c>
      <c r="L141" s="860">
        <f t="shared" si="55"/>
        <v>9487.6633333332902</v>
      </c>
      <c r="M141" s="860">
        <v>8380.2270833333296</v>
      </c>
      <c r="N141" s="860">
        <f>0.025*F141</f>
        <v>10824.5270833333</v>
      </c>
      <c r="O141" s="860">
        <f t="shared" si="52"/>
        <v>2444.2999999999702</v>
      </c>
      <c r="P141" s="860">
        <f t="shared" si="56"/>
        <v>672685.35999999905</v>
      </c>
      <c r="Q141" s="860">
        <f t="shared" si="57"/>
        <v>129894.325</v>
      </c>
    </row>
    <row r="142" spans="1:17" ht="20.100000000000001" customHeight="1" x14ac:dyDescent="0.2">
      <c r="A142" s="25">
        <v>4</v>
      </c>
      <c r="B142" s="9" t="s">
        <v>278</v>
      </c>
      <c r="C142" s="2" t="s">
        <v>279</v>
      </c>
      <c r="D142" s="13" t="s">
        <v>49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53"/>
        <v>700713.91666666605</v>
      </c>
      <c r="I142" s="186">
        <f t="shared" si="51"/>
        <v>118594.83333333299</v>
      </c>
      <c r="J142" s="860">
        <v>46569.45</v>
      </c>
      <c r="K142" s="860">
        <f t="shared" si="54"/>
        <v>56057.113333333298</v>
      </c>
      <c r="L142" s="860">
        <f t="shared" si="55"/>
        <v>9487.6633333332902</v>
      </c>
      <c r="M142" s="860">
        <v>8381.2270833333296</v>
      </c>
      <c r="N142" s="860">
        <f>0.025*F142</f>
        <v>10824.5270833333</v>
      </c>
      <c r="O142" s="860">
        <f t="shared" si="52"/>
        <v>2443.2999999999702</v>
      </c>
      <c r="P142" s="860">
        <f t="shared" si="56"/>
        <v>672685.35999999905</v>
      </c>
      <c r="Q142" s="860">
        <f t="shared" si="57"/>
        <v>129894.325</v>
      </c>
    </row>
    <row r="143" spans="1:17" ht="20.100000000000001" customHeight="1" x14ac:dyDescent="0.2">
      <c r="A143" s="25">
        <v>5</v>
      </c>
      <c r="B143" s="9" t="s">
        <v>280</v>
      </c>
      <c r="C143" s="2" t="s">
        <v>279</v>
      </c>
      <c r="D143" s="13" t="s">
        <v>49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53"/>
        <v>700713.91666666605</v>
      </c>
      <c r="I143" s="186">
        <f t="shared" si="51"/>
        <v>118593.83333333299</v>
      </c>
      <c r="J143" s="860">
        <v>46569.45</v>
      </c>
      <c r="K143" s="860">
        <f t="shared" si="54"/>
        <v>56057.113333333298</v>
      </c>
      <c r="L143" s="860">
        <f t="shared" si="55"/>
        <v>9487.6633333332902</v>
      </c>
      <c r="M143" s="860">
        <v>8382.2270833333296</v>
      </c>
      <c r="N143" s="860">
        <f t="shared" ref="N143:N148" si="58">0.025*F143</f>
        <v>10824.5270833333</v>
      </c>
      <c r="O143" s="860">
        <f t="shared" si="52"/>
        <v>2442.3000000000002</v>
      </c>
      <c r="P143" s="860">
        <f t="shared" si="56"/>
        <v>672685.35999999905</v>
      </c>
      <c r="Q143" s="860">
        <f t="shared" si="57"/>
        <v>129894.325</v>
      </c>
    </row>
    <row r="144" spans="1:17" ht="20.100000000000001" customHeight="1" x14ac:dyDescent="0.2">
      <c r="A144" s="25">
        <v>6</v>
      </c>
      <c r="B144" s="9" t="s">
        <v>281</v>
      </c>
      <c r="C144" s="10" t="s">
        <v>214</v>
      </c>
      <c r="D144" s="13" t="s">
        <v>159</v>
      </c>
      <c r="E144" s="70">
        <v>390248.91666666698</v>
      </c>
      <c r="F144" s="853">
        <v>302987.41666666698</v>
      </c>
      <c r="G144" s="186">
        <v>179859.16666666701</v>
      </c>
      <c r="H144" s="186">
        <f t="shared" si="53"/>
        <v>482846.58333333401</v>
      </c>
      <c r="I144" s="186">
        <f t="shared" si="51"/>
        <v>92597.666666667006</v>
      </c>
      <c r="J144" s="860">
        <v>31219.91</v>
      </c>
      <c r="K144" s="860">
        <f t="shared" si="54"/>
        <v>38627.726666666698</v>
      </c>
      <c r="L144" s="860">
        <f t="shared" si="55"/>
        <v>7407.8166666667203</v>
      </c>
      <c r="M144" s="860">
        <v>0</v>
      </c>
      <c r="N144" s="860"/>
      <c r="O144" s="860">
        <f t="shared" si="52"/>
        <v>0</v>
      </c>
      <c r="P144" s="860">
        <f t="shared" si="56"/>
        <v>463532.72000000102</v>
      </c>
      <c r="Q144" s="860">
        <f t="shared" si="57"/>
        <v>0</v>
      </c>
    </row>
    <row r="145" spans="1:17" ht="20.100000000000001" customHeight="1" x14ac:dyDescent="0.2">
      <c r="A145" s="25">
        <v>7</v>
      </c>
      <c r="B145" s="9" t="s">
        <v>282</v>
      </c>
      <c r="C145" s="2" t="s">
        <v>491</v>
      </c>
      <c r="D145" s="13" t="s">
        <v>159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53"/>
        <v>482846.58333333401</v>
      </c>
      <c r="I145" s="186">
        <f t="shared" si="51"/>
        <v>92597.666666667006</v>
      </c>
      <c r="J145" s="860">
        <v>31219.91</v>
      </c>
      <c r="K145" s="860">
        <f t="shared" si="54"/>
        <v>38627.726666666698</v>
      </c>
      <c r="L145" s="860">
        <f t="shared" si="55"/>
        <v>7407.8166666667203</v>
      </c>
      <c r="M145" s="860">
        <v>0</v>
      </c>
      <c r="N145" s="860"/>
      <c r="O145" s="860">
        <f t="shared" si="52"/>
        <v>0</v>
      </c>
      <c r="P145" s="860">
        <f t="shared" si="56"/>
        <v>463532.72000000102</v>
      </c>
      <c r="Q145" s="860">
        <f t="shared" si="57"/>
        <v>0</v>
      </c>
    </row>
    <row r="146" spans="1:17" ht="20.100000000000001" customHeight="1" x14ac:dyDescent="0.2">
      <c r="A146" s="25">
        <v>8</v>
      </c>
      <c r="B146" s="9" t="s">
        <v>284</v>
      </c>
      <c r="C146" s="10" t="s">
        <v>285</v>
      </c>
      <c r="D146" s="13" t="s">
        <v>65</v>
      </c>
      <c r="E146" s="70">
        <v>390086.5</v>
      </c>
      <c r="F146" s="853">
        <v>302878.66666666698</v>
      </c>
      <c r="G146" s="186">
        <v>179784</v>
      </c>
      <c r="H146" s="186">
        <f t="shared" si="53"/>
        <v>482662.66666666698</v>
      </c>
      <c r="I146" s="186">
        <f t="shared" si="51"/>
        <v>92576.166666667006</v>
      </c>
      <c r="J146" s="860">
        <v>30231.613333333298</v>
      </c>
      <c r="K146" s="860">
        <f t="shared" si="54"/>
        <v>38613.013333333402</v>
      </c>
      <c r="L146" s="860">
        <f t="shared" si="55"/>
        <v>8381.4000000000597</v>
      </c>
      <c r="M146" s="860">
        <v>0</v>
      </c>
      <c r="N146" s="860"/>
      <c r="O146" s="860">
        <f t="shared" si="52"/>
        <v>0</v>
      </c>
      <c r="P146" s="860">
        <f t="shared" si="56"/>
        <v>463356.15999999997</v>
      </c>
      <c r="Q146" s="860">
        <f t="shared" si="57"/>
        <v>0</v>
      </c>
    </row>
    <row r="147" spans="1:17" ht="20.100000000000001" customHeight="1" x14ac:dyDescent="0.2">
      <c r="A147" s="25">
        <v>9</v>
      </c>
      <c r="B147" s="9" t="s">
        <v>286</v>
      </c>
      <c r="C147" s="10" t="s">
        <v>287</v>
      </c>
      <c r="D147" s="13" t="s">
        <v>162</v>
      </c>
      <c r="E147" s="70">
        <v>377895.16666666698</v>
      </c>
      <c r="F147" s="853">
        <v>294662.91666666698</v>
      </c>
      <c r="G147" s="186">
        <v>174165.25</v>
      </c>
      <c r="H147" s="186">
        <f t="shared" si="53"/>
        <v>468828.16666666698</v>
      </c>
      <c r="I147" s="186">
        <f t="shared" si="51"/>
        <v>90933</v>
      </c>
      <c r="J147" s="860">
        <v>29256.3066666667</v>
      </c>
      <c r="K147" s="860">
        <f t="shared" si="54"/>
        <v>37506.253333333399</v>
      </c>
      <c r="L147" s="860">
        <f t="shared" si="55"/>
        <v>8249.9466666666594</v>
      </c>
      <c r="M147" s="860">
        <v>4928.9333333333298</v>
      </c>
      <c r="N147" s="860">
        <f t="shared" si="58"/>
        <v>7366.5729166666797</v>
      </c>
      <c r="O147" s="860">
        <f t="shared" si="52"/>
        <v>2437.6395833333499</v>
      </c>
      <c r="P147" s="860">
        <f t="shared" si="56"/>
        <v>450075.04</v>
      </c>
      <c r="Q147" s="860">
        <f t="shared" si="57"/>
        <v>88398.875000000102</v>
      </c>
    </row>
    <row r="148" spans="1:17" ht="20.100000000000001" customHeight="1" x14ac:dyDescent="0.2">
      <c r="A148" s="25">
        <v>10</v>
      </c>
      <c r="B148" s="16" t="s">
        <v>288</v>
      </c>
      <c r="C148" s="2" t="s">
        <v>289</v>
      </c>
      <c r="D148" s="13" t="s">
        <v>68</v>
      </c>
      <c r="E148" s="186">
        <v>365703.83333333302</v>
      </c>
      <c r="F148" s="853">
        <v>286447.08333333302</v>
      </c>
      <c r="G148" s="186">
        <v>168546.5</v>
      </c>
      <c r="H148" s="186">
        <f t="shared" si="53"/>
        <v>454993.58333333302</v>
      </c>
      <c r="I148" s="186">
        <f t="shared" si="51"/>
        <v>89289.75</v>
      </c>
      <c r="J148" s="860">
        <v>28281</v>
      </c>
      <c r="K148" s="860">
        <f t="shared" si="54"/>
        <v>36399.486666666598</v>
      </c>
      <c r="L148" s="860">
        <f t="shared" si="55"/>
        <v>8118.4866666666403</v>
      </c>
      <c r="M148" s="860">
        <v>0</v>
      </c>
      <c r="N148" s="860">
        <f t="shared" si="58"/>
        <v>7161.1770833333303</v>
      </c>
      <c r="O148" s="860">
        <f t="shared" si="52"/>
        <v>7161.1770833333303</v>
      </c>
      <c r="P148" s="860">
        <f t="shared" si="56"/>
        <v>436793.84</v>
      </c>
      <c r="Q148" s="860">
        <f t="shared" si="57"/>
        <v>85934.124999999898</v>
      </c>
    </row>
    <row r="149" spans="1:17" ht="20.100000000000001" customHeight="1" x14ac:dyDescent="0.2">
      <c r="A149" s="25">
        <v>11</v>
      </c>
      <c r="B149" s="9" t="s">
        <v>290</v>
      </c>
      <c r="C149" s="2" t="s">
        <v>289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53"/>
        <v>441159</v>
      </c>
      <c r="I149" s="186">
        <f t="shared" si="51"/>
        <v>87646.5</v>
      </c>
      <c r="J149" s="860">
        <v>28281</v>
      </c>
      <c r="K149" s="860">
        <f t="shared" si="54"/>
        <v>35292.720000000001</v>
      </c>
      <c r="L149" s="860">
        <f t="shared" si="55"/>
        <v>7011.72</v>
      </c>
      <c r="M149" s="860">
        <v>0</v>
      </c>
      <c r="N149" s="860"/>
      <c r="O149" s="860">
        <f t="shared" si="52"/>
        <v>0</v>
      </c>
      <c r="P149" s="860">
        <f t="shared" si="56"/>
        <v>423512.64</v>
      </c>
      <c r="Q149" s="860">
        <f t="shared" si="57"/>
        <v>0</v>
      </c>
    </row>
    <row r="150" spans="1:17" ht="20.100000000000001" customHeight="1" x14ac:dyDescent="0.2">
      <c r="A150" s="25">
        <v>12</v>
      </c>
      <c r="B150" s="9" t="s">
        <v>291</v>
      </c>
      <c r="C150" s="2" t="s">
        <v>289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53"/>
        <v>441159</v>
      </c>
      <c r="I150" s="186">
        <f t="shared" si="51"/>
        <v>87646.5</v>
      </c>
      <c r="J150" s="860">
        <v>28281</v>
      </c>
      <c r="K150" s="860">
        <f t="shared" si="54"/>
        <v>35292.720000000001</v>
      </c>
      <c r="L150" s="860">
        <f t="shared" si="55"/>
        <v>7011.72</v>
      </c>
      <c r="M150" s="860">
        <v>4928.9333333333298</v>
      </c>
      <c r="N150" s="860">
        <f t="shared" ref="N150:N155" si="59">0.025*F150</f>
        <v>6955.78125</v>
      </c>
      <c r="O150" s="860">
        <f t="shared" si="52"/>
        <v>2026.84791666667</v>
      </c>
      <c r="P150" s="860">
        <f t="shared" si="56"/>
        <v>423512.64</v>
      </c>
      <c r="Q150" s="860">
        <f t="shared" si="57"/>
        <v>83469.375</v>
      </c>
    </row>
    <row r="151" spans="1:17" ht="20.100000000000001" customHeight="1" x14ac:dyDescent="0.2">
      <c r="A151" s="25">
        <v>13</v>
      </c>
      <c r="B151" s="9" t="s">
        <v>293</v>
      </c>
      <c r="C151" s="2" t="s">
        <v>289</v>
      </c>
      <c r="D151" s="13" t="s">
        <v>68</v>
      </c>
      <c r="E151" s="186">
        <v>365703.83333333302</v>
      </c>
      <c r="F151" s="853">
        <v>286447.08333333302</v>
      </c>
      <c r="G151" s="186">
        <v>168546.5</v>
      </c>
      <c r="H151" s="186">
        <f t="shared" si="53"/>
        <v>454993.58333333302</v>
      </c>
      <c r="I151" s="186">
        <f t="shared" si="51"/>
        <v>89289.75</v>
      </c>
      <c r="J151" s="860">
        <v>28281</v>
      </c>
      <c r="K151" s="860">
        <f t="shared" si="54"/>
        <v>36399.486666666598</v>
      </c>
      <c r="L151" s="860">
        <f t="shared" si="55"/>
        <v>8118.4866666666403</v>
      </c>
      <c r="M151" s="860">
        <v>0</v>
      </c>
      <c r="N151" s="860"/>
      <c r="O151" s="860">
        <f t="shared" si="52"/>
        <v>0</v>
      </c>
      <c r="P151" s="860">
        <f t="shared" si="56"/>
        <v>436793.84</v>
      </c>
      <c r="Q151" s="860">
        <f t="shared" si="57"/>
        <v>0</v>
      </c>
    </row>
    <row r="152" spans="1:17" ht="20.100000000000001" customHeight="1" x14ac:dyDescent="0.2">
      <c r="A152" s="25">
        <v>14</v>
      </c>
      <c r="B152" s="9" t="s">
        <v>294</v>
      </c>
      <c r="C152" s="10" t="s">
        <v>295</v>
      </c>
      <c r="D152" s="13" t="s">
        <v>119</v>
      </c>
      <c r="E152" s="186">
        <v>308901.5</v>
      </c>
      <c r="F152" s="853">
        <v>246171.16666666701</v>
      </c>
      <c r="G152" s="186">
        <v>143964.66666666701</v>
      </c>
      <c r="H152" s="186">
        <f t="shared" si="53"/>
        <v>390135.83333333401</v>
      </c>
      <c r="I152" s="186">
        <f t="shared" si="51"/>
        <v>81234.333333333998</v>
      </c>
      <c r="J152" s="860">
        <v>24077.246666666699</v>
      </c>
      <c r="K152" s="860">
        <f t="shared" si="54"/>
        <v>31210.866666666701</v>
      </c>
      <c r="L152" s="860">
        <f t="shared" si="55"/>
        <v>7133.6200000000199</v>
      </c>
      <c r="M152" s="860">
        <v>0</v>
      </c>
      <c r="N152" s="860">
        <f t="shared" si="59"/>
        <v>6154.2791666666799</v>
      </c>
      <c r="O152" s="860">
        <f t="shared" si="52"/>
        <v>6154.2791666666799</v>
      </c>
      <c r="P152" s="860">
        <f t="shared" si="56"/>
        <v>374530.40000000101</v>
      </c>
      <c r="Q152" s="860">
        <f t="shared" si="57"/>
        <v>73851.350000000093</v>
      </c>
    </row>
    <row r="153" spans="1:17" ht="20.100000000000001" customHeight="1" x14ac:dyDescent="0.2">
      <c r="A153" s="25">
        <v>15</v>
      </c>
      <c r="B153" s="9" t="s">
        <v>296</v>
      </c>
      <c r="C153" s="10" t="s">
        <v>297</v>
      </c>
      <c r="D153" s="8" t="s">
        <v>84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53"/>
        <v>347016.16666666599</v>
      </c>
      <c r="I153" s="186">
        <f t="shared" si="51"/>
        <v>76534.499999998996</v>
      </c>
      <c r="J153" s="860">
        <v>21053.226666666698</v>
      </c>
      <c r="K153" s="860">
        <f t="shared" si="54"/>
        <v>27761.293333333299</v>
      </c>
      <c r="L153" s="860">
        <f t="shared" si="55"/>
        <v>6708.0666666665802</v>
      </c>
      <c r="M153" s="860">
        <v>0</v>
      </c>
      <c r="N153" s="860">
        <f t="shared" ref="N153:N158" si="60">0.025*F153</f>
        <v>5566.8645833333203</v>
      </c>
      <c r="O153" s="860">
        <f t="shared" si="52"/>
        <v>5566.8645833333203</v>
      </c>
      <c r="P153" s="860">
        <f t="shared" si="56"/>
        <v>333135.51999999903</v>
      </c>
      <c r="Q153" s="860">
        <f t="shared" si="57"/>
        <v>66802.374999999898</v>
      </c>
    </row>
    <row r="154" spans="1:17" ht="20.100000000000001" customHeight="1" x14ac:dyDescent="0.2">
      <c r="A154" s="25">
        <v>16</v>
      </c>
      <c r="B154" s="9" t="s">
        <v>298</v>
      </c>
      <c r="C154" s="10" t="s">
        <v>299</v>
      </c>
      <c r="D154" s="13" t="s">
        <v>300</v>
      </c>
      <c r="E154" s="186">
        <v>316837.41666666698</v>
      </c>
      <c r="F154" s="853">
        <v>251467.91666666701</v>
      </c>
      <c r="G154" s="186">
        <v>147663.25</v>
      </c>
      <c r="H154" s="186">
        <f t="shared" si="53"/>
        <v>399131.16666666698</v>
      </c>
      <c r="I154" s="186">
        <f t="shared" si="51"/>
        <v>82293.749999999694</v>
      </c>
      <c r="J154" s="860">
        <v>24712.12</v>
      </c>
      <c r="K154" s="860">
        <f t="shared" si="54"/>
        <v>31930.493333333299</v>
      </c>
      <c r="L154" s="860">
        <f t="shared" si="55"/>
        <v>7218.3733333333303</v>
      </c>
      <c r="M154" s="860">
        <v>0</v>
      </c>
      <c r="N154" s="860"/>
      <c r="O154" s="860">
        <f t="shared" si="52"/>
        <v>0</v>
      </c>
      <c r="P154" s="860">
        <f t="shared" si="56"/>
        <v>383165.92</v>
      </c>
      <c r="Q154" s="860">
        <f t="shared" si="57"/>
        <v>0</v>
      </c>
    </row>
    <row r="155" spans="1:17" ht="20.100000000000001" customHeight="1" x14ac:dyDescent="0.2">
      <c r="A155" s="25">
        <v>17</v>
      </c>
      <c r="B155" s="9" t="s">
        <v>301</v>
      </c>
      <c r="C155" s="10" t="s">
        <v>302</v>
      </c>
      <c r="D155" s="13" t="s">
        <v>79</v>
      </c>
      <c r="E155" s="186">
        <v>277798</v>
      </c>
      <c r="F155" s="853">
        <v>227615.75</v>
      </c>
      <c r="G155" s="186">
        <v>127704.91666666701</v>
      </c>
      <c r="H155" s="186">
        <f t="shared" si="53"/>
        <v>355320.66666666698</v>
      </c>
      <c r="I155" s="186">
        <f t="shared" si="51"/>
        <v>77522.666666667006</v>
      </c>
      <c r="J155" s="860">
        <v>21638.5333333333</v>
      </c>
      <c r="K155" s="860">
        <f t="shared" si="54"/>
        <v>28425.653333333401</v>
      </c>
      <c r="L155" s="860">
        <f t="shared" si="55"/>
        <v>6787.1200000000599</v>
      </c>
      <c r="M155" s="860">
        <v>0</v>
      </c>
      <c r="N155" s="860">
        <f t="shared" si="59"/>
        <v>5690.3937500000002</v>
      </c>
      <c r="O155" s="860">
        <f t="shared" si="52"/>
        <v>5690.3937500000002</v>
      </c>
      <c r="P155" s="860">
        <f t="shared" si="56"/>
        <v>341107.84</v>
      </c>
      <c r="Q155" s="860">
        <f t="shared" si="57"/>
        <v>68284.725000000006</v>
      </c>
    </row>
    <row r="156" spans="1:17" ht="20.100000000000001" customHeight="1" x14ac:dyDescent="0.2">
      <c r="A156" s="25">
        <v>18</v>
      </c>
      <c r="B156" s="9" t="s">
        <v>303</v>
      </c>
      <c r="C156" s="10" t="s">
        <v>304</v>
      </c>
      <c r="D156" s="13" t="s">
        <v>300</v>
      </c>
      <c r="E156" s="186">
        <v>316837.41666666698</v>
      </c>
      <c r="F156" s="853">
        <v>251467.91666666701</v>
      </c>
      <c r="G156" s="186">
        <v>147663.25</v>
      </c>
      <c r="H156" s="186">
        <f t="shared" si="53"/>
        <v>399131.16666666698</v>
      </c>
      <c r="I156" s="186">
        <f t="shared" si="51"/>
        <v>82293.749999999694</v>
      </c>
      <c r="J156" s="860">
        <v>24712.12</v>
      </c>
      <c r="K156" s="860">
        <f t="shared" si="54"/>
        <v>31930.493333333299</v>
      </c>
      <c r="L156" s="860">
        <f t="shared" si="55"/>
        <v>7218.3733333333303</v>
      </c>
      <c r="M156" s="860">
        <v>4123.4208333333299</v>
      </c>
      <c r="N156" s="860">
        <f t="shared" si="60"/>
        <v>6286.6979166666697</v>
      </c>
      <c r="O156" s="860">
        <f t="shared" si="52"/>
        <v>2163.2770833333402</v>
      </c>
      <c r="P156" s="860">
        <f t="shared" si="56"/>
        <v>383165.92</v>
      </c>
      <c r="Q156" s="860">
        <f t="shared" si="57"/>
        <v>75440.375</v>
      </c>
    </row>
    <row r="157" spans="1:17" ht="20.100000000000001" customHeight="1" x14ac:dyDescent="0.2">
      <c r="A157" s="25">
        <v>19</v>
      </c>
      <c r="B157" s="9" t="s">
        <v>305</v>
      </c>
      <c r="C157" s="10" t="s">
        <v>306</v>
      </c>
      <c r="D157" s="13" t="s">
        <v>79</v>
      </c>
      <c r="E157" s="186">
        <v>277798</v>
      </c>
      <c r="F157" s="853">
        <v>227615.75</v>
      </c>
      <c r="G157" s="186">
        <v>127704.91666666701</v>
      </c>
      <c r="H157" s="186">
        <f t="shared" si="53"/>
        <v>355320.66666666698</v>
      </c>
      <c r="I157" s="186">
        <f t="shared" si="51"/>
        <v>77522.666666667006</v>
      </c>
      <c r="J157" s="860">
        <v>21638.5333333333</v>
      </c>
      <c r="K157" s="860">
        <f t="shared" si="54"/>
        <v>28425.653333333401</v>
      </c>
      <c r="L157" s="860">
        <f t="shared" si="55"/>
        <v>6787.1200000000599</v>
      </c>
      <c r="M157" s="860">
        <v>0</v>
      </c>
      <c r="N157" s="860"/>
      <c r="O157" s="860">
        <f t="shared" si="52"/>
        <v>0</v>
      </c>
      <c r="P157" s="860">
        <f t="shared" si="56"/>
        <v>341107.84</v>
      </c>
      <c r="Q157" s="860">
        <f t="shared" si="57"/>
        <v>0</v>
      </c>
    </row>
    <row r="158" spans="1:17" ht="20.100000000000001" customHeight="1" x14ac:dyDescent="0.2">
      <c r="A158" s="25">
        <v>20</v>
      </c>
      <c r="B158" s="16" t="s">
        <v>307</v>
      </c>
      <c r="C158" s="10" t="s">
        <v>308</v>
      </c>
      <c r="D158" s="13" t="s">
        <v>87</v>
      </c>
      <c r="E158" s="186">
        <v>263165.33333333302</v>
      </c>
      <c r="F158" s="853">
        <v>217733.41666666701</v>
      </c>
      <c r="G158" s="186">
        <v>120978.25</v>
      </c>
      <c r="H158" s="186">
        <f t="shared" si="53"/>
        <v>338711.66666666698</v>
      </c>
      <c r="I158" s="186">
        <f t="shared" si="51"/>
        <v>75546.333333333998</v>
      </c>
      <c r="J158" s="860">
        <v>20467.919999999998</v>
      </c>
      <c r="K158" s="860">
        <f t="shared" si="54"/>
        <v>27096.9333333334</v>
      </c>
      <c r="L158" s="860">
        <f t="shared" si="55"/>
        <v>6629.0133333333597</v>
      </c>
      <c r="M158" s="860">
        <v>0</v>
      </c>
      <c r="N158" s="860">
        <f t="shared" si="60"/>
        <v>5443.3354166666804</v>
      </c>
      <c r="O158" s="860">
        <f t="shared" si="52"/>
        <v>5443.3354166666804</v>
      </c>
      <c r="P158" s="860">
        <f t="shared" si="56"/>
        <v>325163.2</v>
      </c>
      <c r="Q158" s="860">
        <f t="shared" si="57"/>
        <v>65320.025000000103</v>
      </c>
    </row>
    <row r="159" spans="1:17" ht="20.100000000000001" customHeight="1" x14ac:dyDescent="0.2">
      <c r="A159" s="25">
        <v>21</v>
      </c>
      <c r="B159" s="16" t="s">
        <v>309</v>
      </c>
      <c r="C159" s="10" t="s">
        <v>308</v>
      </c>
      <c r="D159" s="13" t="s">
        <v>87</v>
      </c>
      <c r="E159" s="186">
        <v>263165.33333333302</v>
      </c>
      <c r="F159" s="853">
        <v>217733.41666666701</v>
      </c>
      <c r="G159" s="186">
        <v>120978.25</v>
      </c>
      <c r="H159" s="186">
        <f t="shared" si="53"/>
        <v>338711.66666666698</v>
      </c>
      <c r="I159" s="186">
        <f t="shared" si="51"/>
        <v>75546.333333333998</v>
      </c>
      <c r="J159" s="860">
        <v>20467.919999999998</v>
      </c>
      <c r="K159" s="860">
        <f t="shared" si="54"/>
        <v>27096.9333333334</v>
      </c>
      <c r="L159" s="860">
        <f t="shared" si="55"/>
        <v>6629.0133333333597</v>
      </c>
      <c r="M159" s="860">
        <v>0</v>
      </c>
      <c r="N159" s="860"/>
      <c r="O159" s="860">
        <f t="shared" si="52"/>
        <v>0</v>
      </c>
      <c r="P159" s="860">
        <f t="shared" si="56"/>
        <v>325163.2</v>
      </c>
      <c r="Q159" s="860">
        <f t="shared" si="57"/>
        <v>0</v>
      </c>
    </row>
    <row r="160" spans="1:17" ht="20.100000000000001" customHeight="1" x14ac:dyDescent="0.2">
      <c r="A160" s="25">
        <v>22</v>
      </c>
      <c r="B160" s="16" t="s">
        <v>312</v>
      </c>
      <c r="C160" s="10" t="s">
        <v>313</v>
      </c>
      <c r="D160" s="13" t="s">
        <v>102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53"/>
        <v>301910.75</v>
      </c>
      <c r="I160" s="186">
        <f t="shared" si="51"/>
        <v>71278.833333332994</v>
      </c>
      <c r="J160" s="860">
        <v>17956.78</v>
      </c>
      <c r="K160" s="860">
        <f t="shared" si="54"/>
        <v>24152.86</v>
      </c>
      <c r="L160" s="860">
        <f t="shared" si="55"/>
        <v>6196.08</v>
      </c>
      <c r="M160" s="860">
        <v>0</v>
      </c>
      <c r="N160" s="860"/>
      <c r="O160" s="860">
        <f t="shared" si="52"/>
        <v>0</v>
      </c>
      <c r="P160" s="860">
        <f t="shared" si="56"/>
        <v>289834.32</v>
      </c>
      <c r="Q160" s="860">
        <f t="shared" si="57"/>
        <v>0</v>
      </c>
    </row>
    <row r="161" spans="1:17" ht="20.100000000000001" customHeight="1" x14ac:dyDescent="0.2">
      <c r="A161" s="25">
        <v>23</v>
      </c>
      <c r="B161" s="16" t="s">
        <v>314</v>
      </c>
      <c r="C161" s="10" t="s">
        <v>315</v>
      </c>
      <c r="D161" s="13" t="s">
        <v>102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53"/>
        <v>301910.75</v>
      </c>
      <c r="I161" s="186">
        <f t="shared" si="51"/>
        <v>71278.833333332994</v>
      </c>
      <c r="J161" s="860">
        <v>17956.78</v>
      </c>
      <c r="K161" s="860">
        <f t="shared" si="54"/>
        <v>24152.86</v>
      </c>
      <c r="L161" s="860">
        <f t="shared" si="55"/>
        <v>6196.08</v>
      </c>
      <c r="M161" s="860">
        <v>0</v>
      </c>
      <c r="N161" s="860">
        <f t="shared" ref="N161:N164" si="61">0.025*F161</f>
        <v>4909.1104166666801</v>
      </c>
      <c r="O161" s="860">
        <f t="shared" si="52"/>
        <v>4909.1104166666801</v>
      </c>
      <c r="P161" s="860">
        <f t="shared" si="56"/>
        <v>289834.32</v>
      </c>
      <c r="Q161" s="860">
        <f t="shared" si="57"/>
        <v>58909.325000000099</v>
      </c>
    </row>
    <row r="162" spans="1:17" ht="20.100000000000001" customHeight="1" x14ac:dyDescent="0.2">
      <c r="A162" s="25">
        <v>24</v>
      </c>
      <c r="B162" s="16" t="s">
        <v>316</v>
      </c>
      <c r="C162" s="10" t="s">
        <v>317</v>
      </c>
      <c r="D162" s="13" t="s">
        <v>102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53"/>
        <v>301910.75</v>
      </c>
      <c r="I162" s="186">
        <f t="shared" si="51"/>
        <v>71278.833333332994</v>
      </c>
      <c r="J162" s="860">
        <v>17956.78</v>
      </c>
      <c r="K162" s="860">
        <f t="shared" si="54"/>
        <v>24152.86</v>
      </c>
      <c r="L162" s="860">
        <f t="shared" si="55"/>
        <v>6196.08</v>
      </c>
      <c r="M162" s="860">
        <v>0</v>
      </c>
      <c r="N162" s="860">
        <f t="shared" si="61"/>
        <v>4909.1104166666801</v>
      </c>
      <c r="O162" s="860">
        <f t="shared" si="52"/>
        <v>4909.1104166666801</v>
      </c>
      <c r="P162" s="860">
        <f t="shared" si="56"/>
        <v>289834.32</v>
      </c>
      <c r="Q162" s="860">
        <f t="shared" si="57"/>
        <v>58909.325000000099</v>
      </c>
    </row>
    <row r="163" spans="1:17" ht="20.100000000000001" customHeight="1" x14ac:dyDescent="0.2">
      <c r="A163" s="25">
        <v>25</v>
      </c>
      <c r="B163" s="16" t="s">
        <v>318</v>
      </c>
      <c r="C163" s="10" t="s">
        <v>319</v>
      </c>
      <c r="D163" s="13" t="s">
        <v>206</v>
      </c>
      <c r="E163" s="70">
        <v>236804.08333333299</v>
      </c>
      <c r="F163" s="853">
        <v>200549.41666666701</v>
      </c>
      <c r="G163" s="186">
        <v>108371.25</v>
      </c>
      <c r="H163" s="186">
        <f t="shared" si="53"/>
        <v>308920.66666666698</v>
      </c>
      <c r="I163" s="186">
        <f t="shared" si="51"/>
        <v>72116.583333333998</v>
      </c>
      <c r="J163" s="860">
        <v>18450.553333333301</v>
      </c>
      <c r="K163" s="860">
        <f t="shared" si="54"/>
        <v>24713.653333333401</v>
      </c>
      <c r="L163" s="860">
        <f t="shared" si="55"/>
        <v>6263.1000000000604</v>
      </c>
      <c r="M163" s="860">
        <v>0</v>
      </c>
      <c r="N163" s="860">
        <f t="shared" si="61"/>
        <v>5013.7354166666801</v>
      </c>
      <c r="O163" s="860">
        <f t="shared" si="52"/>
        <v>5013.7354166666801</v>
      </c>
      <c r="P163" s="860">
        <f t="shared" si="56"/>
        <v>296563.84000000003</v>
      </c>
      <c r="Q163" s="860">
        <f t="shared" si="57"/>
        <v>60164.825000000099</v>
      </c>
    </row>
    <row r="164" spans="1:17" ht="20.100000000000001" customHeight="1" x14ac:dyDescent="0.2">
      <c r="A164" s="25">
        <v>26</v>
      </c>
      <c r="B164" s="16" t="s">
        <v>320</v>
      </c>
      <c r="C164" s="10" t="s">
        <v>315</v>
      </c>
      <c r="D164" s="13" t="s">
        <v>102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ref="H164:H181" si="62">F164+G164</f>
        <v>301910.75</v>
      </c>
      <c r="I164" s="186">
        <f t="shared" si="51"/>
        <v>71278.833333332994</v>
      </c>
      <c r="J164" s="860">
        <v>17956.78</v>
      </c>
      <c r="K164" s="860">
        <f t="shared" si="54"/>
        <v>24152.86</v>
      </c>
      <c r="L164" s="860">
        <f t="shared" si="55"/>
        <v>6196.08</v>
      </c>
      <c r="M164" s="860">
        <v>0</v>
      </c>
      <c r="N164" s="860">
        <f t="shared" si="61"/>
        <v>4909.1104166666801</v>
      </c>
      <c r="O164" s="860">
        <f t="shared" si="52"/>
        <v>4909.1104166666801</v>
      </c>
      <c r="P164" s="860">
        <f t="shared" si="56"/>
        <v>289834.32</v>
      </c>
      <c r="Q164" s="860">
        <f t="shared" si="57"/>
        <v>58909.325000000099</v>
      </c>
    </row>
    <row r="165" spans="1:17" ht="20.100000000000001" customHeight="1" x14ac:dyDescent="0.2">
      <c r="A165" s="25">
        <v>27</v>
      </c>
      <c r="B165" s="16" t="s">
        <v>321</v>
      </c>
      <c r="C165" s="10" t="s">
        <v>322</v>
      </c>
      <c r="D165" s="13" t="s">
        <v>105</v>
      </c>
      <c r="E165" s="630">
        <v>224459.75</v>
      </c>
      <c r="F165" s="853">
        <v>192179.41666666701</v>
      </c>
      <c r="G165" s="186">
        <v>102721.41666666701</v>
      </c>
      <c r="H165" s="186">
        <f t="shared" si="62"/>
        <v>294900.83333333401</v>
      </c>
      <c r="I165" s="186">
        <f t="shared" si="51"/>
        <v>70441.083333333998</v>
      </c>
      <c r="J165" s="860">
        <v>17463.006666666599</v>
      </c>
      <c r="K165" s="860">
        <f t="shared" si="54"/>
        <v>23592.066666666698</v>
      </c>
      <c r="L165" s="860">
        <f t="shared" si="55"/>
        <v>6129.0600000001205</v>
      </c>
      <c r="M165" s="860"/>
      <c r="N165" s="860"/>
      <c r="O165" s="860">
        <f t="shared" si="52"/>
        <v>0</v>
      </c>
      <c r="P165" s="860">
        <f t="shared" si="56"/>
        <v>283104.8</v>
      </c>
      <c r="Q165" s="860">
        <f t="shared" si="57"/>
        <v>0</v>
      </c>
    </row>
    <row r="166" spans="1:17" ht="20.100000000000001" customHeight="1" x14ac:dyDescent="0.2">
      <c r="A166" s="25">
        <v>28</v>
      </c>
      <c r="B166" s="16" t="s">
        <v>323</v>
      </c>
      <c r="C166" s="10" t="s">
        <v>322</v>
      </c>
      <c r="D166" s="13" t="s">
        <v>105</v>
      </c>
      <c r="E166" s="630">
        <v>224459.75</v>
      </c>
      <c r="F166" s="853">
        <v>192179.41666666701</v>
      </c>
      <c r="G166" s="186">
        <v>102721.41666666701</v>
      </c>
      <c r="H166" s="186">
        <f t="shared" si="62"/>
        <v>294900.83333333401</v>
      </c>
      <c r="I166" s="186">
        <f t="shared" si="51"/>
        <v>70441.083333333998</v>
      </c>
      <c r="J166" s="860">
        <v>17463.006666666599</v>
      </c>
      <c r="K166" s="860">
        <f t="shared" si="54"/>
        <v>23592.066666666698</v>
      </c>
      <c r="L166" s="860">
        <f t="shared" si="55"/>
        <v>6129.0600000001205</v>
      </c>
      <c r="M166" s="860"/>
      <c r="N166" s="860"/>
      <c r="O166" s="860">
        <f t="shared" si="52"/>
        <v>0</v>
      </c>
      <c r="P166" s="860">
        <f t="shared" si="56"/>
        <v>283104.8</v>
      </c>
      <c r="Q166" s="860">
        <f t="shared" si="57"/>
        <v>0</v>
      </c>
    </row>
    <row r="167" spans="1:17" ht="20.100000000000001" customHeight="1" x14ac:dyDescent="0.2">
      <c r="A167" s="25">
        <v>29</v>
      </c>
      <c r="B167" s="9" t="s">
        <v>329</v>
      </c>
      <c r="C167" s="10" t="s">
        <v>330</v>
      </c>
      <c r="D167" s="13" t="s">
        <v>331</v>
      </c>
      <c r="E167" s="192">
        <v>173859.5</v>
      </c>
      <c r="F167" s="865">
        <v>159288.58333333299</v>
      </c>
      <c r="G167" s="186">
        <v>78428.583333333299</v>
      </c>
      <c r="H167" s="186">
        <f t="shared" si="62"/>
        <v>237717.16666666599</v>
      </c>
      <c r="I167" s="186">
        <f t="shared" si="51"/>
        <v>63857.666666666002</v>
      </c>
      <c r="J167" s="860">
        <v>13487.8533333333</v>
      </c>
      <c r="K167" s="860">
        <f t="shared" si="54"/>
        <v>19017.3733333333</v>
      </c>
      <c r="L167" s="860">
        <f t="shared" si="55"/>
        <v>5529.5199999999804</v>
      </c>
      <c r="M167" s="860">
        <v>2313.5749999999998</v>
      </c>
      <c r="N167" s="860">
        <f>0.025*F167</f>
        <v>3982.2145833333302</v>
      </c>
      <c r="O167" s="860">
        <f t="shared" si="52"/>
        <v>1668.6395833333299</v>
      </c>
      <c r="P167" s="860">
        <f t="shared" si="56"/>
        <v>228208.48</v>
      </c>
      <c r="Q167" s="860">
        <f t="shared" si="57"/>
        <v>47786.574999999997</v>
      </c>
    </row>
    <row r="168" spans="1:17" ht="20.100000000000001" customHeight="1" x14ac:dyDescent="0.2">
      <c r="A168" s="25">
        <v>30</v>
      </c>
      <c r="B168" s="9" t="s">
        <v>332</v>
      </c>
      <c r="C168" s="10" t="s">
        <v>330</v>
      </c>
      <c r="D168" s="13" t="s">
        <v>331</v>
      </c>
      <c r="E168" s="192">
        <v>173859.5</v>
      </c>
      <c r="F168" s="865">
        <v>159288.58333333299</v>
      </c>
      <c r="G168" s="186">
        <v>78428.583333333299</v>
      </c>
      <c r="H168" s="186">
        <f t="shared" si="62"/>
        <v>237717.16666666599</v>
      </c>
      <c r="I168" s="186">
        <f t="shared" si="51"/>
        <v>63857.666666666002</v>
      </c>
      <c r="J168" s="860">
        <v>13487.8533333333</v>
      </c>
      <c r="K168" s="860">
        <f t="shared" si="54"/>
        <v>19017.3733333333</v>
      </c>
      <c r="L168" s="860">
        <f t="shared" si="55"/>
        <v>5529.5199999999804</v>
      </c>
      <c r="M168" s="860">
        <v>0</v>
      </c>
      <c r="N168" s="860"/>
      <c r="O168" s="860">
        <f t="shared" si="52"/>
        <v>0</v>
      </c>
      <c r="P168" s="860">
        <f t="shared" si="56"/>
        <v>228208.48</v>
      </c>
      <c r="Q168" s="860">
        <f t="shared" si="57"/>
        <v>0</v>
      </c>
    </row>
    <row r="169" spans="1:17" ht="20.100000000000001" customHeight="1" x14ac:dyDescent="0.2">
      <c r="A169" s="25">
        <v>31</v>
      </c>
      <c r="B169" s="9" t="s">
        <v>333</v>
      </c>
      <c r="C169" s="10" t="s">
        <v>330</v>
      </c>
      <c r="D169" s="13" t="s">
        <v>331</v>
      </c>
      <c r="E169" s="192">
        <v>173859.5</v>
      </c>
      <c r="F169" s="865">
        <v>159288.58333333299</v>
      </c>
      <c r="G169" s="186">
        <v>78428.583333333299</v>
      </c>
      <c r="H169" s="186">
        <f t="shared" si="62"/>
        <v>237717.16666666599</v>
      </c>
      <c r="I169" s="186">
        <f t="shared" si="51"/>
        <v>63857.666666666002</v>
      </c>
      <c r="J169" s="860">
        <v>13487.8533333333</v>
      </c>
      <c r="K169" s="860">
        <f t="shared" si="54"/>
        <v>19017.3733333333</v>
      </c>
      <c r="L169" s="860">
        <f t="shared" si="55"/>
        <v>5529.5199999999804</v>
      </c>
      <c r="M169" s="860">
        <v>0</v>
      </c>
      <c r="N169" s="860"/>
      <c r="O169" s="860">
        <f t="shared" ref="O169:O199" si="63">N169-M169</f>
        <v>0</v>
      </c>
      <c r="P169" s="860">
        <f t="shared" si="56"/>
        <v>228208.48</v>
      </c>
      <c r="Q169" s="860">
        <f t="shared" si="57"/>
        <v>0</v>
      </c>
    </row>
    <row r="170" spans="1:17" ht="20.100000000000001" customHeight="1" x14ac:dyDescent="0.2">
      <c r="A170" s="25">
        <v>32</v>
      </c>
      <c r="B170" s="9" t="s">
        <v>334</v>
      </c>
      <c r="C170" s="10" t="s">
        <v>330</v>
      </c>
      <c r="D170" s="13" t="s">
        <v>331</v>
      </c>
      <c r="E170" s="192">
        <v>173859.5</v>
      </c>
      <c r="F170" s="865">
        <v>159288.58333333299</v>
      </c>
      <c r="G170" s="186">
        <v>78428.583333333299</v>
      </c>
      <c r="H170" s="186">
        <f t="shared" si="62"/>
        <v>237717.16666666599</v>
      </c>
      <c r="I170" s="186">
        <f t="shared" si="51"/>
        <v>63857.666666666002</v>
      </c>
      <c r="J170" s="860">
        <v>13487.8533333333</v>
      </c>
      <c r="K170" s="860">
        <f t="shared" si="54"/>
        <v>19017.3733333333</v>
      </c>
      <c r="L170" s="860">
        <f t="shared" si="55"/>
        <v>5529.5199999999804</v>
      </c>
      <c r="M170" s="860">
        <v>2313.5749999999998</v>
      </c>
      <c r="N170" s="860">
        <v>3982.2145833333302</v>
      </c>
      <c r="O170" s="860">
        <f t="shared" si="63"/>
        <v>1668.6395833333299</v>
      </c>
      <c r="P170" s="860">
        <f t="shared" si="56"/>
        <v>228208.48</v>
      </c>
      <c r="Q170" s="860">
        <f t="shared" si="57"/>
        <v>47786.574999999997</v>
      </c>
    </row>
    <row r="171" spans="1:17" ht="20.100000000000001" customHeight="1" x14ac:dyDescent="0.2">
      <c r="A171" s="25">
        <v>33</v>
      </c>
      <c r="B171" s="9" t="s">
        <v>335</v>
      </c>
      <c r="C171" s="10" t="s">
        <v>330</v>
      </c>
      <c r="D171" s="13" t="s">
        <v>331</v>
      </c>
      <c r="E171" s="192">
        <v>173859.5</v>
      </c>
      <c r="F171" s="865">
        <v>159288.58333333299</v>
      </c>
      <c r="G171" s="186">
        <v>78428.583333333299</v>
      </c>
      <c r="H171" s="186">
        <f t="shared" si="62"/>
        <v>237717.16666666599</v>
      </c>
      <c r="I171" s="186">
        <f t="shared" si="51"/>
        <v>63857.666666666002</v>
      </c>
      <c r="J171" s="860">
        <v>13487.8533333333</v>
      </c>
      <c r="K171" s="860">
        <f t="shared" si="54"/>
        <v>19017.3733333333</v>
      </c>
      <c r="L171" s="860">
        <f t="shared" si="55"/>
        <v>5529.5199999999804</v>
      </c>
      <c r="M171" s="860"/>
      <c r="N171" s="860"/>
      <c r="O171" s="860">
        <f t="shared" si="63"/>
        <v>0</v>
      </c>
      <c r="P171" s="860">
        <f t="shared" si="56"/>
        <v>228208.48</v>
      </c>
      <c r="Q171" s="860">
        <f t="shared" si="57"/>
        <v>0</v>
      </c>
    </row>
    <row r="172" spans="1:17" ht="20.100000000000001" customHeight="1" x14ac:dyDescent="0.2">
      <c r="A172" s="25">
        <v>34</v>
      </c>
      <c r="B172" s="9" t="s">
        <v>336</v>
      </c>
      <c r="C172" s="10" t="s">
        <v>330</v>
      </c>
      <c r="D172" s="13" t="s">
        <v>337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62"/>
        <v>231733.83333333401</v>
      </c>
      <c r="I172" s="186">
        <f t="shared" si="51"/>
        <v>63135.666666666999</v>
      </c>
      <c r="J172" s="860">
        <v>13066.946666666699</v>
      </c>
      <c r="K172" s="860">
        <f t="shared" ref="K172:K198" si="64">H172*0.08</f>
        <v>18538.706666666701</v>
      </c>
      <c r="L172" s="860">
        <f t="shared" ref="L172:L198" si="65">K172-J172</f>
        <v>5471.7600000000202</v>
      </c>
      <c r="M172" s="860"/>
      <c r="N172" s="860"/>
      <c r="O172" s="860">
        <f t="shared" si="63"/>
        <v>0</v>
      </c>
      <c r="P172" s="860">
        <f t="shared" si="56"/>
        <v>222464.48</v>
      </c>
      <c r="Q172" s="860">
        <f t="shared" si="57"/>
        <v>0</v>
      </c>
    </row>
    <row r="173" spans="1:17" ht="20.100000000000001" customHeight="1" x14ac:dyDescent="0.2">
      <c r="A173" s="25">
        <v>35</v>
      </c>
      <c r="B173" s="9" t="s">
        <v>338</v>
      </c>
      <c r="C173" s="10" t="s">
        <v>330</v>
      </c>
      <c r="D173" s="13" t="s">
        <v>337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62"/>
        <v>231733.83333333401</v>
      </c>
      <c r="I173" s="186">
        <f t="shared" si="51"/>
        <v>63135.666666666999</v>
      </c>
      <c r="J173" s="860">
        <v>13066.946666666699</v>
      </c>
      <c r="K173" s="860">
        <f t="shared" si="64"/>
        <v>18538.706666666701</v>
      </c>
      <c r="L173" s="860">
        <f t="shared" si="65"/>
        <v>5471.7600000000202</v>
      </c>
      <c r="M173" s="860"/>
      <c r="N173" s="860"/>
      <c r="O173" s="860">
        <f t="shared" si="63"/>
        <v>0</v>
      </c>
      <c r="P173" s="860">
        <f t="shared" si="56"/>
        <v>222464.48</v>
      </c>
      <c r="Q173" s="860">
        <f t="shared" si="57"/>
        <v>0</v>
      </c>
    </row>
    <row r="174" spans="1:17" ht="20.100000000000001" customHeight="1" x14ac:dyDescent="0.2">
      <c r="A174" s="25">
        <v>36</v>
      </c>
      <c r="B174" s="12" t="s">
        <v>339</v>
      </c>
      <c r="C174" s="10" t="s">
        <v>330</v>
      </c>
      <c r="D174" s="13" t="s">
        <v>337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62"/>
        <v>231733.83333333401</v>
      </c>
      <c r="I174" s="186">
        <f t="shared" si="51"/>
        <v>63135.666666666999</v>
      </c>
      <c r="J174" s="860">
        <v>13066.946666666699</v>
      </c>
      <c r="K174" s="860">
        <f t="shared" si="64"/>
        <v>18538.706666666701</v>
      </c>
      <c r="L174" s="860">
        <f t="shared" si="65"/>
        <v>5471.7600000000202</v>
      </c>
      <c r="M174" s="860"/>
      <c r="N174" s="860"/>
      <c r="O174" s="860">
        <f t="shared" si="63"/>
        <v>0</v>
      </c>
      <c r="P174" s="860">
        <f t="shared" si="56"/>
        <v>222464.48</v>
      </c>
      <c r="Q174" s="860">
        <f t="shared" si="57"/>
        <v>0</v>
      </c>
    </row>
    <row r="175" spans="1:17" ht="20.100000000000001" customHeight="1" x14ac:dyDescent="0.2">
      <c r="A175" s="25">
        <v>37</v>
      </c>
      <c r="B175" s="9" t="s">
        <v>340</v>
      </c>
      <c r="C175" s="10" t="s">
        <v>330</v>
      </c>
      <c r="D175" s="13" t="s">
        <v>337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62"/>
        <v>231733.83333333401</v>
      </c>
      <c r="I175" s="186">
        <f t="shared" si="51"/>
        <v>63135.666666666999</v>
      </c>
      <c r="J175" s="860">
        <v>13066.946666666699</v>
      </c>
      <c r="K175" s="860">
        <f t="shared" si="64"/>
        <v>18538.706666666701</v>
      </c>
      <c r="L175" s="860">
        <f t="shared" si="65"/>
        <v>5471.7600000000202</v>
      </c>
      <c r="M175" s="860"/>
      <c r="N175" s="860"/>
      <c r="O175" s="860">
        <f t="shared" si="63"/>
        <v>0</v>
      </c>
      <c r="P175" s="860">
        <f t="shared" si="56"/>
        <v>222464.48</v>
      </c>
      <c r="Q175" s="860">
        <f t="shared" si="57"/>
        <v>0</v>
      </c>
    </row>
    <row r="176" spans="1:17" ht="20.100000000000001" customHeight="1" x14ac:dyDescent="0.2">
      <c r="A176" s="25">
        <v>38</v>
      </c>
      <c r="B176" s="16" t="s">
        <v>341</v>
      </c>
      <c r="C176" s="10" t="s">
        <v>330</v>
      </c>
      <c r="D176" s="13" t="s">
        <v>337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62"/>
        <v>231733.83333333401</v>
      </c>
      <c r="I176" s="186">
        <f t="shared" si="51"/>
        <v>63135.666666666999</v>
      </c>
      <c r="J176" s="860">
        <v>13066.946666666699</v>
      </c>
      <c r="K176" s="860">
        <f t="shared" si="64"/>
        <v>18538.706666666701</v>
      </c>
      <c r="L176" s="860">
        <f t="shared" si="65"/>
        <v>5471.7600000000202</v>
      </c>
      <c r="M176" s="860"/>
      <c r="N176" s="860"/>
      <c r="O176" s="860">
        <f t="shared" si="63"/>
        <v>0</v>
      </c>
      <c r="P176" s="860">
        <f t="shared" si="56"/>
        <v>222464.48</v>
      </c>
      <c r="Q176" s="860">
        <f t="shared" si="57"/>
        <v>0</v>
      </c>
    </row>
    <row r="177" spans="1:17" ht="20.100000000000001" customHeight="1" x14ac:dyDescent="0.2">
      <c r="A177" s="25">
        <v>39</v>
      </c>
      <c r="B177" s="16" t="s">
        <v>342</v>
      </c>
      <c r="C177" s="10" t="s">
        <v>330</v>
      </c>
      <c r="D177" s="13" t="s">
        <v>337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62"/>
        <v>231733.83333333401</v>
      </c>
      <c r="I177" s="186">
        <f t="shared" si="51"/>
        <v>63135.666666666999</v>
      </c>
      <c r="J177" s="860">
        <v>13066.946666666699</v>
      </c>
      <c r="K177" s="860">
        <f t="shared" si="64"/>
        <v>18538.706666666701</v>
      </c>
      <c r="L177" s="860">
        <f t="shared" si="65"/>
        <v>5471.7600000000202</v>
      </c>
      <c r="M177" s="860"/>
      <c r="N177" s="860"/>
      <c r="O177" s="860">
        <f t="shared" si="63"/>
        <v>0</v>
      </c>
      <c r="P177" s="860">
        <f t="shared" si="56"/>
        <v>222464.48</v>
      </c>
      <c r="Q177" s="860">
        <f t="shared" ref="Q177:Q198" si="66">N177*12</f>
        <v>0</v>
      </c>
    </row>
    <row r="178" spans="1:17" ht="20.100000000000001" customHeight="1" x14ac:dyDescent="0.2">
      <c r="A178" s="25">
        <v>40</v>
      </c>
      <c r="B178" s="9" t="s">
        <v>343</v>
      </c>
      <c r="C178" s="10" t="s">
        <v>344</v>
      </c>
      <c r="D178" s="13" t="s">
        <v>345</v>
      </c>
      <c r="E178" s="70">
        <v>158075.5</v>
      </c>
      <c r="F178" s="865">
        <v>148459</v>
      </c>
      <c r="G178" s="186">
        <v>71308.333333333299</v>
      </c>
      <c r="H178" s="186">
        <f t="shared" si="62"/>
        <v>219767.33333333299</v>
      </c>
      <c r="I178" s="186">
        <f t="shared" si="51"/>
        <v>61691.833333333001</v>
      </c>
      <c r="J178" s="860">
        <v>12225.1333333333</v>
      </c>
      <c r="K178" s="860">
        <f t="shared" si="64"/>
        <v>17581.3866666666</v>
      </c>
      <c r="L178" s="860">
        <f t="shared" si="65"/>
        <v>5356.2533333333404</v>
      </c>
      <c r="M178" s="860"/>
      <c r="N178" s="860"/>
      <c r="O178" s="860">
        <f t="shared" si="63"/>
        <v>0</v>
      </c>
      <c r="P178" s="860">
        <f t="shared" si="56"/>
        <v>210976.639999999</v>
      </c>
      <c r="Q178" s="860">
        <f t="shared" si="66"/>
        <v>0</v>
      </c>
    </row>
    <row r="179" spans="1:17" ht="20.100000000000001" customHeight="1" x14ac:dyDescent="0.2">
      <c r="A179" s="25">
        <v>41</v>
      </c>
      <c r="B179" s="9" t="s">
        <v>346</v>
      </c>
      <c r="C179" s="10" t="s">
        <v>344</v>
      </c>
      <c r="D179" s="13" t="s">
        <v>345</v>
      </c>
      <c r="E179" s="70">
        <v>158075.5</v>
      </c>
      <c r="F179" s="865">
        <v>148459</v>
      </c>
      <c r="G179" s="186">
        <v>71308.333333333299</v>
      </c>
      <c r="H179" s="186">
        <f t="shared" si="62"/>
        <v>219767.33333333299</v>
      </c>
      <c r="I179" s="186">
        <f t="shared" si="51"/>
        <v>61691.833333333001</v>
      </c>
      <c r="J179" s="860">
        <v>12225.1333333333</v>
      </c>
      <c r="K179" s="860">
        <f t="shared" si="64"/>
        <v>17581.3866666666</v>
      </c>
      <c r="L179" s="860">
        <f t="shared" si="65"/>
        <v>5356.2533333333404</v>
      </c>
      <c r="M179" s="860"/>
      <c r="N179" s="860"/>
      <c r="O179" s="860">
        <f t="shared" si="63"/>
        <v>0</v>
      </c>
      <c r="P179" s="860">
        <f t="shared" si="56"/>
        <v>210976.639999999</v>
      </c>
      <c r="Q179" s="860">
        <f t="shared" si="66"/>
        <v>0</v>
      </c>
    </row>
    <row r="180" spans="1:17" ht="20.100000000000001" customHeight="1" x14ac:dyDescent="0.2">
      <c r="A180" s="25">
        <v>42</v>
      </c>
      <c r="B180" s="16" t="s">
        <v>347</v>
      </c>
      <c r="C180" s="10" t="s">
        <v>344</v>
      </c>
      <c r="D180" s="13" t="s">
        <v>348</v>
      </c>
      <c r="E180" s="70">
        <v>163336.83333333299</v>
      </c>
      <c r="F180" s="865">
        <v>152068.83333333299</v>
      </c>
      <c r="G180" s="186">
        <v>73681.75</v>
      </c>
      <c r="H180" s="186">
        <f t="shared" si="62"/>
        <v>225750.58333333299</v>
      </c>
      <c r="I180" s="186">
        <f t="shared" si="51"/>
        <v>62413.75</v>
      </c>
      <c r="J180" s="860">
        <v>12646.04</v>
      </c>
      <c r="K180" s="860">
        <f t="shared" si="64"/>
        <v>18060.0466666666</v>
      </c>
      <c r="L180" s="860">
        <f t="shared" si="65"/>
        <v>5414.0066666666398</v>
      </c>
      <c r="M180" s="860"/>
      <c r="N180" s="860"/>
      <c r="O180" s="860">
        <f t="shared" si="63"/>
        <v>0</v>
      </c>
      <c r="P180" s="860">
        <f t="shared" si="56"/>
        <v>216720.55999999901</v>
      </c>
      <c r="Q180" s="860">
        <f t="shared" si="66"/>
        <v>0</v>
      </c>
    </row>
    <row r="181" spans="1:17" ht="20.100000000000001" customHeight="1" x14ac:dyDescent="0.2">
      <c r="A181" s="25">
        <v>43</v>
      </c>
      <c r="B181" s="9" t="s">
        <v>349</v>
      </c>
      <c r="C181" s="10" t="s">
        <v>350</v>
      </c>
      <c r="D181" s="13" t="s">
        <v>351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62"/>
        <v>213784</v>
      </c>
      <c r="I181" s="186">
        <f t="shared" si="51"/>
        <v>60969.833333333001</v>
      </c>
      <c r="J181" s="860">
        <v>12225.1333333333</v>
      </c>
      <c r="K181" s="860">
        <f t="shared" si="64"/>
        <v>17102.72</v>
      </c>
      <c r="L181" s="860">
        <f t="shared" si="65"/>
        <v>4877.5866666666998</v>
      </c>
      <c r="M181" s="860"/>
      <c r="N181" s="860"/>
      <c r="O181" s="860">
        <f t="shared" si="63"/>
        <v>0</v>
      </c>
      <c r="P181" s="860">
        <f t="shared" si="56"/>
        <v>205232.64000000001</v>
      </c>
      <c r="Q181" s="860">
        <f t="shared" si="66"/>
        <v>0</v>
      </c>
    </row>
    <row r="182" spans="1:17" ht="20.100000000000001" customHeight="1" x14ac:dyDescent="0.2">
      <c r="A182" s="25">
        <v>44</v>
      </c>
      <c r="B182" s="9" t="s">
        <v>352</v>
      </c>
      <c r="C182" s="10" t="s">
        <v>353</v>
      </c>
      <c r="D182" s="13" t="s">
        <v>492</v>
      </c>
      <c r="E182" s="70">
        <v>94145.75</v>
      </c>
      <c r="F182" s="865">
        <v>101053.25</v>
      </c>
      <c r="G182" s="186">
        <v>45303.5</v>
      </c>
      <c r="H182" s="186">
        <f t="shared" ref="H182:H198" si="67">F182+G182</f>
        <v>146356.75</v>
      </c>
      <c r="I182" s="186">
        <f t="shared" si="51"/>
        <v>52211</v>
      </c>
      <c r="J182" s="860">
        <v>7327.84</v>
      </c>
      <c r="K182" s="860">
        <f t="shared" si="64"/>
        <v>11708.54</v>
      </c>
      <c r="L182" s="860">
        <f t="shared" si="65"/>
        <v>4380.7</v>
      </c>
      <c r="M182" s="860"/>
      <c r="N182" s="860"/>
      <c r="O182" s="860">
        <f t="shared" si="63"/>
        <v>0</v>
      </c>
      <c r="P182" s="860">
        <f t="shared" si="56"/>
        <v>140502.48000000001</v>
      </c>
      <c r="Q182" s="860">
        <f t="shared" si="66"/>
        <v>0</v>
      </c>
    </row>
    <row r="183" spans="1:17" ht="20.100000000000001" customHeight="1" x14ac:dyDescent="0.2">
      <c r="A183" s="25">
        <v>45</v>
      </c>
      <c r="B183" s="9" t="s">
        <v>355</v>
      </c>
      <c r="C183" s="10" t="s">
        <v>353</v>
      </c>
      <c r="D183" s="13" t="s">
        <v>492</v>
      </c>
      <c r="E183" s="70">
        <v>94145.75</v>
      </c>
      <c r="F183" s="865">
        <v>101053.25</v>
      </c>
      <c r="G183" s="186">
        <v>45303.5</v>
      </c>
      <c r="H183" s="186">
        <f t="shared" si="67"/>
        <v>146356.75</v>
      </c>
      <c r="I183" s="186">
        <f t="shared" si="51"/>
        <v>52211</v>
      </c>
      <c r="J183" s="860">
        <v>7327.84</v>
      </c>
      <c r="K183" s="860">
        <f t="shared" si="64"/>
        <v>11708.54</v>
      </c>
      <c r="L183" s="860">
        <f t="shared" si="65"/>
        <v>4380.7</v>
      </c>
      <c r="M183" s="860"/>
      <c r="N183" s="860"/>
      <c r="O183" s="860">
        <f t="shared" si="63"/>
        <v>0</v>
      </c>
      <c r="P183" s="860">
        <f t="shared" si="56"/>
        <v>140502.48000000001</v>
      </c>
      <c r="Q183" s="860">
        <f t="shared" si="66"/>
        <v>0</v>
      </c>
    </row>
    <row r="184" spans="1:17" ht="20.100000000000001" customHeight="1" x14ac:dyDescent="0.2">
      <c r="A184" s="25">
        <v>46</v>
      </c>
      <c r="B184" s="9" t="s">
        <v>356</v>
      </c>
      <c r="C184" s="10" t="s">
        <v>353</v>
      </c>
      <c r="D184" s="13" t="s">
        <v>492</v>
      </c>
      <c r="E184" s="70">
        <v>94145.75</v>
      </c>
      <c r="F184" s="865">
        <v>101053.25</v>
      </c>
      <c r="G184" s="186">
        <v>45303.5</v>
      </c>
      <c r="H184" s="186">
        <f t="shared" si="67"/>
        <v>146356.75</v>
      </c>
      <c r="I184" s="186">
        <f t="shared" si="51"/>
        <v>52211</v>
      </c>
      <c r="J184" s="860">
        <v>7327.84</v>
      </c>
      <c r="K184" s="860">
        <f t="shared" si="64"/>
        <v>11708.54</v>
      </c>
      <c r="L184" s="860">
        <f t="shared" si="65"/>
        <v>4380.7</v>
      </c>
      <c r="M184" s="860"/>
      <c r="N184" s="860"/>
      <c r="O184" s="860">
        <f t="shared" si="63"/>
        <v>0</v>
      </c>
      <c r="P184" s="860">
        <f t="shared" si="56"/>
        <v>140502.48000000001</v>
      </c>
      <c r="Q184" s="860">
        <f t="shared" si="66"/>
        <v>0</v>
      </c>
    </row>
    <row r="185" spans="1:17" ht="20.100000000000001" customHeight="1" x14ac:dyDescent="0.2">
      <c r="A185" s="25">
        <v>47</v>
      </c>
      <c r="B185" s="9" t="s">
        <v>357</v>
      </c>
      <c r="C185" s="10" t="s">
        <v>353</v>
      </c>
      <c r="D185" s="13" t="s">
        <v>492</v>
      </c>
      <c r="E185" s="70">
        <v>94145.75</v>
      </c>
      <c r="F185" s="865">
        <v>101053.25</v>
      </c>
      <c r="G185" s="186">
        <v>45303.5</v>
      </c>
      <c r="H185" s="186">
        <f t="shared" si="67"/>
        <v>146356.75</v>
      </c>
      <c r="I185" s="186">
        <f t="shared" si="51"/>
        <v>52211</v>
      </c>
      <c r="J185" s="860">
        <v>7327.84</v>
      </c>
      <c r="K185" s="860">
        <f t="shared" si="64"/>
        <v>11708.54</v>
      </c>
      <c r="L185" s="860">
        <f t="shared" si="65"/>
        <v>4380.7</v>
      </c>
      <c r="M185" s="860"/>
      <c r="N185" s="860"/>
      <c r="O185" s="860">
        <f t="shared" si="63"/>
        <v>0</v>
      </c>
      <c r="P185" s="860">
        <f t="shared" si="56"/>
        <v>140502.48000000001</v>
      </c>
      <c r="Q185" s="860">
        <f t="shared" si="66"/>
        <v>0</v>
      </c>
    </row>
    <row r="186" spans="1:17" ht="20.100000000000001" customHeight="1" x14ac:dyDescent="0.2">
      <c r="A186" s="25">
        <v>48</v>
      </c>
      <c r="B186" s="9" t="s">
        <v>358</v>
      </c>
      <c r="C186" s="10" t="s">
        <v>353</v>
      </c>
      <c r="D186" s="13" t="s">
        <v>492</v>
      </c>
      <c r="E186" s="70">
        <v>94145.75</v>
      </c>
      <c r="F186" s="865">
        <v>101053.25</v>
      </c>
      <c r="G186" s="186">
        <v>45303.5</v>
      </c>
      <c r="H186" s="186">
        <f t="shared" si="67"/>
        <v>146356.75</v>
      </c>
      <c r="I186" s="186">
        <f t="shared" si="51"/>
        <v>52211</v>
      </c>
      <c r="J186" s="860">
        <v>7327.84</v>
      </c>
      <c r="K186" s="860">
        <f t="shared" si="64"/>
        <v>11708.54</v>
      </c>
      <c r="L186" s="860">
        <f t="shared" si="65"/>
        <v>4380.7</v>
      </c>
      <c r="M186" s="860"/>
      <c r="N186" s="860"/>
      <c r="O186" s="860">
        <f t="shared" si="63"/>
        <v>0</v>
      </c>
      <c r="P186" s="860">
        <f t="shared" si="56"/>
        <v>140502.48000000001</v>
      </c>
      <c r="Q186" s="860">
        <f t="shared" si="66"/>
        <v>0</v>
      </c>
    </row>
    <row r="187" spans="1:17" ht="20.100000000000001" customHeight="1" x14ac:dyDescent="0.2">
      <c r="A187" s="25">
        <v>49</v>
      </c>
      <c r="B187" s="16" t="s">
        <v>359</v>
      </c>
      <c r="C187" s="10" t="s">
        <v>353</v>
      </c>
      <c r="D187" s="13" t="s">
        <v>492</v>
      </c>
      <c r="E187" s="70">
        <v>94145.75</v>
      </c>
      <c r="F187" s="865">
        <v>101053.25</v>
      </c>
      <c r="G187" s="186">
        <v>45303.5</v>
      </c>
      <c r="H187" s="186">
        <f t="shared" si="67"/>
        <v>146356.75</v>
      </c>
      <c r="I187" s="186">
        <f t="shared" si="51"/>
        <v>52211</v>
      </c>
      <c r="J187" s="860">
        <v>7327.84</v>
      </c>
      <c r="K187" s="860">
        <f t="shared" si="64"/>
        <v>11708.54</v>
      </c>
      <c r="L187" s="860">
        <f t="shared" si="65"/>
        <v>4380.7</v>
      </c>
      <c r="M187" s="860"/>
      <c r="N187" s="860"/>
      <c r="O187" s="860">
        <f t="shared" si="63"/>
        <v>0</v>
      </c>
      <c r="P187" s="860">
        <f t="shared" ref="P187:P198" si="68">12*K187</f>
        <v>140502.48000000001</v>
      </c>
      <c r="Q187" s="860">
        <f t="shared" si="66"/>
        <v>0</v>
      </c>
    </row>
    <row r="188" spans="1:17" ht="20.100000000000001" customHeight="1" x14ac:dyDescent="0.2">
      <c r="A188" s="25">
        <v>50</v>
      </c>
      <c r="B188" s="16" t="s">
        <v>360</v>
      </c>
      <c r="C188" s="10" t="s">
        <v>353</v>
      </c>
      <c r="D188" s="13" t="s">
        <v>492</v>
      </c>
      <c r="E188" s="70">
        <v>94145.75</v>
      </c>
      <c r="F188" s="865">
        <v>101053.25</v>
      </c>
      <c r="G188" s="186">
        <v>45303.5</v>
      </c>
      <c r="H188" s="186">
        <f t="shared" si="67"/>
        <v>146356.75</v>
      </c>
      <c r="I188" s="186">
        <f t="shared" si="51"/>
        <v>52211</v>
      </c>
      <c r="J188" s="860">
        <v>7327.84</v>
      </c>
      <c r="K188" s="860">
        <f t="shared" si="64"/>
        <v>11708.54</v>
      </c>
      <c r="L188" s="860">
        <f t="shared" si="65"/>
        <v>4380.7</v>
      </c>
      <c r="M188" s="860"/>
      <c r="N188" s="860"/>
      <c r="O188" s="860">
        <f t="shared" si="63"/>
        <v>0</v>
      </c>
      <c r="P188" s="860">
        <f t="shared" si="68"/>
        <v>140502.48000000001</v>
      </c>
      <c r="Q188" s="860">
        <f t="shared" si="66"/>
        <v>0</v>
      </c>
    </row>
    <row r="189" spans="1:17" ht="20.100000000000001" customHeight="1" x14ac:dyDescent="0.2">
      <c r="A189" s="25">
        <v>51</v>
      </c>
      <c r="B189" s="9" t="s">
        <v>493</v>
      </c>
      <c r="C189" s="10" t="s">
        <v>350</v>
      </c>
      <c r="D189" s="13" t="s">
        <v>492</v>
      </c>
      <c r="E189" s="70">
        <v>94145.75</v>
      </c>
      <c r="F189" s="865">
        <v>101053.25</v>
      </c>
      <c r="G189" s="186">
        <v>45303.5</v>
      </c>
      <c r="H189" s="186">
        <f t="shared" si="67"/>
        <v>146356.75</v>
      </c>
      <c r="I189" s="186">
        <f t="shared" si="51"/>
        <v>52211</v>
      </c>
      <c r="J189" s="860"/>
      <c r="K189" s="860">
        <f t="shared" si="64"/>
        <v>11708.54</v>
      </c>
      <c r="L189" s="860">
        <f t="shared" si="65"/>
        <v>11708.54</v>
      </c>
      <c r="M189" s="860"/>
      <c r="N189" s="860"/>
      <c r="O189" s="860">
        <f t="shared" si="63"/>
        <v>0</v>
      </c>
      <c r="P189" s="860">
        <f t="shared" si="68"/>
        <v>140502.48000000001</v>
      </c>
      <c r="Q189" s="860">
        <f t="shared" si="66"/>
        <v>0</v>
      </c>
    </row>
    <row r="190" spans="1:17" ht="20.100000000000001" customHeight="1" x14ac:dyDescent="0.2">
      <c r="A190" s="25">
        <v>52</v>
      </c>
      <c r="B190" s="9" t="s">
        <v>361</v>
      </c>
      <c r="C190" s="10" t="s">
        <v>350</v>
      </c>
      <c r="D190" s="13" t="s">
        <v>492</v>
      </c>
      <c r="E190" s="70">
        <v>94145.75</v>
      </c>
      <c r="F190" s="865">
        <v>101053.25</v>
      </c>
      <c r="G190" s="186">
        <v>45303.5</v>
      </c>
      <c r="H190" s="186">
        <f t="shared" si="67"/>
        <v>146356.75</v>
      </c>
      <c r="I190" s="186">
        <f t="shared" si="51"/>
        <v>52211</v>
      </c>
      <c r="J190" s="860">
        <v>7327.84</v>
      </c>
      <c r="K190" s="860">
        <f t="shared" si="64"/>
        <v>11708.54</v>
      </c>
      <c r="L190" s="860">
        <f t="shared" si="65"/>
        <v>4380.7</v>
      </c>
      <c r="M190" s="860"/>
      <c r="N190" s="860"/>
      <c r="O190" s="860">
        <f t="shared" si="63"/>
        <v>0</v>
      </c>
      <c r="P190" s="860">
        <f t="shared" si="68"/>
        <v>140502.48000000001</v>
      </c>
      <c r="Q190" s="860">
        <f t="shared" si="66"/>
        <v>0</v>
      </c>
    </row>
    <row r="191" spans="1:17" ht="20.100000000000001" customHeight="1" x14ac:dyDescent="0.2">
      <c r="A191" s="25">
        <v>53</v>
      </c>
      <c r="B191" s="16" t="s">
        <v>362</v>
      </c>
      <c r="C191" s="10" t="s">
        <v>363</v>
      </c>
      <c r="D191" s="13" t="s">
        <v>364</v>
      </c>
      <c r="E191" s="70">
        <v>91598</v>
      </c>
      <c r="F191" s="865">
        <v>99486.916666666701</v>
      </c>
      <c r="G191" s="186">
        <v>44008.75</v>
      </c>
      <c r="H191" s="186">
        <f t="shared" si="67"/>
        <v>143495.66666666701</v>
      </c>
      <c r="I191" s="186">
        <f t="shared" si="51"/>
        <v>51897.666666666701</v>
      </c>
      <c r="J191" s="860">
        <v>7124.02</v>
      </c>
      <c r="K191" s="860">
        <f t="shared" si="64"/>
        <v>11479.653333333301</v>
      </c>
      <c r="L191" s="860">
        <f t="shared" si="65"/>
        <v>4355.6333333333396</v>
      </c>
      <c r="M191" s="860"/>
      <c r="N191" s="860"/>
      <c r="O191" s="860">
        <f t="shared" si="63"/>
        <v>0</v>
      </c>
      <c r="P191" s="860">
        <f t="shared" si="68"/>
        <v>137755.84</v>
      </c>
      <c r="Q191" s="860">
        <f t="shared" si="66"/>
        <v>0</v>
      </c>
    </row>
    <row r="192" spans="1:17" ht="20.100000000000001" customHeight="1" x14ac:dyDescent="0.2">
      <c r="A192" s="25">
        <v>54</v>
      </c>
      <c r="B192" s="16" t="s">
        <v>365</v>
      </c>
      <c r="C192" s="10" t="s">
        <v>363</v>
      </c>
      <c r="D192" s="13" t="s">
        <v>366</v>
      </c>
      <c r="E192" s="70">
        <v>86502.5</v>
      </c>
      <c r="F192" s="865">
        <v>96354.25</v>
      </c>
      <c r="G192" s="186">
        <v>41419.25</v>
      </c>
      <c r="H192" s="186">
        <f t="shared" si="67"/>
        <v>137773.5</v>
      </c>
      <c r="I192" s="186">
        <f t="shared" si="51"/>
        <v>51271</v>
      </c>
      <c r="J192" s="860"/>
      <c r="K192" s="860">
        <f t="shared" si="64"/>
        <v>11021.88</v>
      </c>
      <c r="L192" s="860">
        <f t="shared" si="65"/>
        <v>11021.88</v>
      </c>
      <c r="M192" s="860"/>
      <c r="N192" s="860"/>
      <c r="O192" s="860">
        <f t="shared" si="63"/>
        <v>0</v>
      </c>
      <c r="P192" s="860">
        <f t="shared" si="68"/>
        <v>132262.56</v>
      </c>
      <c r="Q192" s="860">
        <f t="shared" si="66"/>
        <v>0</v>
      </c>
    </row>
    <row r="193" spans="1:17" ht="20.100000000000001" customHeight="1" x14ac:dyDescent="0.2">
      <c r="A193" s="25">
        <v>55</v>
      </c>
      <c r="B193" s="16" t="s">
        <v>367</v>
      </c>
      <c r="C193" s="10" t="s">
        <v>363</v>
      </c>
      <c r="D193" s="13" t="s">
        <v>368</v>
      </c>
      <c r="E193" s="70">
        <v>83933</v>
      </c>
      <c r="F193" s="865">
        <v>94788.166666666701</v>
      </c>
      <c r="G193" s="186">
        <v>40124.5</v>
      </c>
      <c r="H193" s="186">
        <f t="shared" si="67"/>
        <v>134912.66666666701</v>
      </c>
      <c r="I193" s="186">
        <f t="shared" si="51"/>
        <v>50979.666666666701</v>
      </c>
      <c r="J193" s="860">
        <v>6920.2</v>
      </c>
      <c r="K193" s="860">
        <f t="shared" si="64"/>
        <v>10793.0133333333</v>
      </c>
      <c r="L193" s="860">
        <f t="shared" si="65"/>
        <v>3872.8133333333299</v>
      </c>
      <c r="M193" s="860"/>
      <c r="N193" s="860"/>
      <c r="O193" s="860">
        <f t="shared" si="63"/>
        <v>0</v>
      </c>
      <c r="P193" s="860">
        <f t="shared" si="68"/>
        <v>129516.16</v>
      </c>
      <c r="Q193" s="860">
        <f t="shared" si="66"/>
        <v>0</v>
      </c>
    </row>
    <row r="194" spans="1:17" ht="20.100000000000001" customHeight="1" x14ac:dyDescent="0.2">
      <c r="A194" s="25">
        <v>56</v>
      </c>
      <c r="B194" s="16" t="s">
        <v>369</v>
      </c>
      <c r="C194" s="10" t="s">
        <v>370</v>
      </c>
      <c r="D194" s="13" t="s">
        <v>371</v>
      </c>
      <c r="E194" s="70">
        <v>78733.833333333299</v>
      </c>
      <c r="F194" s="853">
        <v>91578.25</v>
      </c>
      <c r="G194" s="2">
        <v>37471.166666666701</v>
      </c>
      <c r="H194" s="186">
        <f t="shared" si="67"/>
        <v>129049.41666666701</v>
      </c>
      <c r="I194" s="186">
        <f t="shared" si="51"/>
        <v>50315.583333333401</v>
      </c>
      <c r="J194" s="860">
        <v>6123.26</v>
      </c>
      <c r="K194" s="860">
        <f t="shared" si="64"/>
        <v>10323.9533333333</v>
      </c>
      <c r="L194" s="860">
        <f t="shared" si="65"/>
        <v>4200.69333333334</v>
      </c>
      <c r="M194" s="860"/>
      <c r="N194" s="860"/>
      <c r="O194" s="860">
        <f t="shared" si="63"/>
        <v>0</v>
      </c>
      <c r="P194" s="860">
        <f t="shared" si="68"/>
        <v>123887.44</v>
      </c>
      <c r="Q194" s="860">
        <f t="shared" si="66"/>
        <v>0</v>
      </c>
    </row>
    <row r="195" spans="1:17" ht="20.100000000000001" customHeight="1" x14ac:dyDescent="0.2">
      <c r="A195" s="25">
        <v>57</v>
      </c>
      <c r="B195" s="16" t="s">
        <v>372</v>
      </c>
      <c r="C195" s="10" t="s">
        <v>370</v>
      </c>
      <c r="D195" s="13" t="s">
        <v>371</v>
      </c>
      <c r="E195" s="70">
        <v>78733.833333333299</v>
      </c>
      <c r="F195" s="853">
        <v>91578.25</v>
      </c>
      <c r="G195" s="2">
        <v>37471.166666666701</v>
      </c>
      <c r="H195" s="186">
        <f t="shared" si="67"/>
        <v>129049.41666666701</v>
      </c>
      <c r="I195" s="186">
        <f t="shared" si="51"/>
        <v>50315.583333333401</v>
      </c>
      <c r="J195" s="860">
        <v>6123.26</v>
      </c>
      <c r="K195" s="860">
        <f t="shared" si="64"/>
        <v>10323.9533333333</v>
      </c>
      <c r="L195" s="860">
        <f t="shared" si="65"/>
        <v>4200.69333333334</v>
      </c>
      <c r="M195" s="860"/>
      <c r="N195" s="860"/>
      <c r="O195" s="860">
        <f t="shared" si="63"/>
        <v>0</v>
      </c>
      <c r="P195" s="860">
        <f t="shared" si="68"/>
        <v>123887.44</v>
      </c>
      <c r="Q195" s="860">
        <f t="shared" si="66"/>
        <v>0</v>
      </c>
    </row>
    <row r="196" spans="1:17" ht="20.100000000000001" customHeight="1" x14ac:dyDescent="0.2">
      <c r="A196" s="25">
        <v>58</v>
      </c>
      <c r="B196" s="16" t="s">
        <v>373</v>
      </c>
      <c r="C196" s="10" t="s">
        <v>370</v>
      </c>
      <c r="D196" s="13" t="s">
        <v>371</v>
      </c>
      <c r="E196" s="70">
        <v>78733.833333333299</v>
      </c>
      <c r="F196" s="853">
        <v>91578.25</v>
      </c>
      <c r="G196" s="2">
        <v>37471.166666666701</v>
      </c>
      <c r="H196" s="186">
        <f t="shared" si="67"/>
        <v>129049.41666666701</v>
      </c>
      <c r="I196" s="186">
        <f t="shared" si="51"/>
        <v>50315.583333333401</v>
      </c>
      <c r="J196" s="860">
        <v>6123.26</v>
      </c>
      <c r="K196" s="860">
        <f t="shared" si="64"/>
        <v>10323.9533333333</v>
      </c>
      <c r="L196" s="860">
        <f t="shared" si="65"/>
        <v>4200.69333333334</v>
      </c>
      <c r="M196" s="860"/>
      <c r="N196" s="860"/>
      <c r="O196" s="860">
        <f t="shared" si="63"/>
        <v>0</v>
      </c>
      <c r="P196" s="860">
        <f t="shared" si="68"/>
        <v>123887.44</v>
      </c>
      <c r="Q196" s="860">
        <f t="shared" si="66"/>
        <v>0</v>
      </c>
    </row>
    <row r="197" spans="1:17" ht="20.100000000000001" customHeight="1" x14ac:dyDescent="0.2">
      <c r="A197" s="25">
        <v>59</v>
      </c>
      <c r="B197" s="16" t="s">
        <v>374</v>
      </c>
      <c r="C197" s="10" t="s">
        <v>375</v>
      </c>
      <c r="D197" s="13" t="s">
        <v>376</v>
      </c>
      <c r="E197" s="70">
        <v>89050.25</v>
      </c>
      <c r="F197" s="853">
        <v>97920.666666666701</v>
      </c>
      <c r="G197" s="186">
        <v>42714</v>
      </c>
      <c r="H197" s="186">
        <f t="shared" si="67"/>
        <v>140634.66666666701</v>
      </c>
      <c r="I197" s="186">
        <f t="shared" si="51"/>
        <v>51584.416666666701</v>
      </c>
      <c r="J197" s="860">
        <v>6920.2</v>
      </c>
      <c r="K197" s="860">
        <f t="shared" si="64"/>
        <v>11250.7733333333</v>
      </c>
      <c r="L197" s="860">
        <f t="shared" si="65"/>
        <v>4330.5733333333301</v>
      </c>
      <c r="M197" s="860"/>
      <c r="N197" s="860"/>
      <c r="O197" s="860">
        <f t="shared" si="63"/>
        <v>0</v>
      </c>
      <c r="P197" s="860">
        <f t="shared" si="68"/>
        <v>135009.28</v>
      </c>
      <c r="Q197" s="860">
        <f t="shared" si="66"/>
        <v>0</v>
      </c>
    </row>
    <row r="198" spans="1:17" ht="20.100000000000001" customHeight="1" x14ac:dyDescent="0.2">
      <c r="A198" s="25">
        <v>60</v>
      </c>
      <c r="B198" s="16" t="s">
        <v>377</v>
      </c>
      <c r="C198" s="10" t="s">
        <v>375</v>
      </c>
      <c r="D198" s="13" t="s">
        <v>376</v>
      </c>
      <c r="E198" s="70">
        <v>89050.25</v>
      </c>
      <c r="F198" s="853">
        <v>97920.666666666701</v>
      </c>
      <c r="G198" s="186">
        <v>42714</v>
      </c>
      <c r="H198" s="186">
        <f t="shared" si="67"/>
        <v>140634.66666666701</v>
      </c>
      <c r="I198" s="186">
        <f t="shared" si="51"/>
        <v>51584.416666666701</v>
      </c>
      <c r="J198" s="860">
        <v>6920.2</v>
      </c>
      <c r="K198" s="860">
        <f t="shared" si="64"/>
        <v>11250.7733333333</v>
      </c>
      <c r="L198" s="860">
        <f t="shared" si="65"/>
        <v>4330.5733333333301</v>
      </c>
      <c r="M198" s="860"/>
      <c r="N198" s="860"/>
      <c r="O198" s="860">
        <f t="shared" si="63"/>
        <v>0</v>
      </c>
      <c r="P198" s="860">
        <f t="shared" si="68"/>
        <v>135009.28</v>
      </c>
      <c r="Q198" s="860">
        <f t="shared" si="66"/>
        <v>0</v>
      </c>
    </row>
    <row r="199" spans="1:17" ht="30.75" customHeight="1" x14ac:dyDescent="0.5">
      <c r="A199" s="25"/>
      <c r="B199" s="6" t="s">
        <v>111</v>
      </c>
      <c r="C199" s="26" t="s">
        <v>494</v>
      </c>
      <c r="D199" s="27"/>
      <c r="E199" s="78">
        <f t="shared" ref="E199:Q199" si="69">SUM(E139:E198)</f>
        <v>14787756.9166667</v>
      </c>
      <c r="F199" s="856">
        <f t="shared" si="69"/>
        <v>12440135.5</v>
      </c>
      <c r="G199" s="78">
        <f t="shared" si="69"/>
        <v>6814126.75</v>
      </c>
      <c r="H199" s="78">
        <f t="shared" si="69"/>
        <v>19254262.25</v>
      </c>
      <c r="I199" s="78">
        <f t="shared" si="69"/>
        <v>4466505.3333333302</v>
      </c>
      <c r="J199" s="78">
        <f t="shared" si="69"/>
        <v>1154618.3566666699</v>
      </c>
      <c r="K199" s="78">
        <f t="shared" si="69"/>
        <v>1540340.98</v>
      </c>
      <c r="L199" s="78">
        <f t="shared" si="69"/>
        <v>385722.62333333399</v>
      </c>
      <c r="M199" s="78">
        <f t="shared" si="69"/>
        <v>72300.491666666698</v>
      </c>
      <c r="N199" s="78">
        <f t="shared" si="69"/>
        <v>150315.125</v>
      </c>
      <c r="O199" s="78">
        <f t="shared" si="69"/>
        <v>78014.633333333302</v>
      </c>
      <c r="P199" s="78">
        <f t="shared" si="69"/>
        <v>18484091.760000002</v>
      </c>
      <c r="Q199" s="78">
        <f t="shared" si="69"/>
        <v>1803781.5</v>
      </c>
    </row>
    <row r="200" spans="1:17" ht="30" customHeight="1" x14ac:dyDescent="0.2">
      <c r="A200" s="2"/>
      <c r="B200" s="28" t="s">
        <v>495</v>
      </c>
      <c r="C200" s="29">
        <f>C39+C46+C57+C62+C72+C81+C94+C102+C112+C123+C136+C199</f>
        <v>153</v>
      </c>
      <c r="D200" s="30"/>
      <c r="E200" s="193">
        <f t="shared" ref="E200:Q200" si="70">E199+E136+E123+E118+E112+E102+E94+E81+E72+E62+E57+E46+E39</f>
        <v>62694852.333666697</v>
      </c>
      <c r="F200" s="867">
        <f t="shared" si="70"/>
        <v>49056822</v>
      </c>
      <c r="G200" s="193">
        <f t="shared" si="70"/>
        <v>29017396.5</v>
      </c>
      <c r="H200" s="193">
        <f t="shared" si="70"/>
        <v>78074218.5</v>
      </c>
      <c r="I200" s="868">
        <f t="shared" si="70"/>
        <v>15379366.166333299</v>
      </c>
      <c r="J200" s="193">
        <f t="shared" si="70"/>
        <v>4754163.5599999996</v>
      </c>
      <c r="K200" s="193">
        <f t="shared" si="70"/>
        <v>6015821.9733333299</v>
      </c>
      <c r="L200" s="868">
        <f t="shared" si="70"/>
        <v>1261658.4133333301</v>
      </c>
      <c r="M200" s="193">
        <f t="shared" si="70"/>
        <v>267480.25624999998</v>
      </c>
      <c r="N200" s="193">
        <f t="shared" si="70"/>
        <v>513039.26874999999</v>
      </c>
      <c r="O200" s="868">
        <f t="shared" si="70"/>
        <v>245559.01250000001</v>
      </c>
      <c r="P200" s="193">
        <f t="shared" si="70"/>
        <v>72189863.680000007</v>
      </c>
      <c r="Q200" s="193">
        <f t="shared" si="70"/>
        <v>5757905.4500000002</v>
      </c>
    </row>
    <row r="201" spans="1:17" ht="35.25" customHeight="1" x14ac:dyDescent="0.2">
      <c r="A201" s="2"/>
      <c r="B201" s="28" t="s">
        <v>496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 x14ac:dyDescent="0.2">
      <c r="A202" s="2"/>
      <c r="B202" s="28" t="s">
        <v>497</v>
      </c>
      <c r="C202" s="29">
        <f>SUM(C200:C201)</f>
        <v>175</v>
      </c>
      <c r="D202" s="30"/>
      <c r="E202" s="193">
        <f>E200+E201</f>
        <v>69258581.583666697</v>
      </c>
      <c r="F202" s="193">
        <f t="shared" ref="F202:Q202" si="71">F200+F201</f>
        <v>54402916.833333299</v>
      </c>
      <c r="G202" s="193">
        <f t="shared" si="71"/>
        <v>32040283.916666701</v>
      </c>
      <c r="H202" s="193">
        <f t="shared" si="71"/>
        <v>86443200.75</v>
      </c>
      <c r="I202" s="193">
        <f t="shared" si="71"/>
        <v>17184619.166333299</v>
      </c>
      <c r="J202" s="193">
        <f t="shared" si="71"/>
        <v>5279261.9000000004</v>
      </c>
      <c r="K202" s="193">
        <f t="shared" si="71"/>
        <v>6685340.55333333</v>
      </c>
      <c r="L202" s="193">
        <f t="shared" si="71"/>
        <v>1406078.6533333301</v>
      </c>
      <c r="M202" s="193">
        <f t="shared" si="71"/>
        <v>267480.25624999998</v>
      </c>
      <c r="N202" s="193">
        <f t="shared" si="71"/>
        <v>513039.26874999999</v>
      </c>
      <c r="O202" s="193">
        <f t="shared" si="71"/>
        <v>245559.01250000001</v>
      </c>
      <c r="P202" s="193">
        <f t="shared" si="71"/>
        <v>72189863.680000007</v>
      </c>
      <c r="Q202" s="193">
        <f t="shared" si="71"/>
        <v>5757905.4500000002</v>
      </c>
    </row>
    <row r="203" spans="1:17" ht="20.100000000000001" customHeight="1" x14ac:dyDescent="0.2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 x14ac:dyDescent="0.2">
      <c r="F204" s="1"/>
    </row>
    <row r="205" spans="1:17" ht="20.100000000000001" customHeight="1" x14ac:dyDescent="0.2">
      <c r="F205" s="1"/>
      <c r="N205" s="11"/>
    </row>
    <row r="206" spans="1:17" ht="20.100000000000001" customHeight="1" x14ac:dyDescent="0.2">
      <c r="F206" s="1"/>
    </row>
    <row r="207" spans="1:17" ht="20.100000000000001" customHeight="1" x14ac:dyDescent="0.2">
      <c r="F207" s="1"/>
    </row>
    <row r="208" spans="1:17" ht="20.100000000000001" customHeight="1" x14ac:dyDescent="0.2">
      <c r="F208" s="1"/>
    </row>
    <row r="209" spans="6:6" ht="20.100000000000001" customHeight="1" x14ac:dyDescent="0.2">
      <c r="F209" s="1"/>
    </row>
    <row r="210" spans="6:6" ht="20.100000000000001" customHeight="1" x14ac:dyDescent="0.2">
      <c r="F210" s="1"/>
    </row>
    <row r="211" spans="6:6" ht="20.100000000000001" customHeight="1" x14ac:dyDescent="0.2">
      <c r="F211" s="1"/>
    </row>
    <row r="212" spans="6:6" ht="20.100000000000001" customHeight="1" x14ac:dyDescent="0.2">
      <c r="F212" s="1"/>
    </row>
    <row r="213" spans="6:6" ht="20.100000000000001" customHeight="1" x14ac:dyDescent="0.2">
      <c r="F213" s="1"/>
    </row>
    <row r="214" spans="6:6" ht="20.100000000000001" customHeight="1" x14ac:dyDescent="0.2">
      <c r="F214" s="1"/>
    </row>
    <row r="215" spans="6:6" ht="20.100000000000001" customHeight="1" x14ac:dyDescent="0.2">
      <c r="F215" s="1"/>
    </row>
    <row r="216" spans="6:6" ht="20.100000000000001" customHeight="1" x14ac:dyDescent="0.2">
      <c r="F216" s="1"/>
    </row>
    <row r="217" spans="6:6" ht="20.100000000000001" customHeight="1" x14ac:dyDescent="0.2">
      <c r="F217" s="1"/>
    </row>
    <row r="218" spans="6:6" ht="20.100000000000001" customHeight="1" x14ac:dyDescent="0.2">
      <c r="F218" s="1"/>
    </row>
    <row r="219" spans="6:6" ht="20.100000000000001" customHeight="1" x14ac:dyDescent="0.2">
      <c r="F219" s="1"/>
    </row>
    <row r="220" spans="6:6" ht="20.100000000000001" customHeight="1" x14ac:dyDescent="0.2">
      <c r="F220" s="1"/>
    </row>
    <row r="221" spans="6:6" ht="20.100000000000001" customHeight="1" x14ac:dyDescent="0.2">
      <c r="F221" s="1"/>
    </row>
    <row r="222" spans="6:6" ht="20.100000000000001" customHeight="1" x14ac:dyDescent="0.2">
      <c r="F222" s="1"/>
    </row>
    <row r="223" spans="6:6" ht="20.100000000000001" customHeight="1" x14ac:dyDescent="0.2">
      <c r="F223" s="1"/>
    </row>
    <row r="224" spans="6:6" ht="20.100000000000001" customHeight="1" x14ac:dyDescent="0.2">
      <c r="F224" s="1"/>
    </row>
    <row r="225" spans="6:6" ht="20.100000000000001" customHeight="1" x14ac:dyDescent="0.2">
      <c r="F225" s="1"/>
    </row>
    <row r="226" spans="6:6" ht="20.100000000000001" customHeight="1" x14ac:dyDescent="0.2">
      <c r="F226" s="1"/>
    </row>
    <row r="227" spans="6:6" ht="20.100000000000001" customHeight="1" x14ac:dyDescent="0.2">
      <c r="F227" s="1"/>
    </row>
    <row r="228" spans="6:6" ht="20.100000000000001" customHeight="1" x14ac:dyDescent="0.2">
      <c r="F228" s="1"/>
    </row>
    <row r="229" spans="6:6" ht="20.100000000000001" customHeight="1" x14ac:dyDescent="0.2">
      <c r="F229" s="1"/>
    </row>
    <row r="230" spans="6:6" ht="20.100000000000001" customHeight="1" x14ac:dyDescent="0.2">
      <c r="F230" s="1"/>
    </row>
    <row r="231" spans="6:6" ht="20.100000000000001" customHeight="1" x14ac:dyDescent="0.2">
      <c r="F231" s="1"/>
    </row>
    <row r="232" spans="6:6" ht="20.100000000000001" customHeight="1" x14ac:dyDescent="0.2">
      <c r="F232" s="1"/>
    </row>
    <row r="233" spans="6:6" ht="20.100000000000001" customHeight="1" x14ac:dyDescent="0.2">
      <c r="F233" s="1"/>
    </row>
    <row r="234" spans="6:6" ht="20.100000000000001" customHeight="1" x14ac:dyDescent="0.2">
      <c r="F234" s="1"/>
    </row>
    <row r="235" spans="6:6" ht="20.100000000000001" customHeight="1" x14ac:dyDescent="0.2">
      <c r="F235" s="1"/>
    </row>
    <row r="236" spans="6:6" ht="20.100000000000001" customHeight="1" x14ac:dyDescent="0.2">
      <c r="F236" s="1"/>
    </row>
    <row r="237" spans="6:6" ht="20.100000000000001" customHeight="1" x14ac:dyDescent="0.2">
      <c r="F237" s="1"/>
    </row>
    <row r="238" spans="6:6" ht="20.100000000000001" customHeight="1" x14ac:dyDescent="0.2">
      <c r="F238" s="1"/>
    </row>
    <row r="239" spans="6:6" ht="20.100000000000001" customHeight="1" x14ac:dyDescent="0.2">
      <c r="F239" s="1"/>
    </row>
    <row r="240" spans="6:6" ht="20.100000000000001" customHeight="1" x14ac:dyDescent="0.2">
      <c r="F240" s="1"/>
    </row>
    <row r="241" spans="6:6" ht="20.100000000000001" customHeight="1" x14ac:dyDescent="0.2">
      <c r="F241" s="1"/>
    </row>
    <row r="242" spans="6:6" ht="20.100000000000001" customHeight="1" x14ac:dyDescent="0.2">
      <c r="F242" s="1"/>
    </row>
    <row r="243" spans="6:6" ht="20.100000000000001" customHeight="1" x14ac:dyDescent="0.2">
      <c r="F243" s="1"/>
    </row>
    <row r="244" spans="6:6" ht="20.100000000000001" customHeight="1" x14ac:dyDescent="0.2">
      <c r="F244" s="1"/>
    </row>
    <row r="245" spans="6:6" ht="20.100000000000001" customHeight="1" x14ac:dyDescent="0.2">
      <c r="F245" s="1"/>
    </row>
    <row r="246" spans="6:6" ht="20.100000000000001" customHeight="1" x14ac:dyDescent="0.2">
      <c r="F246" s="1"/>
    </row>
    <row r="247" spans="6:6" ht="20.100000000000001" customHeight="1" x14ac:dyDescent="0.2">
      <c r="F247" s="1"/>
    </row>
    <row r="248" spans="6:6" ht="20.100000000000001" customHeight="1" x14ac:dyDescent="0.2">
      <c r="F248" s="1"/>
    </row>
    <row r="249" spans="6:6" ht="20.100000000000001" customHeight="1" x14ac:dyDescent="0.2">
      <c r="F249" s="1"/>
    </row>
    <row r="250" spans="6:6" ht="20.100000000000001" customHeight="1" x14ac:dyDescent="0.2">
      <c r="F250" s="1"/>
    </row>
    <row r="251" spans="6:6" ht="20.100000000000001" customHeight="1" x14ac:dyDescent="0.2">
      <c r="F251" s="1"/>
    </row>
    <row r="252" spans="6:6" ht="20.100000000000001" customHeight="1" x14ac:dyDescent="0.2">
      <c r="F252" s="1"/>
    </row>
    <row r="253" spans="6:6" ht="20.100000000000001" customHeight="1" x14ac:dyDescent="0.2">
      <c r="F253" s="1"/>
    </row>
    <row r="254" spans="6:6" ht="20.100000000000001" customHeight="1" x14ac:dyDescent="0.2">
      <c r="F254" s="1"/>
    </row>
    <row r="255" spans="6:6" ht="20.100000000000001" customHeight="1" x14ac:dyDescent="0.2">
      <c r="F255" s="1"/>
    </row>
    <row r="256" spans="6:6" ht="20.100000000000001" customHeight="1" x14ac:dyDescent="0.2">
      <c r="F256" s="1"/>
    </row>
    <row r="257" spans="6:6" ht="20.100000000000001" customHeight="1" x14ac:dyDescent="0.2">
      <c r="F257" s="1"/>
    </row>
    <row r="258" spans="6:6" ht="20.100000000000001" customHeight="1" x14ac:dyDescent="0.2">
      <c r="F258" s="1"/>
    </row>
    <row r="259" spans="6:6" ht="20.100000000000001" customHeight="1" x14ac:dyDescent="0.2">
      <c r="F259" s="1"/>
    </row>
    <row r="260" spans="6:6" ht="20.100000000000001" customHeight="1" x14ac:dyDescent="0.2">
      <c r="F260" s="1"/>
    </row>
    <row r="261" spans="6:6" ht="20.100000000000001" customHeight="1" x14ac:dyDescent="0.2">
      <c r="F261" s="1"/>
    </row>
    <row r="262" spans="6:6" ht="20.100000000000001" customHeight="1" x14ac:dyDescent="0.2">
      <c r="F262" s="1"/>
    </row>
    <row r="263" spans="6:6" ht="20.100000000000001" customHeight="1" x14ac:dyDescent="0.2">
      <c r="F263" s="1"/>
    </row>
    <row r="264" spans="6:6" ht="20.100000000000001" customHeight="1" x14ac:dyDescent="0.2">
      <c r="F264" s="1"/>
    </row>
    <row r="265" spans="6:6" ht="20.100000000000001" customHeight="1" x14ac:dyDescent="0.2">
      <c r="F265" s="1"/>
    </row>
    <row r="266" spans="6:6" ht="20.100000000000001" customHeight="1" x14ac:dyDescent="0.2">
      <c r="F266" s="1"/>
    </row>
    <row r="267" spans="6:6" ht="20.100000000000001" customHeight="1" x14ac:dyDescent="0.2">
      <c r="F267" s="1"/>
    </row>
    <row r="268" spans="6:6" ht="20.100000000000001" customHeight="1" x14ac:dyDescent="0.2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435"/>
  <sheetViews>
    <sheetView topLeftCell="A81" workbookViewId="0">
      <selection activeCell="C93" sqref="C93"/>
    </sheetView>
  </sheetViews>
  <sheetFormatPr defaultColWidth="9.16796875" defaultRowHeight="13.5" x14ac:dyDescent="0.15"/>
  <cols>
    <col min="1" max="1" width="6.875" style="259" customWidth="1"/>
    <col min="2" max="2" width="34.2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870" customWidth="1"/>
    <col min="27" max="27" width="16.31640625" style="755" customWidth="1"/>
    <col min="28" max="28" width="14.6953125" style="259" customWidth="1"/>
    <col min="29" max="29" width="27.375" style="259" customWidth="1"/>
    <col min="30" max="16384" width="9.16796875" style="259"/>
  </cols>
  <sheetData>
    <row r="1" spans="1:31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871"/>
    </row>
    <row r="2" spans="1:31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871"/>
    </row>
    <row r="3" spans="1:31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871"/>
    </row>
    <row r="4" spans="1:31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872" t="s">
        <v>521</v>
      </c>
      <c r="AA4" s="420" t="s">
        <v>522</v>
      </c>
      <c r="AB4" s="434" t="s">
        <v>523</v>
      </c>
    </row>
    <row r="5" spans="1:31" ht="14.25" x14ac:dyDescent="0.1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14.25" x14ac:dyDescent="0.1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4" si="0">C6*D6</f>
        <v>26956465</v>
      </c>
      <c r="F6" s="424"/>
      <c r="G6" s="424">
        <v>0</v>
      </c>
      <c r="H6" s="424"/>
      <c r="I6" s="424">
        <f t="shared" ref="I6:I34" si="1">E6-F6-G6-H6</f>
        <v>26956465</v>
      </c>
      <c r="J6" s="424">
        <v>200000</v>
      </c>
      <c r="K6" s="424">
        <v>0.2</v>
      </c>
      <c r="L6" s="424">
        <f t="shared" ref="L6:L34" si="2">I6*K6</f>
        <v>5391292.9999999898</v>
      </c>
      <c r="M6" s="424">
        <f t="shared" ref="M6:M34" si="3">J6+L6</f>
        <v>5591292.9999999898</v>
      </c>
      <c r="N6" s="424">
        <f t="shared" ref="N6:N34" si="4">F6+G6+H6+M6</f>
        <v>5591292.9999999898</v>
      </c>
      <c r="O6" s="424">
        <f t="shared" ref="O6:O34" si="5">E6-N6</f>
        <v>21365172</v>
      </c>
      <c r="P6" s="424">
        <f t="shared" ref="P6:P34" si="6">IF(O6&lt;300000,0.07*O6,21000)</f>
        <v>21000</v>
      </c>
      <c r="Q6" s="424">
        <f t="shared" ref="Q6:Q34" si="7">IF((O6-300000)&lt;0,0,IF((O6-300000)&lt;300000,0.11*(O6-300000),33000))</f>
        <v>33000</v>
      </c>
      <c r="R6" s="424">
        <f t="shared" ref="R6:R34" si="8">IF((O6-600000)&lt;0,0,IF((O6-600000)&lt;500000,0.15*(O6-600000),75000))</f>
        <v>75000</v>
      </c>
      <c r="S6" s="424">
        <f t="shared" ref="S6:S34" si="9">IF((O6-1100000)&lt;0,0,IF((O6-1100000)&lt;500000,0.19*(O6-1100000),95000))</f>
        <v>95000</v>
      </c>
      <c r="T6" s="424">
        <f t="shared" ref="T6:T34" si="10">IF((O6-1600000)&lt;0,0,IF((O6-1600000)&lt;1600000,0.21*(O6-1600000),336000))</f>
        <v>336000</v>
      </c>
      <c r="U6" s="424">
        <f t="shared" ref="U6:U23" si="11">24%*(O6-3200000)</f>
        <v>4359641.27999999</v>
      </c>
      <c r="V6" s="424">
        <f t="shared" ref="V6:V34" si="12">P6+Q6+R6+S6+T6+U6</f>
        <v>4919641.27999999</v>
      </c>
      <c r="W6" s="431">
        <v>12</v>
      </c>
      <c r="X6" s="424">
        <f t="shared" ref="X6:X34" si="13">V6/W6</f>
        <v>409970.10666666599</v>
      </c>
      <c r="Y6" s="424"/>
      <c r="Z6" s="873">
        <f t="shared" ref="Z6:Z34" si="14">X6</f>
        <v>409970.10666666599</v>
      </c>
      <c r="AA6" s="753">
        <v>350184.01073066698</v>
      </c>
      <c r="AB6" s="753">
        <f>Z6-AA6</f>
        <v>59786.095935999103</v>
      </c>
      <c r="AC6" s="436"/>
      <c r="AD6" s="436"/>
      <c r="AE6" s="436"/>
    </row>
    <row r="7" spans="1:31" ht="14.25" x14ac:dyDescent="0.1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ref="AB7:AB38" si="15">Z7-AA7</f>
        <v>25247.788159999702</v>
      </c>
      <c r="AC7" s="436"/>
      <c r="AD7" s="436"/>
      <c r="AE7" s="436"/>
    </row>
    <row r="8" spans="1:31" ht="14.25" x14ac:dyDescent="0.1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4.25" x14ac:dyDescent="0.1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4.25" x14ac:dyDescent="0.15">
      <c r="A10" s="421">
        <v>7</v>
      </c>
      <c r="B10" s="597" t="s">
        <v>33</v>
      </c>
      <c r="C10" s="430">
        <v>1071604.58333334</v>
      </c>
      <c r="D10" s="423">
        <v>12</v>
      </c>
      <c r="E10" s="424">
        <f t="shared" si="0"/>
        <v>12859255.000000101</v>
      </c>
      <c r="F10" s="424">
        <v>157015.95000000001</v>
      </c>
      <c r="G10" s="424">
        <v>818602.64</v>
      </c>
      <c r="H10" s="424"/>
      <c r="I10" s="424">
        <f t="shared" si="1"/>
        <v>11883636.410000101</v>
      </c>
      <c r="J10" s="424">
        <v>200000</v>
      </c>
      <c r="K10" s="424">
        <v>0.2</v>
      </c>
      <c r="L10" s="424">
        <f t="shared" si="2"/>
        <v>2376727.2820000201</v>
      </c>
      <c r="M10" s="424">
        <f t="shared" si="3"/>
        <v>2576727.2820000201</v>
      </c>
      <c r="N10" s="424">
        <f t="shared" si="4"/>
        <v>3552345.87200002</v>
      </c>
      <c r="O10" s="424">
        <f t="shared" si="5"/>
        <v>9306909.1280000694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1465658.1907200201</v>
      </c>
      <c r="V10" s="424">
        <f t="shared" si="12"/>
        <v>2025658.1907200201</v>
      </c>
      <c r="W10" s="431">
        <v>12</v>
      </c>
      <c r="X10" s="424">
        <f t="shared" si="13"/>
        <v>168804.84922666801</v>
      </c>
      <c r="Y10" s="424"/>
      <c r="Z10" s="873">
        <f t="shared" si="14"/>
        <v>168804.84922666801</v>
      </c>
      <c r="AA10" s="753">
        <v>129694.695226667</v>
      </c>
      <c r="AB10" s="753">
        <f t="shared" si="15"/>
        <v>39110.154000000999</v>
      </c>
      <c r="AC10" s="436"/>
      <c r="AD10" s="436"/>
      <c r="AE10" s="436"/>
    </row>
    <row r="11" spans="1:31" ht="14.25" x14ac:dyDescent="0.1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4.25" x14ac:dyDescent="0.1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4.25" x14ac:dyDescent="0.15">
      <c r="A13" s="421">
        <v>10</v>
      </c>
      <c r="B13" s="593" t="s">
        <v>42</v>
      </c>
      <c r="C13" s="422">
        <v>932595.5</v>
      </c>
      <c r="D13" s="423">
        <v>12</v>
      </c>
      <c r="E13" s="424">
        <f t="shared" si="0"/>
        <v>11191146</v>
      </c>
      <c r="F13" s="424"/>
      <c r="G13" s="424">
        <v>693691.68</v>
      </c>
      <c r="H13" s="424"/>
      <c r="I13" s="424">
        <f t="shared" si="1"/>
        <v>10497454.32</v>
      </c>
      <c r="J13" s="424">
        <v>200000</v>
      </c>
      <c r="K13" s="424">
        <v>0.2</v>
      </c>
      <c r="L13" s="424">
        <f t="shared" si="2"/>
        <v>2099490.8640000001</v>
      </c>
      <c r="M13" s="424">
        <f t="shared" si="3"/>
        <v>2299490.8640000001</v>
      </c>
      <c r="N13" s="424">
        <f t="shared" si="4"/>
        <v>2993182.5440000002</v>
      </c>
      <c r="O13" s="424">
        <f t="shared" si="5"/>
        <v>8197963.4560000002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1199511.2294399999</v>
      </c>
      <c r="V13" s="424">
        <f t="shared" si="12"/>
        <v>1759511.2294399999</v>
      </c>
      <c r="W13" s="431">
        <v>12</v>
      </c>
      <c r="X13" s="424">
        <f t="shared" si="13"/>
        <v>146625.93578666699</v>
      </c>
      <c r="Y13" s="424"/>
      <c r="Z13" s="873">
        <f t="shared" si="14"/>
        <v>146625.93578666699</v>
      </c>
      <c r="AA13" s="753">
        <v>141011.988957867</v>
      </c>
      <c r="AB13" s="753">
        <f t="shared" si="15"/>
        <v>5613.9468287996697</v>
      </c>
      <c r="AC13" s="436"/>
      <c r="AD13" s="436"/>
      <c r="AE13" s="436"/>
    </row>
    <row r="14" spans="1:31" ht="14.25" x14ac:dyDescent="0.1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4.25" x14ac:dyDescent="0.1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4.25" x14ac:dyDescent="0.15">
      <c r="A16" s="421">
        <v>13</v>
      </c>
      <c r="B16" s="597" t="s">
        <v>50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4.25" x14ac:dyDescent="0.15">
      <c r="A17" s="421">
        <v>14</v>
      </c>
      <c r="B17" s="313" t="s">
        <v>53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4.25" x14ac:dyDescent="0.15">
      <c r="A18" s="421">
        <v>15</v>
      </c>
      <c r="B18" s="313" t="s">
        <v>56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4.25" x14ac:dyDescent="0.15">
      <c r="A19" s="421">
        <v>16</v>
      </c>
      <c r="B19" s="313" t="s">
        <v>59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4.25" x14ac:dyDescent="0.1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4.25" x14ac:dyDescent="0.1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4.25" x14ac:dyDescent="0.15">
      <c r="A22" s="421">
        <v>19</v>
      </c>
      <c r="B22" s="593" t="s">
        <v>66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4.25" x14ac:dyDescent="0.15">
      <c r="A23" s="421">
        <v>20</v>
      </c>
      <c r="B23" s="597" t="s">
        <v>69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4.25" x14ac:dyDescent="0.15">
      <c r="A24" s="421">
        <v>21</v>
      </c>
      <c r="B24" s="593" t="s">
        <v>71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ref="U24:U34" si="16">24%*(O24-3200000)</f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4.25" x14ac:dyDescent="0.15">
      <c r="A25" s="421">
        <v>22</v>
      </c>
      <c r="B25" s="593" t="s">
        <v>74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6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4.25" x14ac:dyDescent="0.15">
      <c r="A26" s="421">
        <v>23</v>
      </c>
      <c r="B26" s="71" t="s">
        <v>77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6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4.25" x14ac:dyDescent="0.15">
      <c r="A27" s="421">
        <v>24</v>
      </c>
      <c r="B27" s="313" t="s">
        <v>80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6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4.25" x14ac:dyDescent="0.1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6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4.25" x14ac:dyDescent="0.15">
      <c r="A29" s="421">
        <v>26</v>
      </c>
      <c r="B29" s="313" t="s">
        <v>82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6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4.25" x14ac:dyDescent="0.15">
      <c r="A30" s="421">
        <v>27</v>
      </c>
      <c r="B30" s="313" t="s">
        <v>85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6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14.25" x14ac:dyDescent="0.15">
      <c r="A31" s="421">
        <v>28</v>
      </c>
      <c r="B31" s="313" t="s">
        <v>88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6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4.25" x14ac:dyDescent="0.15">
      <c r="A32" s="421">
        <v>29</v>
      </c>
      <c r="B32" s="313" t="s">
        <v>89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6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14.25" x14ac:dyDescent="0.15">
      <c r="A33" s="421">
        <v>31</v>
      </c>
      <c r="B33" s="313" t="s">
        <v>91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6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4.25" x14ac:dyDescent="0.15">
      <c r="A34" s="421">
        <v>32</v>
      </c>
      <c r="B34" s="313" t="s">
        <v>92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6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4.25" x14ac:dyDescent="0.15">
      <c r="A35" s="421">
        <v>33</v>
      </c>
      <c r="B35" s="313" t="s">
        <v>100</v>
      </c>
      <c r="C35" s="428">
        <v>351910.75</v>
      </c>
      <c r="D35" s="423">
        <v>12</v>
      </c>
      <c r="E35" s="424">
        <f t="shared" ref="E35:E42" si="17">C35*D35</f>
        <v>4222929</v>
      </c>
      <c r="F35" s="424"/>
      <c r="G35" s="425">
        <v>289834.32</v>
      </c>
      <c r="H35" s="424"/>
      <c r="I35" s="424">
        <f t="shared" ref="I35:I42" si="18">E35-F35-G35-H35</f>
        <v>3933094.68</v>
      </c>
      <c r="J35" s="424">
        <v>200000</v>
      </c>
      <c r="K35" s="424">
        <v>0.2</v>
      </c>
      <c r="L35" s="424">
        <f t="shared" ref="L35:L42" si="19">I35*K35</f>
        <v>786618.93599999999</v>
      </c>
      <c r="M35" s="424">
        <f t="shared" ref="M35:M42" si="20">J35+L35</f>
        <v>986618.93599999999</v>
      </c>
      <c r="N35" s="424">
        <f t="shared" ref="N35:N42" si="21">F35+G35+H35+M35</f>
        <v>1276453.2560000001</v>
      </c>
      <c r="O35" s="424">
        <f t="shared" ref="O35:O42" si="22">E35-N35</f>
        <v>2946475.7439999999</v>
      </c>
      <c r="P35" s="424">
        <f t="shared" ref="P35:P42" si="23">IF(O35&lt;300000,0.07*O35,21000)</f>
        <v>21000</v>
      </c>
      <c r="Q35" s="424">
        <f t="shared" ref="Q35:Q42" si="24">IF((O35-300000)&lt;0,0,IF((O35-300000)&lt;300000,0.11*(O35-300000),33000))</f>
        <v>33000</v>
      </c>
      <c r="R35" s="424">
        <f t="shared" ref="R35:R42" si="25">IF((O35-600000)&lt;0,0,IF((O35-600000)&lt;500000,0.15*(O35-600000),75000))</f>
        <v>75000</v>
      </c>
      <c r="S35" s="424">
        <f t="shared" ref="S35:S42" si="26">IF((O35-1100000)&lt;0,0,IF((O35-1100000)&lt;500000,0.19*(O35-1100000),95000))</f>
        <v>95000</v>
      </c>
      <c r="T35" s="424">
        <f t="shared" ref="T35:T42" si="27">IF((O35-1600000)&lt;0,0,IF((O35-1600000)&lt;1600000,0.21*(O35-1600000),336000))</f>
        <v>282759.90623999998</v>
      </c>
      <c r="U35" s="424"/>
      <c r="V35" s="424">
        <f t="shared" ref="V35:V42" si="28">P35+Q35+R35+S35+T35+U35</f>
        <v>506759.90623999998</v>
      </c>
      <c r="W35" s="424">
        <v>12</v>
      </c>
      <c r="X35" s="424">
        <f t="shared" ref="X35:X42" si="29">V35/W35</f>
        <v>42229.992186666699</v>
      </c>
      <c r="Y35" s="424"/>
      <c r="Z35" s="873">
        <f t="shared" ref="Z35:Z42" si="30">X35</f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27" x14ac:dyDescent="0.15">
      <c r="A36" s="421">
        <v>34</v>
      </c>
      <c r="B36" s="313" t="s">
        <v>103</v>
      </c>
      <c r="C36" s="424">
        <v>344900.83333333401</v>
      </c>
      <c r="D36" s="423">
        <v>12</v>
      </c>
      <c r="E36" s="424">
        <f t="shared" si="17"/>
        <v>4138810.0000000098</v>
      </c>
      <c r="F36" s="424"/>
      <c r="G36" s="425">
        <v>283104.8</v>
      </c>
      <c r="H36" s="424"/>
      <c r="I36" s="424">
        <f t="shared" si="18"/>
        <v>3855705.20000001</v>
      </c>
      <c r="J36" s="424">
        <v>200000</v>
      </c>
      <c r="K36" s="424">
        <v>0.2</v>
      </c>
      <c r="L36" s="424">
        <f t="shared" si="19"/>
        <v>771141.04000000202</v>
      </c>
      <c r="M36" s="424">
        <f t="shared" si="20"/>
        <v>971141.04000000202</v>
      </c>
      <c r="N36" s="424">
        <f t="shared" si="21"/>
        <v>1254245.8400000001</v>
      </c>
      <c r="O36" s="424">
        <f t="shared" si="22"/>
        <v>2884564.1600000099</v>
      </c>
      <c r="P36" s="424">
        <f t="shared" si="23"/>
        <v>21000</v>
      </c>
      <c r="Q36" s="424">
        <f t="shared" si="24"/>
        <v>33000</v>
      </c>
      <c r="R36" s="424">
        <f t="shared" si="25"/>
        <v>75000</v>
      </c>
      <c r="S36" s="424">
        <f t="shared" si="26"/>
        <v>95000</v>
      </c>
      <c r="T36" s="424">
        <f t="shared" si="27"/>
        <v>269758.47360000102</v>
      </c>
      <c r="U36" s="424"/>
      <c r="V36" s="424">
        <f t="shared" si="28"/>
        <v>493758.47360000102</v>
      </c>
      <c r="W36" s="424">
        <v>12</v>
      </c>
      <c r="X36" s="424">
        <f t="shared" si="29"/>
        <v>41146.5394666668</v>
      </c>
      <c r="Y36" s="424"/>
      <c r="Z36" s="873">
        <f t="shared" si="30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4.25" x14ac:dyDescent="0.1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4.25" x14ac:dyDescent="0.15">
      <c r="A38" s="421"/>
      <c r="B38" s="809" t="s">
        <v>112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4.25" x14ac:dyDescent="0.15">
      <c r="A39" s="421"/>
      <c r="B39" s="313" t="s">
        <v>113</v>
      </c>
      <c r="C39" s="424">
        <v>1847106.41666666</v>
      </c>
      <c r="D39" s="423">
        <v>12</v>
      </c>
      <c r="E39" s="424">
        <f t="shared" si="17"/>
        <v>22165276.999999899</v>
      </c>
      <c r="F39" s="424"/>
      <c r="G39" s="424">
        <v>1677222.16</v>
      </c>
      <c r="H39" s="424"/>
      <c r="I39" s="424">
        <f t="shared" si="18"/>
        <v>20488054.839999899</v>
      </c>
      <c r="J39" s="424">
        <v>200000</v>
      </c>
      <c r="K39" s="424">
        <v>0.2</v>
      </c>
      <c r="L39" s="424">
        <f t="shared" si="19"/>
        <v>4097610.9679999799</v>
      </c>
      <c r="M39" s="424">
        <f t="shared" si="20"/>
        <v>4297610.9679999799</v>
      </c>
      <c r="N39" s="424">
        <f t="shared" si="21"/>
        <v>5974833.12799998</v>
      </c>
      <c r="O39" s="424">
        <f t="shared" si="22"/>
        <v>16190443.871999901</v>
      </c>
      <c r="P39" s="424">
        <f t="shared" si="23"/>
        <v>21000</v>
      </c>
      <c r="Q39" s="424">
        <f t="shared" si="24"/>
        <v>33000</v>
      </c>
      <c r="R39" s="424">
        <f t="shared" si="25"/>
        <v>75000</v>
      </c>
      <c r="S39" s="424">
        <f t="shared" si="26"/>
        <v>95000</v>
      </c>
      <c r="T39" s="424">
        <f t="shared" si="27"/>
        <v>336000</v>
      </c>
      <c r="U39" s="424">
        <f t="shared" ref="U35:U42" si="31">24%*(O39-3200000)</f>
        <v>3117706.5292799901</v>
      </c>
      <c r="V39" s="424">
        <f t="shared" si="28"/>
        <v>3677706.5292799901</v>
      </c>
      <c r="W39" s="431">
        <v>12</v>
      </c>
      <c r="X39" s="424">
        <f t="shared" si="29"/>
        <v>306475.54410666501</v>
      </c>
      <c r="Y39" s="424"/>
      <c r="Z39" s="873">
        <f t="shared" si="30"/>
        <v>306475.54410666501</v>
      </c>
      <c r="AA39" s="753">
        <v>251472.247466667</v>
      </c>
      <c r="AB39" s="753">
        <f t="shared" ref="AB39:AB70" si="32">Z39-AA39</f>
        <v>55003.2966399984</v>
      </c>
      <c r="AC39" s="436"/>
      <c r="AD39" s="436"/>
      <c r="AE39" s="436"/>
    </row>
    <row r="40" spans="1:31" ht="14.25" x14ac:dyDescent="0.15">
      <c r="A40" s="421"/>
      <c r="B40" s="313" t="s">
        <v>116</v>
      </c>
      <c r="C40" s="424">
        <v>441140.66666666599</v>
      </c>
      <c r="D40" s="423">
        <v>12</v>
      </c>
      <c r="E40" s="424">
        <f t="shared" si="17"/>
        <v>5293687.9999999898</v>
      </c>
      <c r="F40" s="424"/>
      <c r="G40" s="424">
        <v>365895.04</v>
      </c>
      <c r="H40" s="424"/>
      <c r="I40" s="424">
        <f t="shared" si="18"/>
        <v>4927792.9599999897</v>
      </c>
      <c r="J40" s="424">
        <v>200000</v>
      </c>
      <c r="K40" s="424">
        <v>0.2</v>
      </c>
      <c r="L40" s="424">
        <f t="shared" si="19"/>
        <v>985558.59199999797</v>
      </c>
      <c r="M40" s="424">
        <f t="shared" si="20"/>
        <v>1185558.5919999999</v>
      </c>
      <c r="N40" s="424">
        <f t="shared" si="21"/>
        <v>1551453.632</v>
      </c>
      <c r="O40" s="424">
        <f t="shared" si="22"/>
        <v>3742234.36799999</v>
      </c>
      <c r="P40" s="424">
        <f t="shared" si="23"/>
        <v>21000</v>
      </c>
      <c r="Q40" s="424">
        <f t="shared" si="24"/>
        <v>33000</v>
      </c>
      <c r="R40" s="424">
        <f t="shared" si="25"/>
        <v>75000</v>
      </c>
      <c r="S40" s="424">
        <f t="shared" si="26"/>
        <v>95000</v>
      </c>
      <c r="T40" s="424">
        <f t="shared" si="27"/>
        <v>336000</v>
      </c>
      <c r="U40" s="424">
        <f t="shared" si="31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2"/>
        <v>14974.022079999801</v>
      </c>
      <c r="AC40" s="436"/>
      <c r="AD40" s="436"/>
      <c r="AE40" s="436"/>
    </row>
    <row r="41" spans="1:31" ht="14.25" x14ac:dyDescent="0.15">
      <c r="A41" s="421"/>
      <c r="B41" s="597" t="s">
        <v>118</v>
      </c>
      <c r="C41" s="424">
        <v>450135.83333333401</v>
      </c>
      <c r="D41" s="423">
        <v>12</v>
      </c>
      <c r="E41" s="424">
        <f t="shared" si="17"/>
        <v>5401630.0000000102</v>
      </c>
      <c r="F41" s="424"/>
      <c r="G41" s="424">
        <v>374530.4</v>
      </c>
      <c r="H41" s="424"/>
      <c r="I41" s="424">
        <f t="shared" si="18"/>
        <v>5027099.6000000099</v>
      </c>
      <c r="J41" s="424">
        <v>200000</v>
      </c>
      <c r="K41" s="424">
        <v>0.2</v>
      </c>
      <c r="L41" s="424">
        <f t="shared" si="19"/>
        <v>1005419.92</v>
      </c>
      <c r="M41" s="424">
        <f t="shared" si="20"/>
        <v>1205419.92</v>
      </c>
      <c r="N41" s="424">
        <f t="shared" si="21"/>
        <v>1579950.32</v>
      </c>
      <c r="O41" s="424">
        <f t="shared" si="22"/>
        <v>3821679.6800000099</v>
      </c>
      <c r="P41" s="424">
        <f t="shared" si="23"/>
        <v>21000</v>
      </c>
      <c r="Q41" s="424">
        <f t="shared" si="24"/>
        <v>33000</v>
      </c>
      <c r="R41" s="424">
        <f t="shared" si="25"/>
        <v>75000</v>
      </c>
      <c r="S41" s="424">
        <f t="shared" si="26"/>
        <v>95000</v>
      </c>
      <c r="T41" s="424">
        <f t="shared" si="27"/>
        <v>336000</v>
      </c>
      <c r="U41" s="424">
        <f t="shared" si="31"/>
        <v>149203.12320000099</v>
      </c>
      <c r="V41" s="424">
        <f t="shared" si="28"/>
        <v>709203.12320000096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2"/>
        <v>15336.3530400001</v>
      </c>
      <c r="AC41" s="436"/>
      <c r="AD41" s="436"/>
      <c r="AE41" s="436"/>
    </row>
    <row r="42" spans="1:31" ht="14.25" x14ac:dyDescent="0.15">
      <c r="A42" s="421"/>
      <c r="B42" s="597" t="s">
        <v>121</v>
      </c>
      <c r="C42" s="424">
        <v>398711.66666666698</v>
      </c>
      <c r="D42" s="423">
        <v>12</v>
      </c>
      <c r="E42" s="424">
        <f t="shared" si="17"/>
        <v>4784540</v>
      </c>
      <c r="F42" s="424"/>
      <c r="G42" s="425">
        <v>325163.200000001</v>
      </c>
      <c r="H42" s="424"/>
      <c r="I42" s="424">
        <f t="shared" si="18"/>
        <v>4459376.8</v>
      </c>
      <c r="J42" s="424">
        <v>200000</v>
      </c>
      <c r="K42" s="424">
        <v>0.2</v>
      </c>
      <c r="L42" s="424">
        <f t="shared" si="19"/>
        <v>891875.36000000103</v>
      </c>
      <c r="M42" s="424">
        <f t="shared" si="20"/>
        <v>1091875.3600000001</v>
      </c>
      <c r="N42" s="424">
        <f t="shared" si="21"/>
        <v>1417038.56</v>
      </c>
      <c r="O42" s="424">
        <f t="shared" si="22"/>
        <v>3367501.44</v>
      </c>
      <c r="P42" s="424">
        <f t="shared" si="23"/>
        <v>21000</v>
      </c>
      <c r="Q42" s="424">
        <f t="shared" si="24"/>
        <v>33000</v>
      </c>
      <c r="R42" s="424">
        <f t="shared" si="25"/>
        <v>75000</v>
      </c>
      <c r="S42" s="424">
        <f t="shared" si="26"/>
        <v>95000</v>
      </c>
      <c r="T42" s="424">
        <f t="shared" si="27"/>
        <v>336000</v>
      </c>
      <c r="U42" s="424">
        <f t="shared" si="31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2"/>
        <v>13226.00736</v>
      </c>
      <c r="AC42" s="436"/>
      <c r="AD42" s="436"/>
      <c r="AE42" s="436"/>
    </row>
    <row r="43" spans="1:31" ht="14.25" x14ac:dyDescent="0.1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4.25" x14ac:dyDescent="0.1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4.25" x14ac:dyDescent="0.15">
      <c r="A45" s="421">
        <v>35</v>
      </c>
      <c r="B45" s="597" t="s">
        <v>126</v>
      </c>
      <c r="C45" s="422">
        <v>1185306.75</v>
      </c>
      <c r="D45" s="423">
        <v>12</v>
      </c>
      <c r="E45" s="424">
        <f t="shared" ref="E45:E55" si="33">C45*D45</f>
        <v>14223681</v>
      </c>
      <c r="F45" s="424"/>
      <c r="G45" s="425">
        <v>869094.48</v>
      </c>
      <c r="H45" s="424"/>
      <c r="I45" s="424">
        <f t="shared" ref="I45:I55" si="34">E45-F45-G45-H45</f>
        <v>13354586.52</v>
      </c>
      <c r="J45" s="424">
        <v>200000</v>
      </c>
      <c r="K45" s="424">
        <v>0.2</v>
      </c>
      <c r="L45" s="424">
        <f t="shared" ref="L45:L55" si="35">I45*K45</f>
        <v>2670917.304</v>
      </c>
      <c r="M45" s="424">
        <f t="shared" ref="M45:M55" si="36">J45+L45</f>
        <v>2870917.304</v>
      </c>
      <c r="N45" s="424">
        <f t="shared" ref="N45:N55" si="37">F45+G45+H45+M45</f>
        <v>3740011.784</v>
      </c>
      <c r="O45" s="424">
        <f t="shared" ref="O45:O55" si="38">E45-N45</f>
        <v>10483669.216</v>
      </c>
      <c r="P45" s="424">
        <f t="shared" ref="P45:P55" si="39">IF(O45&lt;300000,0.07*O45,21000)</f>
        <v>21000</v>
      </c>
      <c r="Q45" s="424">
        <f t="shared" ref="Q45:Q55" si="40">IF((O45-300000)&lt;0,0,IF((O45-300000)&lt;300000,0.11*(O45-300000),33000))</f>
        <v>33000</v>
      </c>
      <c r="R45" s="424">
        <f t="shared" ref="R45:R55" si="41">IF((O45-600000)&lt;0,0,IF((O45-600000)&lt;500000,0.15*(O45-600000),75000))</f>
        <v>75000</v>
      </c>
      <c r="S45" s="424">
        <f t="shared" ref="S45:S55" si="42">IF((O45-1100000)&lt;0,0,IF((O45-1100000)&lt;500000,0.19*(O45-1100000),95000))</f>
        <v>95000</v>
      </c>
      <c r="T45" s="424">
        <f t="shared" ref="T45:T55" si="43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5" si="44">P45+Q45+R45+S45+T45+U45</f>
        <v>2308080.6118399999</v>
      </c>
      <c r="W45" s="431">
        <v>12</v>
      </c>
      <c r="X45" s="424">
        <f t="shared" ref="X45:X55" si="45">V45/W45</f>
        <v>192340.05098666699</v>
      </c>
      <c r="Y45" s="424"/>
      <c r="Z45" s="873">
        <f t="shared" ref="Z45:Z55" si="46">X45</f>
        <v>192340.05098666699</v>
      </c>
      <c r="AA45" s="753">
        <v>162999.59</v>
      </c>
      <c r="AB45" s="753">
        <f t="shared" si="32"/>
        <v>29340.460986666702</v>
      </c>
      <c r="AC45" s="436"/>
      <c r="AD45" s="436"/>
      <c r="AE45" s="436"/>
    </row>
    <row r="46" spans="1:31" ht="14.25" x14ac:dyDescent="0.1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3"/>
        <v>10853724</v>
      </c>
      <c r="F46" s="427"/>
      <c r="G46" s="425">
        <v>714697.92</v>
      </c>
      <c r="H46" s="427"/>
      <c r="I46" s="424">
        <f t="shared" si="34"/>
        <v>10139026.08</v>
      </c>
      <c r="J46" s="424">
        <v>200000</v>
      </c>
      <c r="K46" s="424">
        <v>0.2</v>
      </c>
      <c r="L46" s="424">
        <f t="shared" si="35"/>
        <v>2027805.216</v>
      </c>
      <c r="M46" s="424">
        <f t="shared" si="36"/>
        <v>2227805.216</v>
      </c>
      <c r="N46" s="424">
        <f t="shared" si="37"/>
        <v>2942503.1359999999</v>
      </c>
      <c r="O46" s="424">
        <f t="shared" si="38"/>
        <v>7911220.8640000001</v>
      </c>
      <c r="P46" s="424">
        <f t="shared" si="39"/>
        <v>21000</v>
      </c>
      <c r="Q46" s="424">
        <f t="shared" si="40"/>
        <v>33000</v>
      </c>
      <c r="R46" s="424">
        <f t="shared" si="41"/>
        <v>75000</v>
      </c>
      <c r="S46" s="424">
        <f t="shared" si="42"/>
        <v>95000</v>
      </c>
      <c r="T46" s="424">
        <f t="shared" si="43"/>
        <v>336000</v>
      </c>
      <c r="U46" s="424">
        <f t="shared" ref="U46:U52" si="47">24%*(O46-3200000)</f>
        <v>1130693.0073599999</v>
      </c>
      <c r="V46" s="424">
        <f t="shared" si="44"/>
        <v>1690693.0073599999</v>
      </c>
      <c r="W46" s="431">
        <v>12</v>
      </c>
      <c r="X46" s="424">
        <f t="shared" si="45"/>
        <v>140891.083946667</v>
      </c>
      <c r="Y46" s="427"/>
      <c r="Z46" s="873">
        <f t="shared" si="46"/>
        <v>140891.083946667</v>
      </c>
      <c r="AA46" s="753">
        <v>119022.801706667</v>
      </c>
      <c r="AB46" s="753">
        <f t="shared" si="32"/>
        <v>21868.282239999699</v>
      </c>
      <c r="AC46" s="436"/>
      <c r="AD46" s="436"/>
      <c r="AE46" s="436"/>
    </row>
    <row r="47" spans="1:31" ht="14.25" x14ac:dyDescent="0.15">
      <c r="A47" s="421">
        <v>37</v>
      </c>
      <c r="B47" s="597" t="s">
        <v>132</v>
      </c>
      <c r="C47" s="424">
        <v>904477</v>
      </c>
      <c r="D47" s="423">
        <v>12</v>
      </c>
      <c r="E47" s="424">
        <f t="shared" si="33"/>
        <v>10853724</v>
      </c>
      <c r="F47" s="427">
        <v>137703.15</v>
      </c>
      <c r="G47" s="425">
        <v>714697.92</v>
      </c>
      <c r="H47" s="427"/>
      <c r="I47" s="424">
        <f t="shared" si="34"/>
        <v>10001322.93</v>
      </c>
      <c r="J47" s="424">
        <v>200000</v>
      </c>
      <c r="K47" s="424">
        <v>0.2</v>
      </c>
      <c r="L47" s="424">
        <f t="shared" si="35"/>
        <v>2000264.5859999999</v>
      </c>
      <c r="M47" s="424">
        <f t="shared" si="36"/>
        <v>2200264.5860000001</v>
      </c>
      <c r="N47" s="424">
        <f t="shared" si="37"/>
        <v>3052665.656</v>
      </c>
      <c r="O47" s="424">
        <f t="shared" si="38"/>
        <v>7801058.3439999996</v>
      </c>
      <c r="P47" s="424">
        <f t="shared" si="39"/>
        <v>21000</v>
      </c>
      <c r="Q47" s="424">
        <f t="shared" si="40"/>
        <v>33000</v>
      </c>
      <c r="R47" s="424">
        <f t="shared" si="41"/>
        <v>75000</v>
      </c>
      <c r="S47" s="424">
        <f t="shared" si="42"/>
        <v>95000</v>
      </c>
      <c r="T47" s="424">
        <f t="shared" si="43"/>
        <v>336000</v>
      </c>
      <c r="U47" s="424">
        <f t="shared" si="47"/>
        <v>1104254.0025599999</v>
      </c>
      <c r="V47" s="424">
        <f t="shared" si="44"/>
        <v>1664254.0025599999</v>
      </c>
      <c r="W47" s="431">
        <v>12</v>
      </c>
      <c r="X47" s="424">
        <f t="shared" si="45"/>
        <v>138687.83354666701</v>
      </c>
      <c r="Y47" s="427"/>
      <c r="Z47" s="873">
        <f t="shared" si="46"/>
        <v>138687.83354666701</v>
      </c>
      <c r="AA47" s="753">
        <v>118861.965706667</v>
      </c>
      <c r="AB47" s="753">
        <f t="shared" si="32"/>
        <v>19825.867839999701</v>
      </c>
      <c r="AC47" s="436"/>
      <c r="AD47" s="436"/>
      <c r="AE47" s="436"/>
    </row>
    <row r="48" spans="1:31" ht="14.25" x14ac:dyDescent="0.1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3"/>
        <v>10591146</v>
      </c>
      <c r="F48" s="427"/>
      <c r="G48" s="425">
        <v>693691.68</v>
      </c>
      <c r="H48" s="427"/>
      <c r="I48" s="424">
        <f t="shared" si="34"/>
        <v>9897454.3200000003</v>
      </c>
      <c r="J48" s="424">
        <v>200000</v>
      </c>
      <c r="K48" s="424">
        <v>0.2</v>
      </c>
      <c r="L48" s="424">
        <f t="shared" si="35"/>
        <v>1979490.8640000001</v>
      </c>
      <c r="M48" s="424">
        <f t="shared" si="36"/>
        <v>2179490.8640000001</v>
      </c>
      <c r="N48" s="424">
        <f t="shared" si="37"/>
        <v>2873182.5440000002</v>
      </c>
      <c r="O48" s="424">
        <f t="shared" si="38"/>
        <v>7717963.4560000002</v>
      </c>
      <c r="P48" s="424">
        <f t="shared" si="39"/>
        <v>21000</v>
      </c>
      <c r="Q48" s="424">
        <f t="shared" si="40"/>
        <v>33000</v>
      </c>
      <c r="R48" s="424">
        <f t="shared" si="41"/>
        <v>75000</v>
      </c>
      <c r="S48" s="424">
        <f t="shared" si="42"/>
        <v>95000</v>
      </c>
      <c r="T48" s="424">
        <f t="shared" si="43"/>
        <v>336000</v>
      </c>
      <c r="U48" s="424">
        <f t="shared" si="47"/>
        <v>1084311.2294399999</v>
      </c>
      <c r="V48" s="424">
        <f t="shared" si="44"/>
        <v>1644311.2294399999</v>
      </c>
      <c r="W48" s="431">
        <v>12</v>
      </c>
      <c r="X48" s="424">
        <f t="shared" si="45"/>
        <v>137025.93578666699</v>
      </c>
      <c r="Y48" s="427"/>
      <c r="Z48" s="873">
        <f t="shared" si="46"/>
        <v>137025.93578666699</v>
      </c>
      <c r="AA48" s="753">
        <v>112212.004906667</v>
      </c>
      <c r="AB48" s="753">
        <f t="shared" si="32"/>
        <v>24813.930879999702</v>
      </c>
      <c r="AC48" s="436"/>
      <c r="AD48" s="436"/>
      <c r="AE48" s="436"/>
    </row>
    <row r="49" spans="1:31" ht="14.25" x14ac:dyDescent="0.1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3"/>
        <v>10328567</v>
      </c>
      <c r="F49" s="424"/>
      <c r="G49" s="425">
        <v>672685.36</v>
      </c>
      <c r="H49" s="427"/>
      <c r="I49" s="424">
        <f t="shared" si="34"/>
        <v>9655881.6399999894</v>
      </c>
      <c r="J49" s="424">
        <v>200000</v>
      </c>
      <c r="K49" s="424">
        <v>0.2</v>
      </c>
      <c r="L49" s="424">
        <f t="shared" si="35"/>
        <v>1931176.328</v>
      </c>
      <c r="M49" s="424">
        <f t="shared" si="36"/>
        <v>2131176.3280000002</v>
      </c>
      <c r="N49" s="424">
        <f t="shared" si="37"/>
        <v>2803861.6880000001</v>
      </c>
      <c r="O49" s="424">
        <f t="shared" si="38"/>
        <v>7524705.3119999897</v>
      </c>
      <c r="P49" s="424">
        <f t="shared" si="39"/>
        <v>21000</v>
      </c>
      <c r="Q49" s="424">
        <f t="shared" si="40"/>
        <v>33000</v>
      </c>
      <c r="R49" s="424">
        <f t="shared" si="41"/>
        <v>75000</v>
      </c>
      <c r="S49" s="424">
        <f t="shared" si="42"/>
        <v>95000</v>
      </c>
      <c r="T49" s="424">
        <f t="shared" si="43"/>
        <v>336000</v>
      </c>
      <c r="U49" s="424">
        <f t="shared" si="47"/>
        <v>1037929.27488</v>
      </c>
      <c r="V49" s="424">
        <f t="shared" si="44"/>
        <v>1597929.2748799999</v>
      </c>
      <c r="W49" s="431">
        <v>12</v>
      </c>
      <c r="X49" s="424">
        <f t="shared" si="45"/>
        <v>133160.772906667</v>
      </c>
      <c r="Y49" s="427"/>
      <c r="Z49" s="873">
        <f t="shared" si="46"/>
        <v>133160.772906667</v>
      </c>
      <c r="AA49" s="753">
        <v>112211.988957867</v>
      </c>
      <c r="AB49" s="753">
        <f t="shared" si="32"/>
        <v>20948.783948799501</v>
      </c>
      <c r="AC49" s="436"/>
      <c r="AD49" s="436"/>
      <c r="AE49" s="436"/>
    </row>
    <row r="50" spans="1:31" ht="14.25" x14ac:dyDescent="0.1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3"/>
        <v>5881630.0000000102</v>
      </c>
      <c r="F50" s="424"/>
      <c r="G50" s="425">
        <v>374530.4</v>
      </c>
      <c r="H50" s="427"/>
      <c r="I50" s="424">
        <f t="shared" si="34"/>
        <v>5507099.6000000099</v>
      </c>
      <c r="J50" s="424">
        <v>200000</v>
      </c>
      <c r="K50" s="424">
        <v>0.2</v>
      </c>
      <c r="L50" s="424">
        <f t="shared" si="35"/>
        <v>1101419.92</v>
      </c>
      <c r="M50" s="424">
        <f t="shared" si="36"/>
        <v>1301419.92</v>
      </c>
      <c r="N50" s="424">
        <f t="shared" si="37"/>
        <v>1675950.32</v>
      </c>
      <c r="O50" s="424">
        <f t="shared" si="38"/>
        <v>4205679.6800000099</v>
      </c>
      <c r="P50" s="424">
        <f t="shared" si="39"/>
        <v>21000</v>
      </c>
      <c r="Q50" s="424">
        <f t="shared" si="40"/>
        <v>33000</v>
      </c>
      <c r="R50" s="424">
        <f t="shared" si="41"/>
        <v>75000</v>
      </c>
      <c r="S50" s="424">
        <f t="shared" si="42"/>
        <v>95000</v>
      </c>
      <c r="T50" s="424">
        <f t="shared" si="43"/>
        <v>336000</v>
      </c>
      <c r="U50" s="424">
        <f t="shared" si="47"/>
        <v>241363.12320000099</v>
      </c>
      <c r="V50" s="424">
        <f t="shared" si="44"/>
        <v>801363.12320000096</v>
      </c>
      <c r="W50" s="431">
        <v>12</v>
      </c>
      <c r="X50" s="424">
        <f t="shared" si="45"/>
        <v>66780.260266666795</v>
      </c>
      <c r="Y50" s="427"/>
      <c r="Z50" s="873">
        <f t="shared" si="46"/>
        <v>66780.260266666795</v>
      </c>
      <c r="AA50" s="753">
        <v>51029.227306666697</v>
      </c>
      <c r="AB50" s="753">
        <f t="shared" si="32"/>
        <v>15751.032960000101</v>
      </c>
      <c r="AC50" s="436"/>
      <c r="AD50" s="436"/>
      <c r="AE50" s="436"/>
    </row>
    <row r="51" spans="1:31" ht="14.25" x14ac:dyDescent="0.1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3"/>
        <v>5364193.9999999898</v>
      </c>
      <c r="F51" s="424"/>
      <c r="G51" s="425">
        <v>333135.52</v>
      </c>
      <c r="H51" s="427"/>
      <c r="I51" s="424">
        <f t="shared" si="34"/>
        <v>5031058.4799999902</v>
      </c>
      <c r="J51" s="424">
        <v>200000</v>
      </c>
      <c r="K51" s="424">
        <v>0.2</v>
      </c>
      <c r="L51" s="424">
        <f t="shared" si="35"/>
        <v>1006211.696</v>
      </c>
      <c r="M51" s="424">
        <f t="shared" si="36"/>
        <v>1206211.696</v>
      </c>
      <c r="N51" s="424">
        <f t="shared" si="37"/>
        <v>1539347.216</v>
      </c>
      <c r="O51" s="424">
        <f t="shared" si="38"/>
        <v>3824846.7839999902</v>
      </c>
      <c r="P51" s="424">
        <f t="shared" si="39"/>
        <v>21000</v>
      </c>
      <c r="Q51" s="424">
        <f t="shared" si="40"/>
        <v>33000</v>
      </c>
      <c r="R51" s="424">
        <f t="shared" si="41"/>
        <v>75000</v>
      </c>
      <c r="S51" s="424">
        <f t="shared" si="42"/>
        <v>95000</v>
      </c>
      <c r="T51" s="424">
        <f t="shared" si="43"/>
        <v>336000</v>
      </c>
      <c r="U51" s="424">
        <f t="shared" si="47"/>
        <v>149963.22815999799</v>
      </c>
      <c r="V51" s="424">
        <f t="shared" si="44"/>
        <v>709963.22815999796</v>
      </c>
      <c r="W51" s="431">
        <v>12</v>
      </c>
      <c r="X51" s="424">
        <f t="shared" si="45"/>
        <v>59163.602346666499</v>
      </c>
      <c r="Y51" s="427"/>
      <c r="Z51" s="873">
        <f t="shared" si="46"/>
        <v>59163.602346666499</v>
      </c>
      <c r="AA51" s="753">
        <v>44641.500586666698</v>
      </c>
      <c r="AB51" s="753">
        <f t="shared" si="32"/>
        <v>14522.101759999799</v>
      </c>
      <c r="AC51" s="436"/>
      <c r="AD51" s="436"/>
      <c r="AE51" s="436"/>
    </row>
    <row r="52" spans="1:31" ht="14.25" x14ac:dyDescent="0.1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3"/>
        <v>5364193.9999999898</v>
      </c>
      <c r="F52" s="424"/>
      <c r="G52" s="425">
        <v>333135.52</v>
      </c>
      <c r="H52" s="427"/>
      <c r="I52" s="424">
        <f t="shared" si="34"/>
        <v>5031058.4799999902</v>
      </c>
      <c r="J52" s="424">
        <v>200000</v>
      </c>
      <c r="K52" s="424">
        <v>0.2</v>
      </c>
      <c r="L52" s="424">
        <f t="shared" si="35"/>
        <v>1006211.696</v>
      </c>
      <c r="M52" s="424">
        <f t="shared" si="36"/>
        <v>1206211.696</v>
      </c>
      <c r="N52" s="424">
        <f t="shared" si="37"/>
        <v>1539347.216</v>
      </c>
      <c r="O52" s="424">
        <f t="shared" si="38"/>
        <v>3824846.7839999902</v>
      </c>
      <c r="P52" s="424">
        <f t="shared" si="39"/>
        <v>21000</v>
      </c>
      <c r="Q52" s="424">
        <f t="shared" si="40"/>
        <v>33000</v>
      </c>
      <c r="R52" s="424">
        <f t="shared" si="41"/>
        <v>75000</v>
      </c>
      <c r="S52" s="424">
        <f t="shared" si="42"/>
        <v>95000</v>
      </c>
      <c r="T52" s="424">
        <f t="shared" si="43"/>
        <v>336000</v>
      </c>
      <c r="U52" s="424">
        <f t="shared" si="47"/>
        <v>149963.22815999799</v>
      </c>
      <c r="V52" s="424">
        <f t="shared" si="44"/>
        <v>709963.22815999796</v>
      </c>
      <c r="W52" s="431">
        <v>12</v>
      </c>
      <c r="X52" s="424">
        <f t="shared" si="45"/>
        <v>59163.602346666499</v>
      </c>
      <c r="Y52" s="427"/>
      <c r="Z52" s="873">
        <f t="shared" si="46"/>
        <v>59163.602346666499</v>
      </c>
      <c r="AA52" s="753">
        <v>44641.500586666698</v>
      </c>
      <c r="AB52" s="753">
        <f t="shared" si="32"/>
        <v>14522.101759999799</v>
      </c>
      <c r="AC52" s="436"/>
      <c r="AD52" s="436"/>
      <c r="AE52" s="436"/>
    </row>
    <row r="53" spans="1:31" ht="14.25" x14ac:dyDescent="0.1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4.25" x14ac:dyDescent="0.1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4.25" x14ac:dyDescent="0.1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8" si="48">C55*D55</f>
        <v>23365276.999999899</v>
      </c>
      <c r="F55" s="424"/>
      <c r="G55" s="425">
        <v>1677222.16</v>
      </c>
      <c r="H55" s="427"/>
      <c r="I55" s="424">
        <f t="shared" ref="I55:I68" si="49">E55-F55-G55-H55</f>
        <v>21688054.839999899</v>
      </c>
      <c r="J55" s="424">
        <v>200000</v>
      </c>
      <c r="K55" s="424">
        <v>0.2</v>
      </c>
      <c r="L55" s="424">
        <f t="shared" ref="L55:L68" si="50">I55*K55</f>
        <v>4337610.9679999799</v>
      </c>
      <c r="M55" s="424">
        <f t="shared" ref="M55:M68" si="51">J55+L55</f>
        <v>4537610.9679999799</v>
      </c>
      <c r="N55" s="424">
        <f t="shared" ref="N55:N68" si="52">F55+G55+H55+M55</f>
        <v>6214833.12799998</v>
      </c>
      <c r="O55" s="424">
        <f t="shared" ref="O55:O68" si="53">E55-N55</f>
        <v>17150443.871999901</v>
      </c>
      <c r="P55" s="424">
        <f t="shared" ref="P55:P68" si="54">IF(O55&lt;300000,0.07*O55,21000)</f>
        <v>21000</v>
      </c>
      <c r="Q55" s="424">
        <f t="shared" ref="Q55:Q68" si="55">IF((O55-300000)&lt;0,0,IF((O55-300000)&lt;300000,0.11*(O55-300000),33000))</f>
        <v>33000</v>
      </c>
      <c r="R55" s="424">
        <f t="shared" ref="R55:R68" si="56">IF((O55-600000)&lt;0,0,IF((O55-600000)&lt;500000,0.15*(O55-600000),75000))</f>
        <v>75000</v>
      </c>
      <c r="S55" s="424">
        <f t="shared" ref="S55:S68" si="57">IF((O55-1100000)&lt;0,0,IF((O55-1100000)&lt;500000,0.19*(O55-1100000),95000))</f>
        <v>95000</v>
      </c>
      <c r="T55" s="424">
        <f t="shared" ref="T55:T68" si="58">IF((O55-1600000)&lt;0,0,IF((O55-1600000)&lt;1600000,0.21*(O55-1600000),336000))</f>
        <v>336000</v>
      </c>
      <c r="U55" s="424">
        <f t="shared" ref="U55:U68" si="59">24%*(O55-3200000)</f>
        <v>3348106.5292799799</v>
      </c>
      <c r="V55" s="424">
        <f t="shared" ref="V55:V68" si="60">P55+Q55+R55+S55+T55+U55</f>
        <v>3908106.5292799799</v>
      </c>
      <c r="W55" s="431">
        <v>12</v>
      </c>
      <c r="X55" s="424">
        <f t="shared" ref="X55:X68" si="61">V55/W55</f>
        <v>325675.54410666501</v>
      </c>
      <c r="Y55" s="427"/>
      <c r="Z55" s="873">
        <f t="shared" ref="Z55:Z68" si="62">X55</f>
        <v>325675.54410666501</v>
      </c>
      <c r="AA55" s="753">
        <v>270672.24746666697</v>
      </c>
      <c r="AB55" s="753">
        <f t="shared" si="32"/>
        <v>55003.296639998</v>
      </c>
      <c r="AC55" s="436"/>
      <c r="AD55" s="436"/>
      <c r="AE55" s="436"/>
    </row>
    <row r="56" spans="1:31" ht="14.25" x14ac:dyDescent="0.1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32"/>
        <v>21868.282239999699</v>
      </c>
      <c r="AC56" s="436"/>
      <c r="AD56" s="436"/>
      <c r="AE56" s="436"/>
    </row>
    <row r="57" spans="1:31" ht="14.25" x14ac:dyDescent="0.1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14.25" x14ac:dyDescent="0.1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14.25" x14ac:dyDescent="0.1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32"/>
        <v>22790.109775999699</v>
      </c>
      <c r="AC59" s="436"/>
      <c r="AD59" s="436"/>
      <c r="AE59" s="436"/>
    </row>
    <row r="60" spans="1:31" ht="23.25" customHeight="1" x14ac:dyDescent="0.15">
      <c r="A60" s="421">
        <v>51</v>
      </c>
      <c r="B60" s="313" t="s">
        <v>155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32"/>
        <v>20387.568000000101</v>
      </c>
      <c r="AC60" s="436"/>
      <c r="AD60" s="436"/>
      <c r="AE60" s="436"/>
    </row>
    <row r="61" spans="1:31" ht="14.25" x14ac:dyDescent="0.15">
      <c r="A61" s="421">
        <v>52</v>
      </c>
      <c r="B61" s="597" t="s">
        <v>161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431205.68832000002</v>
      </c>
      <c r="V61" s="424">
        <f t="shared" si="60"/>
        <v>991205.68831999996</v>
      </c>
      <c r="W61" s="431">
        <v>12</v>
      </c>
      <c r="X61" s="424">
        <f t="shared" si="61"/>
        <v>82600.474026666605</v>
      </c>
      <c r="Y61" s="427"/>
      <c r="Z61" s="873">
        <f t="shared" si="62"/>
        <v>82600.474026666605</v>
      </c>
      <c r="AA61" s="753">
        <v>64384.591786666701</v>
      </c>
      <c r="AB61" s="753">
        <f t="shared" si="32"/>
        <v>18215.882239999901</v>
      </c>
      <c r="AC61" s="436"/>
      <c r="AD61" s="436"/>
      <c r="AE61" s="436"/>
    </row>
    <row r="62" spans="1:31" ht="14.25" x14ac:dyDescent="0.15">
      <c r="A62" s="421">
        <v>53</v>
      </c>
      <c r="B62" s="313" t="s">
        <v>163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431205.68832000002</v>
      </c>
      <c r="V62" s="424">
        <f t="shared" si="60"/>
        <v>991205.68831999996</v>
      </c>
      <c r="W62" s="431">
        <v>12</v>
      </c>
      <c r="X62" s="424">
        <f t="shared" si="61"/>
        <v>82600.474026666605</v>
      </c>
      <c r="Y62" s="427"/>
      <c r="Z62" s="873">
        <f t="shared" si="62"/>
        <v>82600.474026666605</v>
      </c>
      <c r="AA62" s="753">
        <v>64384.591786666701</v>
      </c>
      <c r="AB62" s="753">
        <f t="shared" si="32"/>
        <v>18215.882239999901</v>
      </c>
      <c r="AC62" s="436"/>
      <c r="AD62" s="436"/>
      <c r="AE62" s="436"/>
    </row>
    <row r="63" spans="1:31" ht="14.25" x14ac:dyDescent="0.15">
      <c r="A63" s="421">
        <v>54</v>
      </c>
      <c r="B63" s="593" t="s">
        <v>164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431205.68832000002</v>
      </c>
      <c r="V63" s="424">
        <f t="shared" si="60"/>
        <v>991205.68831999996</v>
      </c>
      <c r="W63" s="431">
        <v>12</v>
      </c>
      <c r="X63" s="424">
        <f t="shared" si="61"/>
        <v>82600.474026666605</v>
      </c>
      <c r="Y63" s="427"/>
      <c r="Z63" s="873">
        <f t="shared" si="62"/>
        <v>82600.474026666605</v>
      </c>
      <c r="AA63" s="753">
        <v>64384.591786666701</v>
      </c>
      <c r="AB63" s="753">
        <f t="shared" si="32"/>
        <v>18215.882239999901</v>
      </c>
      <c r="AC63" s="436"/>
      <c r="AD63" s="436"/>
      <c r="AE63" s="436"/>
    </row>
    <row r="64" spans="1:31" ht="14.25" x14ac:dyDescent="0.15">
      <c r="A64" s="421">
        <v>55</v>
      </c>
      <c r="B64" s="597" t="s">
        <v>165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460530.40127999999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32"/>
        <v>18506.1312</v>
      </c>
      <c r="AC64" s="436"/>
      <c r="AD64" s="436"/>
      <c r="AE64" s="436"/>
    </row>
    <row r="65" spans="1:31" ht="14.25" x14ac:dyDescent="0.15">
      <c r="A65" s="421">
        <v>56</v>
      </c>
      <c r="B65" s="597" t="s">
        <v>168</v>
      </c>
      <c r="C65" s="424">
        <v>490135.83333333401</v>
      </c>
      <c r="D65" s="423">
        <v>12</v>
      </c>
      <c r="E65" s="424">
        <f t="shared" si="48"/>
        <v>5881630.0000000102</v>
      </c>
      <c r="F65" s="424">
        <f>6154.27916666668*12</f>
        <v>73851.350000000195</v>
      </c>
      <c r="G65" s="425">
        <v>374530.4</v>
      </c>
      <c r="H65" s="427"/>
      <c r="I65" s="424">
        <f t="shared" si="49"/>
        <v>5433248.2500000102</v>
      </c>
      <c r="J65" s="424">
        <v>200000</v>
      </c>
      <c r="K65" s="424">
        <v>0.2</v>
      </c>
      <c r="L65" s="424">
        <f t="shared" si="50"/>
        <v>1086649.6499999999</v>
      </c>
      <c r="M65" s="424">
        <f t="shared" si="51"/>
        <v>1286649.6499999999</v>
      </c>
      <c r="N65" s="424">
        <f t="shared" si="52"/>
        <v>1735031.4</v>
      </c>
      <c r="O65" s="424">
        <f t="shared" si="53"/>
        <v>4146598.6000000099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227183.664000002</v>
      </c>
      <c r="V65" s="424">
        <f t="shared" si="60"/>
        <v>787183.66400000197</v>
      </c>
      <c r="W65" s="431">
        <v>12</v>
      </c>
      <c r="X65" s="424">
        <f t="shared" si="61"/>
        <v>65598.638666666797</v>
      </c>
      <c r="Y65" s="427"/>
      <c r="Z65" s="873">
        <f t="shared" si="62"/>
        <v>65598.638666666797</v>
      </c>
      <c r="AA65" s="753">
        <v>51029.227306666697</v>
      </c>
      <c r="AB65" s="753">
        <f t="shared" si="32"/>
        <v>14569.4113600001</v>
      </c>
      <c r="AC65" s="436"/>
      <c r="AD65" s="436"/>
      <c r="AE65" s="436"/>
    </row>
    <row r="66" spans="1:31" ht="14.25" x14ac:dyDescent="0.1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4.25" x14ac:dyDescent="0.15">
      <c r="A67" s="421"/>
      <c r="B67" s="809" t="s">
        <v>169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4.25" x14ac:dyDescent="0.15">
      <c r="A68" s="421"/>
      <c r="B68" s="597" t="s">
        <v>170</v>
      </c>
      <c r="C68" s="424">
        <v>1947106.41666666</v>
      </c>
      <c r="D68" s="423">
        <v>12</v>
      </c>
      <c r="E68" s="424">
        <f t="shared" ref="E68:E74" si="63">C68*D68</f>
        <v>23365276.999999899</v>
      </c>
      <c r="F68" s="424"/>
      <c r="G68" s="425">
        <v>1677222.16</v>
      </c>
      <c r="H68" s="427"/>
      <c r="I68" s="424">
        <f t="shared" ref="I68:I74" si="64">E68-F68-G68-H68</f>
        <v>21688054.839999899</v>
      </c>
      <c r="J68" s="424">
        <v>200000</v>
      </c>
      <c r="K68" s="424">
        <v>0.2</v>
      </c>
      <c r="L68" s="424">
        <f t="shared" ref="L68:L74" si="65">I68*K68</f>
        <v>4337610.9679999799</v>
      </c>
      <c r="M68" s="424">
        <f t="shared" ref="M68:M74" si="66">J68+L68</f>
        <v>4537610.9679999799</v>
      </c>
      <c r="N68" s="424">
        <f t="shared" ref="N68:N74" si="67">F68+G68+H68+M68</f>
        <v>6214833.12799998</v>
      </c>
      <c r="O68" s="424">
        <f t="shared" ref="O68:O74" si="68">E68-N68</f>
        <v>17150443.871999901</v>
      </c>
      <c r="P68" s="424">
        <f t="shared" ref="P68:P74" si="69">IF(O68&lt;300000,0.07*O68,21000)</f>
        <v>21000</v>
      </c>
      <c r="Q68" s="424">
        <f t="shared" ref="Q68:Q74" si="70">IF((O68-300000)&lt;0,0,IF((O68-300000)&lt;300000,0.11*(O68-300000),33000))</f>
        <v>33000</v>
      </c>
      <c r="R68" s="424">
        <f t="shared" ref="R68:R74" si="71">IF((O68-600000)&lt;0,0,IF((O68-600000)&lt;500000,0.15*(O68-600000),75000))</f>
        <v>75000</v>
      </c>
      <c r="S68" s="424">
        <f t="shared" ref="S68:S74" si="72">IF((O68-1100000)&lt;0,0,IF((O68-1100000)&lt;500000,0.19*(O68-1100000),95000))</f>
        <v>95000</v>
      </c>
      <c r="T68" s="424">
        <f t="shared" ref="T68:T74" si="73">IF((O68-1600000)&lt;0,0,IF((O68-1600000)&lt;1600000,0.21*(O68-1600000),336000))</f>
        <v>336000</v>
      </c>
      <c r="U68" s="424">
        <f t="shared" ref="U68:U71" si="74">24%*(O68-3200000)</f>
        <v>3348106.5292799901</v>
      </c>
      <c r="V68" s="424">
        <f t="shared" ref="V68:V74" si="75">P68+Q68+R68+S68+T68+U68</f>
        <v>3908106.5292799901</v>
      </c>
      <c r="W68" s="431">
        <v>12</v>
      </c>
      <c r="X68" s="424">
        <f t="shared" ref="X68:X74" si="76">V68/W68</f>
        <v>325675.54410666501</v>
      </c>
      <c r="Y68" s="427"/>
      <c r="Z68" s="873">
        <f t="shared" ref="Z68:Z74" si="77">X68</f>
        <v>325675.54410666501</v>
      </c>
      <c r="AA68" s="753">
        <v>270672.24746666697</v>
      </c>
      <c r="AB68" s="753">
        <f t="shared" si="32"/>
        <v>55003.2966399984</v>
      </c>
      <c r="AC68" s="436"/>
      <c r="AD68" s="436"/>
      <c r="AE68" s="436"/>
    </row>
    <row r="69" spans="1:31" ht="14.25" x14ac:dyDescent="0.15">
      <c r="A69" s="421">
        <v>62</v>
      </c>
      <c r="B69" s="597" t="s">
        <v>172</v>
      </c>
      <c r="C69" s="424">
        <v>882595.5</v>
      </c>
      <c r="D69" s="423">
        <v>12</v>
      </c>
      <c r="E69" s="424">
        <f t="shared" si="63"/>
        <v>10591146</v>
      </c>
      <c r="F69" s="424"/>
      <c r="G69" s="425">
        <v>693691.68</v>
      </c>
      <c r="H69" s="427"/>
      <c r="I69" s="424">
        <f t="shared" si="64"/>
        <v>9897454.3200000003</v>
      </c>
      <c r="J69" s="424">
        <v>200000</v>
      </c>
      <c r="K69" s="424">
        <v>0.2</v>
      </c>
      <c r="L69" s="424">
        <f t="shared" si="65"/>
        <v>1979490.8640000001</v>
      </c>
      <c r="M69" s="424">
        <f t="shared" si="66"/>
        <v>2179490.8640000001</v>
      </c>
      <c r="N69" s="424">
        <f t="shared" si="67"/>
        <v>2873182.5440000002</v>
      </c>
      <c r="O69" s="424">
        <f t="shared" si="68"/>
        <v>7717963.4560000002</v>
      </c>
      <c r="P69" s="424">
        <f t="shared" si="69"/>
        <v>21000</v>
      </c>
      <c r="Q69" s="424">
        <f t="shared" si="70"/>
        <v>33000</v>
      </c>
      <c r="R69" s="424">
        <f t="shared" si="71"/>
        <v>75000</v>
      </c>
      <c r="S69" s="424">
        <f t="shared" si="72"/>
        <v>95000</v>
      </c>
      <c r="T69" s="424">
        <f t="shared" si="73"/>
        <v>336000</v>
      </c>
      <c r="U69" s="424">
        <f t="shared" si="74"/>
        <v>1084311.2294399999</v>
      </c>
      <c r="V69" s="424">
        <f t="shared" si="75"/>
        <v>1644311.2294399999</v>
      </c>
      <c r="W69" s="431">
        <v>12</v>
      </c>
      <c r="X69" s="424">
        <f t="shared" si="76"/>
        <v>137025.93578666699</v>
      </c>
      <c r="Y69" s="427"/>
      <c r="Z69" s="873">
        <f t="shared" si="77"/>
        <v>137025.93578666699</v>
      </c>
      <c r="AA69" s="753">
        <v>112212.004906667</v>
      </c>
      <c r="AB69" s="753">
        <f t="shared" si="32"/>
        <v>24813.930879999702</v>
      </c>
      <c r="AC69" s="436"/>
      <c r="AD69" s="436"/>
      <c r="AE69" s="436"/>
    </row>
    <row r="70" spans="1:31" ht="14.25" x14ac:dyDescent="0.15">
      <c r="A70" s="421">
        <v>63</v>
      </c>
      <c r="B70" s="597" t="s">
        <v>174</v>
      </c>
      <c r="C70" s="424">
        <v>713911.08333333395</v>
      </c>
      <c r="D70" s="423">
        <v>12</v>
      </c>
      <c r="E70" s="424">
        <f t="shared" si="63"/>
        <v>8566933.0000000093</v>
      </c>
      <c r="F70" s="424">
        <v>107120</v>
      </c>
      <c r="G70" s="425">
        <v>550954.64</v>
      </c>
      <c r="H70" s="427"/>
      <c r="I70" s="424">
        <f t="shared" si="64"/>
        <v>7908858.3600000096</v>
      </c>
      <c r="J70" s="424">
        <v>200000</v>
      </c>
      <c r="K70" s="424">
        <v>0.2</v>
      </c>
      <c r="L70" s="424">
        <f t="shared" si="65"/>
        <v>1581771.672</v>
      </c>
      <c r="M70" s="424">
        <f t="shared" si="66"/>
        <v>1781771.672</v>
      </c>
      <c r="N70" s="424">
        <f t="shared" si="67"/>
        <v>2439846.3119999999</v>
      </c>
      <c r="O70" s="424">
        <f t="shared" si="68"/>
        <v>6127086.6880000103</v>
      </c>
      <c r="P70" s="424">
        <f t="shared" si="69"/>
        <v>21000</v>
      </c>
      <c r="Q70" s="424">
        <f t="shared" si="70"/>
        <v>33000</v>
      </c>
      <c r="R70" s="424">
        <f t="shared" si="71"/>
        <v>75000</v>
      </c>
      <c r="S70" s="424">
        <f t="shared" si="72"/>
        <v>95000</v>
      </c>
      <c r="T70" s="424">
        <f t="shared" si="73"/>
        <v>336000</v>
      </c>
      <c r="U70" s="424">
        <f t="shared" si="74"/>
        <v>702500.80512000096</v>
      </c>
      <c r="V70" s="424">
        <f t="shared" si="75"/>
        <v>1262500.8051199999</v>
      </c>
      <c r="W70" s="431">
        <v>12</v>
      </c>
      <c r="X70" s="424">
        <f t="shared" si="76"/>
        <v>105208.40042666699</v>
      </c>
      <c r="Y70" s="427"/>
      <c r="Z70" s="873">
        <f t="shared" si="77"/>
        <v>105208.40042666699</v>
      </c>
      <c r="AA70" s="753">
        <v>86076.104186666693</v>
      </c>
      <c r="AB70" s="753">
        <f t="shared" si="32"/>
        <v>19132.296240000102</v>
      </c>
      <c r="AC70" s="436"/>
      <c r="AD70" s="436"/>
      <c r="AE70" s="436"/>
    </row>
    <row r="71" spans="1:31" ht="14.25" x14ac:dyDescent="0.15">
      <c r="A71" s="421">
        <v>64</v>
      </c>
      <c r="B71" s="597" t="s">
        <v>181</v>
      </c>
      <c r="C71" s="424">
        <v>564993.58333333302</v>
      </c>
      <c r="D71" s="423">
        <v>12</v>
      </c>
      <c r="E71" s="424">
        <f t="shared" si="63"/>
        <v>6779923</v>
      </c>
      <c r="F71" s="424"/>
      <c r="G71" s="425">
        <v>436793.83999999898</v>
      </c>
      <c r="H71" s="427"/>
      <c r="I71" s="424">
        <f t="shared" si="64"/>
        <v>6343129.1600000001</v>
      </c>
      <c r="J71" s="424">
        <v>200000</v>
      </c>
      <c r="K71" s="424">
        <v>0.2</v>
      </c>
      <c r="L71" s="424">
        <f t="shared" si="65"/>
        <v>1268625.8319999999</v>
      </c>
      <c r="M71" s="424">
        <f t="shared" si="66"/>
        <v>1468625.8319999999</v>
      </c>
      <c r="N71" s="424">
        <f t="shared" si="67"/>
        <v>1905419.672</v>
      </c>
      <c r="O71" s="424">
        <f t="shared" si="68"/>
        <v>4874503.3279999997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401880.79871999897</v>
      </c>
      <c r="V71" s="424">
        <f t="shared" si="75"/>
        <v>961880.79871999903</v>
      </c>
      <c r="W71" s="431">
        <v>12</v>
      </c>
      <c r="X71" s="424">
        <f t="shared" si="76"/>
        <v>80156.733226666605</v>
      </c>
      <c r="Y71" s="427"/>
      <c r="Z71" s="873">
        <f t="shared" si="77"/>
        <v>80156.733226666605</v>
      </c>
      <c r="AA71" s="753">
        <v>62231.114666666697</v>
      </c>
      <c r="AB71" s="753">
        <f t="shared" ref="AB71:AB102" si="78">Z71-AA71</f>
        <v>17925.618559999901</v>
      </c>
      <c r="AC71" s="436"/>
      <c r="AD71" s="436"/>
      <c r="AE71" s="436"/>
    </row>
    <row r="72" spans="1:31" ht="14.25" x14ac:dyDescent="0.15">
      <c r="A72" s="421">
        <v>65</v>
      </c>
      <c r="B72" s="597" t="s">
        <v>183</v>
      </c>
      <c r="C72" s="424">
        <v>447016.16666666599</v>
      </c>
      <c r="D72" s="423">
        <v>12</v>
      </c>
      <c r="E72" s="424">
        <f t="shared" si="63"/>
        <v>5364193.9999999898</v>
      </c>
      <c r="F72" s="424"/>
      <c r="G72" s="425">
        <v>333135.52</v>
      </c>
      <c r="H72" s="427"/>
      <c r="I72" s="424">
        <f t="shared" si="64"/>
        <v>5031058.4799999902</v>
      </c>
      <c r="J72" s="424">
        <v>200000</v>
      </c>
      <c r="K72" s="424">
        <v>0.2</v>
      </c>
      <c r="L72" s="424">
        <f t="shared" si="65"/>
        <v>1006211.696</v>
      </c>
      <c r="M72" s="424">
        <f t="shared" si="66"/>
        <v>1206211.696</v>
      </c>
      <c r="N72" s="424">
        <f t="shared" si="67"/>
        <v>1539347.216</v>
      </c>
      <c r="O72" s="424">
        <f t="shared" si="68"/>
        <v>3824846.7839999902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>0.24*(O72-3200000)</f>
        <v>149963.22815999799</v>
      </c>
      <c r="V72" s="424">
        <f t="shared" si="75"/>
        <v>709963.22815999796</v>
      </c>
      <c r="W72" s="431">
        <v>12</v>
      </c>
      <c r="X72" s="424">
        <f t="shared" si="76"/>
        <v>59163.602346666499</v>
      </c>
      <c r="Y72" s="427"/>
      <c r="Z72" s="873">
        <f t="shared" si="77"/>
        <v>59163.602346666499</v>
      </c>
      <c r="AA72" s="753">
        <v>44641.500586666698</v>
      </c>
      <c r="AB72" s="753">
        <f t="shared" si="78"/>
        <v>14522.101759999799</v>
      </c>
      <c r="AC72" s="436"/>
      <c r="AD72" s="436"/>
      <c r="AE72" s="436"/>
    </row>
    <row r="73" spans="1:31" ht="24.75" customHeight="1" x14ac:dyDescent="0.15">
      <c r="A73" s="421"/>
      <c r="B73" s="597" t="s">
        <v>185</v>
      </c>
      <c r="C73" s="424">
        <v>401910.75</v>
      </c>
      <c r="D73" s="423">
        <v>12</v>
      </c>
      <c r="E73" s="424">
        <f t="shared" si="63"/>
        <v>4822929</v>
      </c>
      <c r="F73" s="424"/>
      <c r="G73" s="425">
        <v>289834.32</v>
      </c>
      <c r="H73" s="427"/>
      <c r="I73" s="424">
        <f t="shared" si="64"/>
        <v>4533094.68</v>
      </c>
      <c r="J73" s="424">
        <v>200000</v>
      </c>
      <c r="K73" s="424">
        <v>0.2</v>
      </c>
      <c r="L73" s="424">
        <f t="shared" si="65"/>
        <v>906618.93599999999</v>
      </c>
      <c r="M73" s="424">
        <f t="shared" si="66"/>
        <v>1106618.936</v>
      </c>
      <c r="N73" s="424">
        <f t="shared" si="67"/>
        <v>1396453.2560000001</v>
      </c>
      <c r="O73" s="424">
        <f t="shared" si="68"/>
        <v>3426475.7439999999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>0.24*(O73-3200000)</f>
        <v>54354.17856</v>
      </c>
      <c r="V73" s="424">
        <f t="shared" si="75"/>
        <v>614354.17856000003</v>
      </c>
      <c r="W73" s="431">
        <v>12</v>
      </c>
      <c r="X73" s="424">
        <f t="shared" si="76"/>
        <v>51196.181546666703</v>
      </c>
      <c r="Y73" s="427"/>
      <c r="Z73" s="873">
        <f t="shared" si="77"/>
        <v>51196.181546666703</v>
      </c>
      <c r="AA73" s="753">
        <v>38659.165626666698</v>
      </c>
      <c r="AB73" s="753">
        <f t="shared" si="78"/>
        <v>12537.01592</v>
      </c>
      <c r="AC73" s="436"/>
      <c r="AD73" s="436"/>
      <c r="AE73" s="436"/>
    </row>
    <row r="74" spans="1:31" ht="14.25" x14ac:dyDescent="0.1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14.25" x14ac:dyDescent="0.15">
      <c r="A75" s="421">
        <v>67</v>
      </c>
      <c r="B75" s="809" t="s">
        <v>187</v>
      </c>
      <c r="C75" s="424"/>
      <c r="AA75" s="244"/>
      <c r="AB75" s="753"/>
      <c r="AC75" s="436"/>
      <c r="AD75" s="436"/>
      <c r="AE75" s="436"/>
    </row>
    <row r="76" spans="1:31" ht="14.25" x14ac:dyDescent="0.15">
      <c r="A76" s="421">
        <v>68</v>
      </c>
      <c r="B76" s="597" t="s">
        <v>188</v>
      </c>
      <c r="C76" s="424">
        <v>1847612</v>
      </c>
      <c r="D76" s="423">
        <v>12</v>
      </c>
      <c r="E76" s="424">
        <f t="shared" ref="E76:E85" si="79">C76*D76</f>
        <v>22171344</v>
      </c>
      <c r="F76" s="424">
        <v>307730.49999999901</v>
      </c>
      <c r="G76" s="425">
        <v>1581707.52</v>
      </c>
      <c r="H76" s="427"/>
      <c r="I76" s="424">
        <f t="shared" ref="I76:I85" si="80">E76-F76-G76-H76</f>
        <v>20281905.98</v>
      </c>
      <c r="J76" s="424">
        <v>200000</v>
      </c>
      <c r="K76" s="424">
        <v>0.2</v>
      </c>
      <c r="L76" s="424">
        <f t="shared" ref="L76:L85" si="81">I76*K76</f>
        <v>4056381.196</v>
      </c>
      <c r="M76" s="424">
        <f t="shared" ref="M76:M85" si="82">J76+L76</f>
        <v>4256381.1960000005</v>
      </c>
      <c r="N76" s="424">
        <f t="shared" ref="N76:N85" si="83">F76+G76+H76+M76</f>
        <v>6145819.216</v>
      </c>
      <c r="O76" s="424">
        <f t="shared" ref="O76:O85" si="84">E76-N76</f>
        <v>16025524.784</v>
      </c>
      <c r="P76" s="424">
        <f t="shared" ref="P76:P85" si="85">IF(O76&lt;300000,0.07*O76,21000)</f>
        <v>21000</v>
      </c>
      <c r="Q76" s="424">
        <f t="shared" ref="Q76:Q85" si="86">IF((O76-300000)&lt;0,0,IF((O76-300000)&lt;300000,0.11*(O76-300000),33000))</f>
        <v>33000</v>
      </c>
      <c r="R76" s="424">
        <f t="shared" ref="R76:R85" si="87">IF((O76-600000)&lt;0,0,IF((O76-600000)&lt;500000,0.15*(O76-600000),75000))</f>
        <v>75000</v>
      </c>
      <c r="S76" s="424">
        <f t="shared" ref="S76:S85" si="88">IF((O76-1100000)&lt;0,0,IF((O76-1100000)&lt;500000,0.19*(O76-1100000),95000))</f>
        <v>95000</v>
      </c>
      <c r="T76" s="424">
        <f t="shared" ref="T76:T85" si="89">IF((O76-1600000)&lt;0,0,IF((O76-1600000)&lt;1600000,0.21*(O76-1600000),336000))</f>
        <v>336000</v>
      </c>
      <c r="U76" s="424">
        <f t="shared" ref="U76:U85" si="90">24%*(O76-3200000)</f>
        <v>3078125.9481600001</v>
      </c>
      <c r="V76" s="424">
        <f t="shared" ref="V76:V85" si="91">P76+Q76+R76+S76+T76+U76</f>
        <v>3638125.9481600001</v>
      </c>
      <c r="W76" s="431">
        <v>12</v>
      </c>
      <c r="X76" s="424">
        <f t="shared" ref="X76:X85" si="92">V76/W76</f>
        <v>303177.16234666703</v>
      </c>
      <c r="Y76" s="427"/>
      <c r="Z76" s="873">
        <f t="shared" ref="Z76:Z85" si="93">X76</f>
        <v>303177.16234666703</v>
      </c>
      <c r="AA76" s="424">
        <v>251101.24</v>
      </c>
      <c r="AB76" s="753">
        <f t="shared" si="78"/>
        <v>52075.922346666601</v>
      </c>
      <c r="AC76" s="436"/>
      <c r="AD76" s="436"/>
      <c r="AE76" s="436"/>
    </row>
    <row r="77" spans="1:31" ht="14.25" x14ac:dyDescent="0.15">
      <c r="A77" s="421">
        <v>69</v>
      </c>
      <c r="B77" s="597" t="s">
        <v>190</v>
      </c>
      <c r="C77" s="424">
        <v>1232711.08333333</v>
      </c>
      <c r="D77" s="423">
        <v>12</v>
      </c>
      <c r="E77" s="424">
        <f t="shared" si="79"/>
        <v>14792533</v>
      </c>
      <c r="F77" s="424"/>
      <c r="G77" s="425">
        <v>818602.63999999897</v>
      </c>
      <c r="H77" s="427"/>
      <c r="I77" s="424">
        <f t="shared" si="80"/>
        <v>13973930.359999999</v>
      </c>
      <c r="J77" s="424">
        <v>200000</v>
      </c>
      <c r="K77" s="424">
        <v>0.2</v>
      </c>
      <c r="L77" s="424">
        <f t="shared" si="81"/>
        <v>2794786.0719999899</v>
      </c>
      <c r="M77" s="424">
        <f t="shared" si="82"/>
        <v>2994786.0719999899</v>
      </c>
      <c r="N77" s="424">
        <f t="shared" si="83"/>
        <v>3813388.71199999</v>
      </c>
      <c r="O77" s="424">
        <f t="shared" si="84"/>
        <v>10979144.288000001</v>
      </c>
      <c r="P77" s="424">
        <f t="shared" si="85"/>
        <v>21000</v>
      </c>
      <c r="Q77" s="424">
        <f t="shared" si="86"/>
        <v>33000</v>
      </c>
      <c r="R77" s="424">
        <f t="shared" si="87"/>
        <v>75000</v>
      </c>
      <c r="S77" s="424">
        <f t="shared" si="88"/>
        <v>95000</v>
      </c>
      <c r="T77" s="424">
        <f t="shared" si="89"/>
        <v>336000</v>
      </c>
      <c r="U77" s="424">
        <f t="shared" si="90"/>
        <v>1866994.6291199899</v>
      </c>
      <c r="V77" s="424">
        <f t="shared" si="91"/>
        <v>2426994.6291199899</v>
      </c>
      <c r="W77" s="431">
        <v>12</v>
      </c>
      <c r="X77" s="424">
        <f t="shared" si="92"/>
        <v>202249.55242666599</v>
      </c>
      <c r="Y77" s="427"/>
      <c r="Z77" s="873">
        <f t="shared" si="93"/>
        <v>202249.55242666599</v>
      </c>
      <c r="AA77" s="424">
        <v>177751.03</v>
      </c>
      <c r="AB77" s="753">
        <f t="shared" si="78"/>
        <v>24498.522426666001</v>
      </c>
      <c r="AC77" s="436"/>
      <c r="AD77" s="436"/>
      <c r="AE77" s="436"/>
    </row>
    <row r="78" spans="1:31" ht="27" x14ac:dyDescent="0.15">
      <c r="A78" s="421">
        <v>70</v>
      </c>
      <c r="B78" s="597" t="s">
        <v>193</v>
      </c>
      <c r="C78" s="424">
        <v>882595.5</v>
      </c>
      <c r="D78" s="423">
        <v>12</v>
      </c>
      <c r="E78" s="424">
        <f t="shared" si="79"/>
        <v>10591146</v>
      </c>
      <c r="F78" s="424"/>
      <c r="G78" s="425">
        <v>693691.68</v>
      </c>
      <c r="H78" s="427"/>
      <c r="I78" s="424">
        <f t="shared" si="80"/>
        <v>9897454.3200000003</v>
      </c>
      <c r="J78" s="424">
        <v>200000</v>
      </c>
      <c r="K78" s="424">
        <v>0.2</v>
      </c>
      <c r="L78" s="424">
        <f t="shared" si="81"/>
        <v>1979490.8640000001</v>
      </c>
      <c r="M78" s="424">
        <f t="shared" si="82"/>
        <v>2179490.8640000001</v>
      </c>
      <c r="N78" s="424">
        <f t="shared" si="83"/>
        <v>2873182.5440000002</v>
      </c>
      <c r="O78" s="424">
        <f t="shared" si="84"/>
        <v>7717963.4560000002</v>
      </c>
      <c r="P78" s="424">
        <f t="shared" si="85"/>
        <v>21000</v>
      </c>
      <c r="Q78" s="424">
        <f t="shared" si="86"/>
        <v>33000</v>
      </c>
      <c r="R78" s="424">
        <f t="shared" si="87"/>
        <v>75000</v>
      </c>
      <c r="S78" s="424">
        <f t="shared" si="88"/>
        <v>95000</v>
      </c>
      <c r="T78" s="424">
        <f t="shared" si="89"/>
        <v>336000</v>
      </c>
      <c r="U78" s="424">
        <f t="shared" si="90"/>
        <v>1084311.2294399999</v>
      </c>
      <c r="V78" s="424">
        <f t="shared" si="91"/>
        <v>1644311.2294399999</v>
      </c>
      <c r="W78" s="431">
        <v>12</v>
      </c>
      <c r="X78" s="424">
        <f t="shared" si="92"/>
        <v>137025.93578666699</v>
      </c>
      <c r="Y78" s="427"/>
      <c r="Z78" s="873">
        <f t="shared" si="93"/>
        <v>137025.93578666699</v>
      </c>
      <c r="AA78" s="424">
        <v>112212.004906667</v>
      </c>
      <c r="AB78" s="753">
        <f t="shared" si="78"/>
        <v>24813.930879999702</v>
      </c>
      <c r="AC78" s="436"/>
      <c r="AD78" s="436"/>
      <c r="AE78" s="436"/>
    </row>
    <row r="79" spans="1:31" ht="14.25" x14ac:dyDescent="0.15">
      <c r="A79" s="421">
        <v>71</v>
      </c>
      <c r="B79" s="597" t="s">
        <v>194</v>
      </c>
      <c r="C79" s="424">
        <v>698165.25</v>
      </c>
      <c r="D79" s="423">
        <v>12</v>
      </c>
      <c r="E79" s="424">
        <f t="shared" si="79"/>
        <v>8377983</v>
      </c>
      <c r="F79" s="424"/>
      <c r="G79" s="425">
        <v>535838.64</v>
      </c>
      <c r="H79" s="427"/>
      <c r="I79" s="424">
        <f t="shared" si="80"/>
        <v>7842144.3600000003</v>
      </c>
      <c r="J79" s="424">
        <v>200000</v>
      </c>
      <c r="K79" s="424">
        <v>0.2</v>
      </c>
      <c r="L79" s="424">
        <f t="shared" si="81"/>
        <v>1568428.872</v>
      </c>
      <c r="M79" s="424">
        <f t="shared" si="82"/>
        <v>1768428.872</v>
      </c>
      <c r="N79" s="424">
        <f t="shared" si="83"/>
        <v>2304267.5120000001</v>
      </c>
      <c r="O79" s="424">
        <f t="shared" si="84"/>
        <v>6073715.4879999999</v>
      </c>
      <c r="P79" s="424">
        <f t="shared" si="85"/>
        <v>21000</v>
      </c>
      <c r="Q79" s="424">
        <f t="shared" si="86"/>
        <v>33000</v>
      </c>
      <c r="R79" s="424">
        <f t="shared" si="87"/>
        <v>75000</v>
      </c>
      <c r="S79" s="424">
        <f t="shared" si="88"/>
        <v>95000</v>
      </c>
      <c r="T79" s="424">
        <f t="shared" si="89"/>
        <v>336000</v>
      </c>
      <c r="U79" s="424">
        <f t="shared" si="90"/>
        <v>689691.717119999</v>
      </c>
      <c r="V79" s="424">
        <f t="shared" si="91"/>
        <v>1249691.7171199999</v>
      </c>
      <c r="W79" s="431">
        <v>12</v>
      </c>
      <c r="X79" s="424">
        <f t="shared" si="92"/>
        <v>104140.976426667</v>
      </c>
      <c r="Y79" s="427"/>
      <c r="Z79" s="873">
        <f t="shared" si="93"/>
        <v>104140.976426667</v>
      </c>
      <c r="AA79" s="424">
        <v>83767.87</v>
      </c>
      <c r="AB79" s="753">
        <f t="shared" si="78"/>
        <v>20373.1064266666</v>
      </c>
      <c r="AC79" s="436"/>
      <c r="AD79" s="436"/>
      <c r="AE79" s="436"/>
    </row>
    <row r="80" spans="1:31" ht="14.25" x14ac:dyDescent="0.15">
      <c r="A80" s="421">
        <v>72</v>
      </c>
      <c r="B80" s="597" t="s">
        <v>195</v>
      </c>
      <c r="C80" s="424">
        <v>698166.25</v>
      </c>
      <c r="D80" s="423">
        <v>12</v>
      </c>
      <c r="E80" s="424">
        <f t="shared" si="79"/>
        <v>8377995</v>
      </c>
      <c r="F80" s="424">
        <v>104315.075</v>
      </c>
      <c r="G80" s="425">
        <v>535839.6</v>
      </c>
      <c r="H80" s="427"/>
      <c r="I80" s="424">
        <f t="shared" si="80"/>
        <v>7737840.3250000002</v>
      </c>
      <c r="J80" s="424">
        <v>200000</v>
      </c>
      <c r="K80" s="424">
        <v>0.2</v>
      </c>
      <c r="L80" s="424">
        <f t="shared" si="81"/>
        <v>1547568.0649999999</v>
      </c>
      <c r="M80" s="424">
        <f t="shared" si="82"/>
        <v>1747568.0649999999</v>
      </c>
      <c r="N80" s="424">
        <f t="shared" si="83"/>
        <v>2387722.7400000002</v>
      </c>
      <c r="O80" s="424">
        <f t="shared" si="84"/>
        <v>5990272.2599999998</v>
      </c>
      <c r="P80" s="424">
        <f t="shared" si="85"/>
        <v>21000</v>
      </c>
      <c r="Q80" s="424">
        <f t="shared" si="86"/>
        <v>33000</v>
      </c>
      <c r="R80" s="424">
        <f t="shared" si="87"/>
        <v>75000</v>
      </c>
      <c r="S80" s="424">
        <f t="shared" si="88"/>
        <v>95000</v>
      </c>
      <c r="T80" s="424">
        <f t="shared" si="89"/>
        <v>336000</v>
      </c>
      <c r="U80" s="424">
        <f t="shared" si="90"/>
        <v>669665.34239999903</v>
      </c>
      <c r="V80" s="424">
        <f t="shared" si="91"/>
        <v>1229665.3424</v>
      </c>
      <c r="W80" s="431">
        <v>12</v>
      </c>
      <c r="X80" s="424">
        <f t="shared" si="92"/>
        <v>102472.11186666699</v>
      </c>
      <c r="Y80" s="427"/>
      <c r="Z80" s="873">
        <f t="shared" si="93"/>
        <v>102472.11186666699</v>
      </c>
      <c r="AA80" s="424">
        <v>83753.408426666603</v>
      </c>
      <c r="AB80" s="753">
        <f t="shared" si="78"/>
        <v>18718.703440000001</v>
      </c>
      <c r="AC80" s="436"/>
      <c r="AD80" s="436"/>
      <c r="AE80" s="436"/>
    </row>
    <row r="81" spans="1:31" ht="27" x14ac:dyDescent="0.15">
      <c r="A81" s="421">
        <v>73</v>
      </c>
      <c r="B81" s="597" t="s">
        <v>196</v>
      </c>
      <c r="C81" s="424">
        <v>682419.5</v>
      </c>
      <c r="D81" s="423">
        <v>12</v>
      </c>
      <c r="E81" s="424">
        <f t="shared" si="79"/>
        <v>8189034</v>
      </c>
      <c r="F81" s="424"/>
      <c r="G81" s="425">
        <v>520722.72</v>
      </c>
      <c r="H81" s="427"/>
      <c r="I81" s="424">
        <f t="shared" si="80"/>
        <v>7668311.2800000003</v>
      </c>
      <c r="J81" s="424">
        <v>200000</v>
      </c>
      <c r="K81" s="424">
        <v>0.2</v>
      </c>
      <c r="L81" s="424">
        <f t="shared" si="81"/>
        <v>1533662.2560000001</v>
      </c>
      <c r="M81" s="424">
        <f t="shared" si="82"/>
        <v>1733662.2560000001</v>
      </c>
      <c r="N81" s="424">
        <f t="shared" si="83"/>
        <v>2254384.9759999998</v>
      </c>
      <c r="O81" s="424">
        <f t="shared" si="84"/>
        <v>5934649.0240000002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656315.76575999998</v>
      </c>
      <c r="V81" s="424">
        <f t="shared" si="91"/>
        <v>1216315.7657600001</v>
      </c>
      <c r="W81" s="431">
        <v>12</v>
      </c>
      <c r="X81" s="424">
        <f t="shared" si="92"/>
        <v>101359.647146667</v>
      </c>
      <c r="Y81" s="427"/>
      <c r="Z81" s="873">
        <f t="shared" si="93"/>
        <v>101359.647146667</v>
      </c>
      <c r="AA81" s="424">
        <v>81302.3959466667</v>
      </c>
      <c r="AB81" s="753">
        <f t="shared" si="78"/>
        <v>20057.251199999999</v>
      </c>
      <c r="AC81" s="436"/>
      <c r="AD81" s="436"/>
      <c r="AE81" s="436"/>
    </row>
    <row r="82" spans="1:31" ht="14.25" x14ac:dyDescent="0.15">
      <c r="A82" s="421">
        <v>74</v>
      </c>
      <c r="B82" s="597" t="s">
        <v>198</v>
      </c>
      <c r="C82" s="424">
        <v>578828.16666666698</v>
      </c>
      <c r="D82" s="423">
        <v>12</v>
      </c>
      <c r="E82" s="424">
        <f t="shared" si="79"/>
        <v>6945938</v>
      </c>
      <c r="F82" s="424"/>
      <c r="G82" s="430">
        <v>450075.04000000103</v>
      </c>
      <c r="H82" s="427"/>
      <c r="I82" s="424">
        <f t="shared" si="80"/>
        <v>6495862.96</v>
      </c>
      <c r="J82" s="424">
        <v>200000</v>
      </c>
      <c r="K82" s="424">
        <v>0.2</v>
      </c>
      <c r="L82" s="424">
        <f t="shared" si="81"/>
        <v>1299172.5919999999</v>
      </c>
      <c r="M82" s="424">
        <f t="shared" si="82"/>
        <v>1499172.5919999999</v>
      </c>
      <c r="N82" s="424">
        <f t="shared" si="83"/>
        <v>1949247.632</v>
      </c>
      <c r="O82" s="424">
        <f t="shared" si="84"/>
        <v>4996690.3679999998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431205.68832000101</v>
      </c>
      <c r="V82" s="424">
        <f t="shared" si="91"/>
        <v>991205.68832000101</v>
      </c>
      <c r="W82" s="431">
        <v>12</v>
      </c>
      <c r="X82" s="424">
        <f t="shared" si="92"/>
        <v>82600.474026666707</v>
      </c>
      <c r="Y82" s="427"/>
      <c r="Z82" s="873">
        <f t="shared" si="93"/>
        <v>82600.474026666707</v>
      </c>
      <c r="AA82" s="424">
        <v>64384.591786666701</v>
      </c>
      <c r="AB82" s="753">
        <f t="shared" si="78"/>
        <v>18215.882239999999</v>
      </c>
      <c r="AC82" s="436"/>
      <c r="AD82" s="436"/>
      <c r="AE82" s="436"/>
    </row>
    <row r="83" spans="1:31" ht="24" customHeight="1" x14ac:dyDescent="0.15">
      <c r="A83" s="421">
        <v>75</v>
      </c>
      <c r="B83" s="597" t="s">
        <v>199</v>
      </c>
      <c r="C83" s="424">
        <v>617472.75</v>
      </c>
      <c r="D83" s="423">
        <v>12</v>
      </c>
      <c r="E83" s="424">
        <f t="shared" si="79"/>
        <v>7409673</v>
      </c>
      <c r="F83" s="424">
        <v>93501.975000000006</v>
      </c>
      <c r="G83" s="425">
        <v>477573.84</v>
      </c>
      <c r="H83" s="427"/>
      <c r="I83" s="424">
        <f t="shared" si="80"/>
        <v>6838597.1849999996</v>
      </c>
      <c r="J83" s="424">
        <v>200000</v>
      </c>
      <c r="K83" s="424">
        <v>0.2</v>
      </c>
      <c r="L83" s="424">
        <f t="shared" si="81"/>
        <v>1367719.4369999999</v>
      </c>
      <c r="M83" s="424">
        <f t="shared" si="82"/>
        <v>1567719.4369999999</v>
      </c>
      <c r="N83" s="424">
        <f t="shared" si="83"/>
        <v>2138795.2519999999</v>
      </c>
      <c r="O83" s="424">
        <f t="shared" si="84"/>
        <v>5270877.7479999997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497010.65951999999</v>
      </c>
      <c r="V83" s="424">
        <f t="shared" si="91"/>
        <v>1057010.65952</v>
      </c>
      <c r="W83" s="431">
        <v>12</v>
      </c>
      <c r="X83" s="424">
        <f t="shared" si="92"/>
        <v>88084.221626666695</v>
      </c>
      <c r="Y83" s="427"/>
      <c r="Z83" s="873">
        <f t="shared" si="93"/>
        <v>88084.221626666695</v>
      </c>
      <c r="AA83" s="424">
        <v>70529.475354666705</v>
      </c>
      <c r="AB83" s="753">
        <f t="shared" si="78"/>
        <v>17554.746272</v>
      </c>
      <c r="AC83" s="436"/>
      <c r="AD83" s="436"/>
      <c r="AE83" s="436"/>
    </row>
    <row r="84" spans="1:31" ht="14.25" x14ac:dyDescent="0.15">
      <c r="A84" s="421">
        <v>76</v>
      </c>
      <c r="B84" s="597" t="s">
        <v>202</v>
      </c>
      <c r="C84" s="424">
        <v>490135.83333333401</v>
      </c>
      <c r="D84" s="423">
        <v>12</v>
      </c>
      <c r="E84" s="424">
        <f t="shared" si="79"/>
        <v>5881630.0000000102</v>
      </c>
      <c r="F84" s="424"/>
      <c r="G84" s="425">
        <v>374530.4</v>
      </c>
      <c r="H84" s="427"/>
      <c r="I84" s="424">
        <f t="shared" si="80"/>
        <v>5507099.6000000099</v>
      </c>
      <c r="J84" s="424">
        <v>200000</v>
      </c>
      <c r="K84" s="424">
        <v>0.2</v>
      </c>
      <c r="L84" s="424">
        <f t="shared" si="81"/>
        <v>1101419.92</v>
      </c>
      <c r="M84" s="424">
        <f t="shared" si="82"/>
        <v>1301419.92</v>
      </c>
      <c r="N84" s="424">
        <f t="shared" si="83"/>
        <v>1675950.32</v>
      </c>
      <c r="O84" s="424">
        <f t="shared" si="84"/>
        <v>4205679.6800000099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241363.12320000201</v>
      </c>
      <c r="V84" s="424">
        <f t="shared" si="91"/>
        <v>801363.12320000201</v>
      </c>
      <c r="W84" s="431">
        <v>12</v>
      </c>
      <c r="X84" s="424">
        <f t="shared" si="92"/>
        <v>66780.260266666795</v>
      </c>
      <c r="Y84" s="427"/>
      <c r="Z84" s="873">
        <f t="shared" si="93"/>
        <v>66780.260266666795</v>
      </c>
      <c r="AA84" s="424">
        <v>51029.227306666697</v>
      </c>
      <c r="AB84" s="753">
        <f t="shared" si="78"/>
        <v>15751.032960000101</v>
      </c>
      <c r="AC84" s="436"/>
      <c r="AD84" s="436"/>
      <c r="AE84" s="436"/>
    </row>
    <row r="85" spans="1:31" ht="14.25" x14ac:dyDescent="0.15">
      <c r="A85" s="421"/>
      <c r="B85" s="597" t="s">
        <v>204</v>
      </c>
      <c r="C85" s="424">
        <v>408920.66666666698</v>
      </c>
      <c r="D85" s="423">
        <v>12</v>
      </c>
      <c r="E85" s="424">
        <f t="shared" si="79"/>
        <v>4907048</v>
      </c>
      <c r="F85" s="424"/>
      <c r="G85" s="425">
        <v>296563.84000000102</v>
      </c>
      <c r="H85" s="427"/>
      <c r="I85" s="424">
        <f t="shared" si="80"/>
        <v>4610484.16</v>
      </c>
      <c r="J85" s="424">
        <v>200000</v>
      </c>
      <c r="K85" s="424">
        <v>0.2</v>
      </c>
      <c r="L85" s="424">
        <f t="shared" si="81"/>
        <v>922096.83200000098</v>
      </c>
      <c r="M85" s="424">
        <f t="shared" si="82"/>
        <v>1122096.8319999999</v>
      </c>
      <c r="N85" s="424">
        <f t="shared" si="83"/>
        <v>1418660.672</v>
      </c>
      <c r="O85" s="424">
        <f t="shared" si="84"/>
        <v>3488387.3280000002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69212.958720000504</v>
      </c>
      <c r="V85" s="424">
        <f t="shared" si="91"/>
        <v>629212.95872</v>
      </c>
      <c r="W85" s="431">
        <v>12</v>
      </c>
      <c r="X85" s="424">
        <f t="shared" si="92"/>
        <v>52434.4132266667</v>
      </c>
      <c r="Y85" s="427"/>
      <c r="Z85" s="873">
        <f t="shared" si="93"/>
        <v>52434.4132266667</v>
      </c>
      <c r="AA85" s="424">
        <v>39613.135706666697</v>
      </c>
      <c r="AB85" s="753">
        <f t="shared" si="78"/>
        <v>12821.27752</v>
      </c>
      <c r="AC85" s="436"/>
      <c r="AD85" s="436"/>
      <c r="AE85" s="436"/>
    </row>
    <row r="86" spans="1:31" ht="14.25" x14ac:dyDescent="0.1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4.25" x14ac:dyDescent="0.1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4.25" x14ac:dyDescent="0.15">
      <c r="A88" s="421">
        <v>78</v>
      </c>
      <c r="B88" s="809" t="s">
        <v>207</v>
      </c>
      <c r="C88" s="424"/>
      <c r="AA88" s="244"/>
      <c r="AB88" s="753"/>
      <c r="AC88" s="436"/>
      <c r="AD88" s="436"/>
      <c r="AE88" s="436"/>
    </row>
    <row r="89" spans="1:31" ht="14.25" x14ac:dyDescent="0.15">
      <c r="A89" s="421">
        <v>79</v>
      </c>
      <c r="B89" s="593" t="s">
        <v>208</v>
      </c>
      <c r="C89" s="424">
        <v>1797359.33333333</v>
      </c>
      <c r="D89" s="423">
        <v>12</v>
      </c>
      <c r="E89" s="424">
        <f t="shared" ref="E89:E93" si="94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5">E89-F89-G89-H89</f>
        <v>19621965.190000001</v>
      </c>
      <c r="J89" s="424">
        <v>200000</v>
      </c>
      <c r="K89" s="424">
        <v>0.2</v>
      </c>
      <c r="L89" s="424">
        <f t="shared" ref="L89:L93" si="96">I89*K89</f>
        <v>3924393.0379999899</v>
      </c>
      <c r="M89" s="424">
        <f t="shared" ref="M89:M93" si="97">J89+L89</f>
        <v>4124393.0379999899</v>
      </c>
      <c r="N89" s="424">
        <f t="shared" ref="N89:N93" si="98">F89+G89+H89+M89</f>
        <v>6070739.8479999797</v>
      </c>
      <c r="O89" s="424">
        <f t="shared" ref="O89:O93" si="99">E89-N89</f>
        <v>15497572.152000001</v>
      </c>
      <c r="P89" s="424">
        <f t="shared" ref="P89:P93" si="100">IF(O89&lt;300000,0.07*O89,21000)</f>
        <v>21000</v>
      </c>
      <c r="Q89" s="424">
        <f t="shared" ref="Q89:Q93" si="101">IF((O89-300000)&lt;0,0,IF((O89-300000)&lt;300000,0.11*(O89-300000),33000))</f>
        <v>33000</v>
      </c>
      <c r="R89" s="424">
        <f t="shared" ref="R89:R93" si="102">IF((O89-600000)&lt;0,0,IF((O89-600000)&lt;500000,0.15*(O89-600000),75000))</f>
        <v>75000</v>
      </c>
      <c r="S89" s="424">
        <f t="shared" ref="S89:S93" si="103">IF((O89-1100000)&lt;0,0,IF((O89-1100000)&lt;500000,0.19*(O89-1100000),95000))</f>
        <v>95000</v>
      </c>
      <c r="T89" s="424">
        <f t="shared" ref="T89:T93" si="104">IF((O89-1600000)&lt;0,0,IF((O89-1600000)&lt;1600000,0.21*(O89-1600000),336000))</f>
        <v>336000</v>
      </c>
      <c r="U89" s="424">
        <f t="shared" ref="U89:U93" si="105">24%*(O89-3200000)</f>
        <v>2951417.3164799898</v>
      </c>
      <c r="V89" s="424">
        <f t="shared" ref="V89:V93" si="106">P89+Q89+R89+S89+T89+U89</f>
        <v>3511417.3164799898</v>
      </c>
      <c r="W89" s="431">
        <v>12</v>
      </c>
      <c r="X89" s="424">
        <f t="shared" ref="X89:X93" si="107">V89/W89</f>
        <v>292618.10970666597</v>
      </c>
      <c r="Y89" s="427"/>
      <c r="Z89" s="873">
        <f t="shared" ref="Z89:Z93" si="108">X89</f>
        <v>292618.10970666597</v>
      </c>
      <c r="AA89" s="753">
        <v>236486.74867946701</v>
      </c>
      <c r="AB89" s="753">
        <f t="shared" si="78"/>
        <v>56131.3610271992</v>
      </c>
      <c r="AC89" s="436"/>
      <c r="AD89" s="436"/>
      <c r="AE89" s="436"/>
    </row>
    <row r="90" spans="1:31" ht="14.25" x14ac:dyDescent="0.15">
      <c r="A90" s="421">
        <v>80</v>
      </c>
      <c r="B90" s="597" t="s">
        <v>211</v>
      </c>
      <c r="C90" s="424">
        <v>643911.08333333395</v>
      </c>
      <c r="D90" s="423">
        <v>12</v>
      </c>
      <c r="E90" s="424">
        <f t="shared" si="94"/>
        <v>7726933.0000000102</v>
      </c>
      <c r="F90" s="424"/>
      <c r="G90" s="425">
        <v>550954.64</v>
      </c>
      <c r="H90" s="427"/>
      <c r="I90" s="424">
        <f t="shared" si="95"/>
        <v>7175978.3600000096</v>
      </c>
      <c r="J90" s="424">
        <v>200000</v>
      </c>
      <c r="K90" s="424">
        <v>0.2</v>
      </c>
      <c r="L90" s="424">
        <f t="shared" si="96"/>
        <v>1435195.672</v>
      </c>
      <c r="M90" s="424">
        <f t="shared" si="97"/>
        <v>1635195.672</v>
      </c>
      <c r="N90" s="424">
        <f t="shared" si="98"/>
        <v>2186150.3119999999</v>
      </c>
      <c r="O90" s="424">
        <f t="shared" si="99"/>
        <v>5540782.6880000103</v>
      </c>
      <c r="P90" s="424">
        <f t="shared" si="100"/>
        <v>21000</v>
      </c>
      <c r="Q90" s="424">
        <f t="shared" si="101"/>
        <v>33000</v>
      </c>
      <c r="R90" s="424">
        <f t="shared" si="102"/>
        <v>75000</v>
      </c>
      <c r="S90" s="424">
        <f t="shared" si="103"/>
        <v>95000</v>
      </c>
      <c r="T90" s="424">
        <f t="shared" si="104"/>
        <v>336000</v>
      </c>
      <c r="U90" s="424">
        <f t="shared" si="105"/>
        <v>561787.845120001</v>
      </c>
      <c r="V90" s="424">
        <f t="shared" si="106"/>
        <v>1121787.84512</v>
      </c>
      <c r="W90" s="431">
        <v>12</v>
      </c>
      <c r="X90" s="424">
        <f t="shared" si="107"/>
        <v>93482.320426666804</v>
      </c>
      <c r="Y90" s="427"/>
      <c r="Z90" s="873">
        <f t="shared" si="108"/>
        <v>93482.320426666804</v>
      </c>
      <c r="AA90" s="753">
        <v>72764.420906666695</v>
      </c>
      <c r="AB90" s="753">
        <f t="shared" si="78"/>
        <v>20717.899520000101</v>
      </c>
      <c r="AC90" s="436"/>
      <c r="AD90" s="436"/>
      <c r="AE90" s="436"/>
    </row>
    <row r="91" spans="1:31" ht="14.25" x14ac:dyDescent="0.15">
      <c r="A91" s="421">
        <v>81</v>
      </c>
      <c r="B91" s="597" t="s">
        <v>213</v>
      </c>
      <c r="C91" s="424">
        <v>567472.75</v>
      </c>
      <c r="D91" s="423">
        <v>12</v>
      </c>
      <c r="E91" s="424">
        <f t="shared" si="94"/>
        <v>6809673</v>
      </c>
      <c r="F91" s="424">
        <v>93501.975000000006</v>
      </c>
      <c r="G91" s="425">
        <v>477573.84</v>
      </c>
      <c r="H91" s="427"/>
      <c r="I91" s="424">
        <f t="shared" si="95"/>
        <v>6238597.1849999996</v>
      </c>
      <c r="J91" s="424">
        <v>200000</v>
      </c>
      <c r="K91" s="424">
        <v>0.2</v>
      </c>
      <c r="L91" s="424">
        <f t="shared" si="96"/>
        <v>1247719.4369999999</v>
      </c>
      <c r="M91" s="424">
        <f t="shared" si="97"/>
        <v>1447719.4369999999</v>
      </c>
      <c r="N91" s="424">
        <f t="shared" si="98"/>
        <v>2018795.2520000001</v>
      </c>
      <c r="O91" s="424">
        <f t="shared" si="99"/>
        <v>4790877.7479999997</v>
      </c>
      <c r="P91" s="424">
        <f t="shared" si="100"/>
        <v>21000</v>
      </c>
      <c r="Q91" s="424">
        <f t="shared" si="101"/>
        <v>33000</v>
      </c>
      <c r="R91" s="424">
        <f t="shared" si="102"/>
        <v>75000</v>
      </c>
      <c r="S91" s="424">
        <f t="shared" si="103"/>
        <v>95000</v>
      </c>
      <c r="T91" s="424">
        <f t="shared" si="104"/>
        <v>336000</v>
      </c>
      <c r="U91" s="424">
        <f t="shared" si="105"/>
        <v>381810.65951999999</v>
      </c>
      <c r="V91" s="424">
        <f t="shared" si="106"/>
        <v>941810.65951999999</v>
      </c>
      <c r="W91" s="431">
        <v>12</v>
      </c>
      <c r="X91" s="424">
        <f t="shared" si="107"/>
        <v>78484.221626666695</v>
      </c>
      <c r="Y91" s="427"/>
      <c r="Z91" s="873">
        <f t="shared" si="108"/>
        <v>78484.221626666695</v>
      </c>
      <c r="AA91" s="753">
        <v>59711.115255466699</v>
      </c>
      <c r="AB91" s="753">
        <f t="shared" si="78"/>
        <v>18773.1063712</v>
      </c>
      <c r="AC91" s="436"/>
      <c r="AD91" s="436"/>
      <c r="AE91" s="436"/>
    </row>
    <row r="92" spans="1:31" ht="14.25" x14ac:dyDescent="0.15">
      <c r="A92" s="421"/>
      <c r="B92" s="597" t="s">
        <v>217</v>
      </c>
      <c r="C92" s="424">
        <v>542662.66666666698</v>
      </c>
      <c r="D92" s="423">
        <v>12</v>
      </c>
      <c r="E92" s="424">
        <f t="shared" si="94"/>
        <v>6511952</v>
      </c>
      <c r="F92" s="424"/>
      <c r="G92" s="425">
        <v>463356.16000000102</v>
      </c>
      <c r="H92" s="427"/>
      <c r="I92" s="424">
        <f t="shared" si="95"/>
        <v>6048595.8399999999</v>
      </c>
      <c r="J92" s="424">
        <v>200000</v>
      </c>
      <c r="K92" s="424">
        <v>0.2</v>
      </c>
      <c r="L92" s="424">
        <f t="shared" si="96"/>
        <v>1209719.1680000001</v>
      </c>
      <c r="M92" s="424">
        <f t="shared" si="97"/>
        <v>1409719.1680000001</v>
      </c>
      <c r="N92" s="424">
        <f t="shared" si="98"/>
        <v>1873075.328</v>
      </c>
      <c r="O92" s="424">
        <f t="shared" si="99"/>
        <v>4638876.6720000003</v>
      </c>
      <c r="P92" s="424">
        <f t="shared" si="100"/>
        <v>21000</v>
      </c>
      <c r="Q92" s="424">
        <f t="shared" si="101"/>
        <v>33000</v>
      </c>
      <c r="R92" s="424">
        <f t="shared" si="102"/>
        <v>75000</v>
      </c>
      <c r="S92" s="424">
        <f t="shared" si="103"/>
        <v>95000</v>
      </c>
      <c r="T92" s="424">
        <f t="shared" si="104"/>
        <v>336000</v>
      </c>
      <c r="U92" s="424">
        <f t="shared" si="105"/>
        <v>345330.40128000098</v>
      </c>
      <c r="V92" s="424">
        <f t="shared" si="106"/>
        <v>905330.40128000104</v>
      </c>
      <c r="W92" s="431">
        <v>12</v>
      </c>
      <c r="X92" s="424">
        <f t="shared" si="107"/>
        <v>75444.2001066667</v>
      </c>
      <c r="Y92" s="427"/>
      <c r="Z92" s="873">
        <f t="shared" si="108"/>
        <v>75444.2001066667</v>
      </c>
      <c r="AA92" s="753">
        <v>56938.068906666696</v>
      </c>
      <c r="AB92" s="753">
        <f t="shared" si="78"/>
        <v>18506.1312</v>
      </c>
      <c r="AC92" s="436"/>
      <c r="AD92" s="436"/>
      <c r="AE92" s="436"/>
    </row>
    <row r="93" spans="1:31" ht="14.25" x14ac:dyDescent="0.15">
      <c r="A93" s="421"/>
      <c r="B93" s="597" t="s">
        <v>219</v>
      </c>
      <c r="C93" s="424">
        <v>450135.83333333401</v>
      </c>
      <c r="D93" s="423">
        <v>12</v>
      </c>
      <c r="E93" s="424">
        <f t="shared" si="94"/>
        <v>5401630.0000000102</v>
      </c>
      <c r="F93" s="424"/>
      <c r="G93" s="425">
        <v>374530.4</v>
      </c>
      <c r="H93" s="427"/>
      <c r="I93" s="424">
        <f t="shared" si="95"/>
        <v>5027099.6000000099</v>
      </c>
      <c r="J93" s="424">
        <v>200000</v>
      </c>
      <c r="K93" s="424">
        <v>0.2</v>
      </c>
      <c r="L93" s="424">
        <f t="shared" si="96"/>
        <v>1005419.92</v>
      </c>
      <c r="M93" s="424">
        <f t="shared" si="97"/>
        <v>1205419.92</v>
      </c>
      <c r="N93" s="424">
        <f t="shared" si="98"/>
        <v>1579950.32</v>
      </c>
      <c r="O93" s="424">
        <f t="shared" si="99"/>
        <v>3821679.6800000099</v>
      </c>
      <c r="P93" s="424">
        <f t="shared" si="100"/>
        <v>21000</v>
      </c>
      <c r="Q93" s="424">
        <f t="shared" si="101"/>
        <v>33000</v>
      </c>
      <c r="R93" s="424">
        <f t="shared" si="102"/>
        <v>75000</v>
      </c>
      <c r="S93" s="424">
        <f t="shared" si="103"/>
        <v>95000</v>
      </c>
      <c r="T93" s="424">
        <f t="shared" si="104"/>
        <v>336000</v>
      </c>
      <c r="U93" s="424">
        <f t="shared" si="105"/>
        <v>149203.12320000201</v>
      </c>
      <c r="V93" s="424">
        <f t="shared" si="106"/>
        <v>709203.12320000201</v>
      </c>
      <c r="W93" s="431">
        <v>12</v>
      </c>
      <c r="X93" s="424">
        <f t="shared" si="107"/>
        <v>59100.260266666803</v>
      </c>
      <c r="Y93" s="427"/>
      <c r="Z93" s="873">
        <f t="shared" si="108"/>
        <v>59100.260266666803</v>
      </c>
      <c r="AA93" s="753">
        <v>43763.907226666699</v>
      </c>
      <c r="AB93" s="753">
        <f t="shared" si="78"/>
        <v>15336.3530400001</v>
      </c>
      <c r="AC93" s="436"/>
      <c r="AD93" s="436"/>
      <c r="AE93" s="436"/>
    </row>
    <row r="94" spans="1:31" ht="14.25" x14ac:dyDescent="0.1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14.25" x14ac:dyDescent="0.15">
      <c r="A95" s="421">
        <v>84</v>
      </c>
      <c r="B95" s="809" t="s">
        <v>221</v>
      </c>
      <c r="C95" s="424"/>
      <c r="AA95" s="244"/>
      <c r="AB95" s="753"/>
      <c r="AC95" s="436"/>
      <c r="AD95" s="436"/>
      <c r="AE95" s="436"/>
    </row>
    <row r="96" spans="1:31" ht="14.25" x14ac:dyDescent="0.15">
      <c r="A96" s="421">
        <v>85</v>
      </c>
      <c r="B96" s="597" t="s">
        <v>222</v>
      </c>
      <c r="C96" s="424">
        <v>1947106.41666666</v>
      </c>
      <c r="D96" s="423">
        <v>12</v>
      </c>
      <c r="E96" s="424">
        <f t="shared" ref="E96:E102" si="109">C96*D96</f>
        <v>23365276.999999899</v>
      </c>
      <c r="F96" s="424"/>
      <c r="G96" s="425">
        <v>1677222.16</v>
      </c>
      <c r="H96" s="427"/>
      <c r="I96" s="424">
        <f t="shared" ref="I96:I102" si="110">E96-F96-G96-H96</f>
        <v>21688054.839999899</v>
      </c>
      <c r="J96" s="424">
        <v>200000</v>
      </c>
      <c r="K96" s="424">
        <v>0.2</v>
      </c>
      <c r="L96" s="424">
        <f t="shared" ref="L96:L102" si="111">I96*K96</f>
        <v>4337610.9679999799</v>
      </c>
      <c r="M96" s="424">
        <f t="shared" ref="M96:M102" si="112">J96+L96</f>
        <v>4537610.9679999799</v>
      </c>
      <c r="N96" s="424">
        <f t="shared" ref="N96:N102" si="113">F96+G96+H96+M96</f>
        <v>6214833.12799998</v>
      </c>
      <c r="O96" s="424">
        <f t="shared" ref="O96:O102" si="114">E96-N96</f>
        <v>17150443.871999901</v>
      </c>
      <c r="P96" s="424">
        <f t="shared" ref="P96:P102" si="115">IF(O96&lt;300000,0.07*O96,21000)</f>
        <v>21000</v>
      </c>
      <c r="Q96" s="424">
        <f t="shared" ref="Q96:Q102" si="116">IF((O96-300000)&lt;0,0,IF((O96-300000)&lt;300000,0.11*(O96-300000),33000))</f>
        <v>33000</v>
      </c>
      <c r="R96" s="424">
        <f t="shared" ref="R96:R102" si="117">IF((O96-600000)&lt;0,0,IF((O96-600000)&lt;500000,0.15*(O96-600000),75000))</f>
        <v>75000</v>
      </c>
      <c r="S96" s="424">
        <f t="shared" ref="S96:S102" si="118">IF((O96-1100000)&lt;0,0,IF((O96-1100000)&lt;500000,0.19*(O96-1100000),95000))</f>
        <v>95000</v>
      </c>
      <c r="T96" s="424">
        <f t="shared" ref="T96:T102" si="119">IF((O96-1600000)&lt;0,0,IF((O96-1600000)&lt;1600000,0.21*(O96-1600000),336000))</f>
        <v>336000</v>
      </c>
      <c r="U96" s="424">
        <f t="shared" ref="U96:U98" si="120">24%*(O96-3200000)</f>
        <v>3348106.5292799799</v>
      </c>
      <c r="V96" s="424">
        <f t="shared" ref="V96:V102" si="121">P96+Q96+R96+S96+T96+U96</f>
        <v>3908106.5292799799</v>
      </c>
      <c r="W96" s="431">
        <v>12</v>
      </c>
      <c r="X96" s="424">
        <f t="shared" ref="X96:X102" si="122">V96/W96</f>
        <v>325675.54410666501</v>
      </c>
      <c r="Y96" s="427"/>
      <c r="Z96" s="873">
        <f t="shared" ref="Z96:Z102" si="123">X96</f>
        <v>325675.54410666501</v>
      </c>
      <c r="AA96" s="753">
        <v>270672.24746666697</v>
      </c>
      <c r="AB96" s="753">
        <f t="shared" si="78"/>
        <v>55003.2966399984</v>
      </c>
      <c r="AC96" s="436"/>
      <c r="AD96" s="436"/>
      <c r="AE96" s="436"/>
    </row>
    <row r="97" spans="1:31" ht="14.25" x14ac:dyDescent="0.15">
      <c r="A97" s="421">
        <v>86</v>
      </c>
      <c r="B97" s="597" t="s">
        <v>224</v>
      </c>
      <c r="C97" s="424">
        <v>1085306.75</v>
      </c>
      <c r="D97" s="423">
        <v>12</v>
      </c>
      <c r="E97" s="424">
        <f t="shared" si="109"/>
        <v>13023681</v>
      </c>
      <c r="F97" s="424">
        <v>166400.85</v>
      </c>
      <c r="G97" s="425">
        <v>869094.48</v>
      </c>
      <c r="H97" s="427"/>
      <c r="I97" s="424">
        <f t="shared" si="110"/>
        <v>11988185.67</v>
      </c>
      <c r="J97" s="424">
        <v>200000</v>
      </c>
      <c r="K97" s="424">
        <v>0.2</v>
      </c>
      <c r="L97" s="424">
        <f t="shared" si="111"/>
        <v>2397637.1340000001</v>
      </c>
      <c r="M97" s="424">
        <f t="shared" si="112"/>
        <v>2597637.1340000001</v>
      </c>
      <c r="N97" s="424">
        <f t="shared" si="113"/>
        <v>3633132.4640000002</v>
      </c>
      <c r="O97" s="424">
        <f t="shared" si="114"/>
        <v>9390548.5360000003</v>
      </c>
      <c r="P97" s="424">
        <f t="shared" si="115"/>
        <v>21000</v>
      </c>
      <c r="Q97" s="424">
        <f t="shared" si="116"/>
        <v>33000</v>
      </c>
      <c r="R97" s="424">
        <f t="shared" si="117"/>
        <v>75000</v>
      </c>
      <c r="S97" s="424">
        <f t="shared" si="118"/>
        <v>95000</v>
      </c>
      <c r="T97" s="424">
        <f t="shared" si="119"/>
        <v>336000</v>
      </c>
      <c r="U97" s="424">
        <f t="shared" si="120"/>
        <v>1485731.64864</v>
      </c>
      <c r="V97" s="424">
        <f t="shared" si="121"/>
        <v>2045731.64864</v>
      </c>
      <c r="W97" s="431">
        <v>12</v>
      </c>
      <c r="X97" s="424">
        <f t="shared" si="122"/>
        <v>170477.63738666699</v>
      </c>
      <c r="Y97" s="427"/>
      <c r="Z97" s="873">
        <f t="shared" si="123"/>
        <v>170477.63738666699</v>
      </c>
      <c r="AA97" s="753">
        <v>147687.52761066699</v>
      </c>
      <c r="AB97" s="753">
        <f t="shared" si="78"/>
        <v>22790.109775999699</v>
      </c>
      <c r="AC97" s="436"/>
      <c r="AD97" s="436"/>
      <c r="AE97" s="436"/>
    </row>
    <row r="98" spans="1:31" ht="14.25" x14ac:dyDescent="0.15">
      <c r="A98" s="421">
        <v>87</v>
      </c>
      <c r="B98" s="597" t="s">
        <v>226</v>
      </c>
      <c r="C98" s="424">
        <v>720899.98</v>
      </c>
      <c r="D98" s="423">
        <v>12</v>
      </c>
      <c r="E98" s="424">
        <f t="shared" si="109"/>
        <v>8650799.7599999998</v>
      </c>
      <c r="F98" s="424">
        <v>101319.25</v>
      </c>
      <c r="G98" s="425">
        <v>519697.27999999898</v>
      </c>
      <c r="H98" s="427"/>
      <c r="I98" s="424">
        <f t="shared" si="110"/>
        <v>8029783.2300000004</v>
      </c>
      <c r="J98" s="424">
        <v>200000</v>
      </c>
      <c r="K98" s="424">
        <v>0.2</v>
      </c>
      <c r="L98" s="424">
        <f t="shared" si="111"/>
        <v>1605956.6459999999</v>
      </c>
      <c r="M98" s="424">
        <f t="shared" si="112"/>
        <v>1805956.6459999999</v>
      </c>
      <c r="N98" s="424">
        <f t="shared" si="113"/>
        <v>2426973.176</v>
      </c>
      <c r="O98" s="424">
        <f t="shared" si="114"/>
        <v>6223826.5839999998</v>
      </c>
      <c r="P98" s="424">
        <f t="shared" si="115"/>
        <v>21000</v>
      </c>
      <c r="Q98" s="424">
        <f t="shared" si="116"/>
        <v>33000</v>
      </c>
      <c r="R98" s="424">
        <f t="shared" si="117"/>
        <v>75000</v>
      </c>
      <c r="S98" s="424">
        <f t="shared" si="118"/>
        <v>95000</v>
      </c>
      <c r="T98" s="424">
        <f t="shared" si="119"/>
        <v>336000</v>
      </c>
      <c r="U98" s="424">
        <f t="shared" si="120"/>
        <v>725718.38015999901</v>
      </c>
      <c r="V98" s="424">
        <f t="shared" si="121"/>
        <v>1285718.3801599999</v>
      </c>
      <c r="W98" s="431">
        <v>12</v>
      </c>
      <c r="X98" s="424">
        <f t="shared" si="122"/>
        <v>107143.19834666701</v>
      </c>
      <c r="Y98" s="427"/>
      <c r="Z98" s="873">
        <f t="shared" si="123"/>
        <v>107143.19834666701</v>
      </c>
      <c r="AA98" s="753">
        <v>87575.782703466699</v>
      </c>
      <c r="AB98" s="753">
        <f t="shared" si="78"/>
        <v>19567.4156431999</v>
      </c>
      <c r="AC98" s="436"/>
      <c r="AD98" s="436"/>
      <c r="AE98" s="436"/>
    </row>
    <row r="99" spans="1:31" ht="14.25" x14ac:dyDescent="0.15">
      <c r="A99" s="421">
        <v>88</v>
      </c>
      <c r="B99" s="597" t="s">
        <v>228</v>
      </c>
      <c r="C99" s="424">
        <v>742085.64500000002</v>
      </c>
      <c r="D99" s="423">
        <v>12</v>
      </c>
      <c r="E99" s="424">
        <f t="shared" si="109"/>
        <v>8905027.7400000002</v>
      </c>
      <c r="F99" s="424"/>
      <c r="G99" s="425">
        <v>519697.27999999898</v>
      </c>
      <c r="H99" s="427"/>
      <c r="I99" s="424">
        <f t="shared" si="110"/>
        <v>8385330.46</v>
      </c>
      <c r="J99" s="424">
        <v>200000</v>
      </c>
      <c r="K99" s="424">
        <v>0.2</v>
      </c>
      <c r="L99" s="424">
        <f t="shared" si="111"/>
        <v>1677066.0919999999</v>
      </c>
      <c r="M99" s="424">
        <f t="shared" si="112"/>
        <v>1877066.0919999999</v>
      </c>
      <c r="N99" s="424">
        <f t="shared" si="113"/>
        <v>2396763.372</v>
      </c>
      <c r="O99" s="424">
        <f t="shared" si="114"/>
        <v>6508264.3679999998</v>
      </c>
      <c r="P99" s="424">
        <f t="shared" si="115"/>
        <v>21000</v>
      </c>
      <c r="Q99" s="424">
        <f t="shared" si="116"/>
        <v>33000</v>
      </c>
      <c r="R99" s="424">
        <f t="shared" si="117"/>
        <v>75000</v>
      </c>
      <c r="S99" s="424">
        <f t="shared" si="118"/>
        <v>95000</v>
      </c>
      <c r="T99" s="424">
        <f t="shared" si="119"/>
        <v>336000</v>
      </c>
      <c r="U99" s="424">
        <f t="shared" ref="U99:U102" si="124">0.24*(O99-3200000)</f>
        <v>793983.44831999997</v>
      </c>
      <c r="V99" s="424">
        <f t="shared" si="121"/>
        <v>1353983.44832</v>
      </c>
      <c r="W99" s="431">
        <v>12</v>
      </c>
      <c r="X99" s="424">
        <f t="shared" si="122"/>
        <v>112831.95402666699</v>
      </c>
      <c r="Y99" s="427"/>
      <c r="Z99" s="873">
        <f t="shared" si="123"/>
        <v>112831.95402666699</v>
      </c>
      <c r="AA99" s="753">
        <v>87392.5495444267</v>
      </c>
      <c r="AB99" s="753">
        <f t="shared" si="78"/>
        <v>25439.404482239999</v>
      </c>
      <c r="AC99" s="436"/>
      <c r="AD99" s="436"/>
      <c r="AE99" s="436"/>
    </row>
    <row r="100" spans="1:31" ht="14.25" x14ac:dyDescent="0.15">
      <c r="A100" s="421">
        <v>89</v>
      </c>
      <c r="B100" s="597" t="s">
        <v>230</v>
      </c>
      <c r="C100" s="424">
        <v>466244.96250000002</v>
      </c>
      <c r="D100" s="423">
        <v>12</v>
      </c>
      <c r="E100" s="424">
        <f t="shared" si="109"/>
        <v>5594939.5499999998</v>
      </c>
      <c r="F100" s="424"/>
      <c r="G100" s="425">
        <v>316752.40000000101</v>
      </c>
      <c r="H100" s="427"/>
      <c r="I100" s="424">
        <f t="shared" si="110"/>
        <v>5278187.1500000004</v>
      </c>
      <c r="J100" s="424">
        <v>200000</v>
      </c>
      <c r="K100" s="424">
        <v>0.2</v>
      </c>
      <c r="L100" s="424">
        <f t="shared" si="111"/>
        <v>1055637.43</v>
      </c>
      <c r="M100" s="424">
        <f t="shared" si="112"/>
        <v>1255637.43</v>
      </c>
      <c r="N100" s="424">
        <f t="shared" si="113"/>
        <v>1572389.83</v>
      </c>
      <c r="O100" s="424">
        <f t="shared" si="114"/>
        <v>4022549.72</v>
      </c>
      <c r="P100" s="424">
        <f t="shared" si="115"/>
        <v>21000</v>
      </c>
      <c r="Q100" s="424">
        <f t="shared" si="116"/>
        <v>33000</v>
      </c>
      <c r="R100" s="424">
        <f t="shared" si="117"/>
        <v>75000</v>
      </c>
      <c r="S100" s="424">
        <f t="shared" si="118"/>
        <v>95000</v>
      </c>
      <c r="T100" s="424">
        <f t="shared" si="119"/>
        <v>336000</v>
      </c>
      <c r="U100" s="424">
        <f t="shared" si="124"/>
        <v>197411.932800001</v>
      </c>
      <c r="V100" s="424">
        <f t="shared" si="121"/>
        <v>757411.932800001</v>
      </c>
      <c r="W100" s="431">
        <v>12</v>
      </c>
      <c r="X100" s="424">
        <f t="shared" si="122"/>
        <v>63117.661066666697</v>
      </c>
      <c r="Y100" s="427"/>
      <c r="Z100" s="873">
        <f t="shared" si="123"/>
        <v>63117.661066666697</v>
      </c>
      <c r="AA100" s="753">
        <v>46740.264902826697</v>
      </c>
      <c r="AB100" s="753">
        <f t="shared" si="78"/>
        <v>16377.39616384</v>
      </c>
      <c r="AC100" s="436"/>
      <c r="AD100" s="436"/>
      <c r="AE100" s="436"/>
    </row>
    <row r="101" spans="1:31" ht="27" x14ac:dyDescent="0.15">
      <c r="A101" s="421"/>
      <c r="B101" s="313" t="s">
        <v>233</v>
      </c>
      <c r="C101" s="424">
        <v>476751.86249999999</v>
      </c>
      <c r="D101" s="423">
        <v>12</v>
      </c>
      <c r="E101" s="424">
        <f t="shared" si="109"/>
        <v>5721022.3499999996</v>
      </c>
      <c r="F101" s="424"/>
      <c r="G101" s="425">
        <v>317190.799999999</v>
      </c>
      <c r="H101" s="427"/>
      <c r="I101" s="424">
        <f t="shared" si="110"/>
        <v>5403831.5499999998</v>
      </c>
      <c r="J101" s="424">
        <v>200000</v>
      </c>
      <c r="K101" s="424">
        <v>0.2</v>
      </c>
      <c r="L101" s="424">
        <f t="shared" si="111"/>
        <v>1080766.31</v>
      </c>
      <c r="M101" s="424">
        <f t="shared" si="112"/>
        <v>1280766.31</v>
      </c>
      <c r="N101" s="424">
        <f t="shared" si="113"/>
        <v>1597957.11</v>
      </c>
      <c r="O101" s="424">
        <f t="shared" si="114"/>
        <v>4123065.24</v>
      </c>
      <c r="P101" s="424">
        <f t="shared" si="115"/>
        <v>21000</v>
      </c>
      <c r="Q101" s="424">
        <f t="shared" si="116"/>
        <v>33000</v>
      </c>
      <c r="R101" s="424">
        <f t="shared" si="117"/>
        <v>75000</v>
      </c>
      <c r="S101" s="424">
        <f t="shared" si="118"/>
        <v>95000</v>
      </c>
      <c r="T101" s="424">
        <f t="shared" si="119"/>
        <v>336000</v>
      </c>
      <c r="U101" s="424">
        <f t="shared" si="124"/>
        <v>221535.65759999899</v>
      </c>
      <c r="V101" s="424">
        <f t="shared" si="121"/>
        <v>781535.65759999899</v>
      </c>
      <c r="W101" s="431">
        <v>12</v>
      </c>
      <c r="X101" s="424">
        <f t="shared" si="122"/>
        <v>65127.971466666597</v>
      </c>
      <c r="Y101" s="427"/>
      <c r="Z101" s="873">
        <f t="shared" si="123"/>
        <v>65127.971466666597</v>
      </c>
      <c r="AA101" s="753">
        <v>87883.38</v>
      </c>
      <c r="AB101" s="753">
        <f t="shared" si="78"/>
        <v>-22755.408533333401</v>
      </c>
      <c r="AC101" s="436"/>
      <c r="AD101" s="436"/>
      <c r="AE101" s="436"/>
    </row>
    <row r="102" spans="1:31" ht="14.25" x14ac:dyDescent="0.15">
      <c r="A102" s="421"/>
      <c r="B102" s="313" t="s">
        <v>234</v>
      </c>
      <c r="C102" s="424">
        <v>442901.94</v>
      </c>
      <c r="D102" s="423">
        <v>12</v>
      </c>
      <c r="E102" s="424">
        <f t="shared" si="109"/>
        <v>5314823.28</v>
      </c>
      <c r="G102" s="425">
        <v>296563.84000000102</v>
      </c>
      <c r="H102" s="427"/>
      <c r="I102" s="424">
        <f t="shared" si="110"/>
        <v>5018259.4400000004</v>
      </c>
      <c r="J102" s="424">
        <v>200000</v>
      </c>
      <c r="K102" s="424">
        <v>0.2</v>
      </c>
      <c r="L102" s="424">
        <f t="shared" si="111"/>
        <v>1003651.888</v>
      </c>
      <c r="M102" s="424">
        <f t="shared" si="112"/>
        <v>1203651.888</v>
      </c>
      <c r="N102" s="424">
        <f t="shared" si="113"/>
        <v>1500215.7279999999</v>
      </c>
      <c r="O102" s="424">
        <f t="shared" si="114"/>
        <v>3814607.5520000001</v>
      </c>
      <c r="P102" s="424">
        <f t="shared" si="115"/>
        <v>21000</v>
      </c>
      <c r="Q102" s="424">
        <f t="shared" si="116"/>
        <v>33000</v>
      </c>
      <c r="R102" s="424">
        <f t="shared" si="117"/>
        <v>75000</v>
      </c>
      <c r="S102" s="424">
        <f t="shared" si="118"/>
        <v>95000</v>
      </c>
      <c r="T102" s="424">
        <f t="shared" si="119"/>
        <v>336000</v>
      </c>
      <c r="U102" s="424">
        <f t="shared" si="124"/>
        <v>147505.81247999999</v>
      </c>
      <c r="V102" s="424">
        <f t="shared" si="121"/>
        <v>707505.81248000101</v>
      </c>
      <c r="W102" s="431">
        <v>12</v>
      </c>
      <c r="X102" s="424">
        <f t="shared" si="122"/>
        <v>58958.817706666698</v>
      </c>
      <c r="Y102" s="427"/>
      <c r="Z102" s="873">
        <f t="shared" si="123"/>
        <v>58958.817706666698</v>
      </c>
      <c r="AA102" s="753">
        <v>43740.256541426701</v>
      </c>
      <c r="AB102" s="753">
        <f t="shared" si="78"/>
        <v>15218.56116524</v>
      </c>
      <c r="AC102" s="436"/>
      <c r="AD102" s="436"/>
      <c r="AE102" s="436"/>
    </row>
    <row r="103" spans="1:31" ht="14.25" x14ac:dyDescent="0.1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14.25" x14ac:dyDescent="0.15">
      <c r="A104" s="421">
        <v>91</v>
      </c>
      <c r="B104" s="809" t="s">
        <v>235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4.25" x14ac:dyDescent="0.15">
      <c r="A105" s="421">
        <v>92</v>
      </c>
      <c r="B105" s="597" t="s">
        <v>236</v>
      </c>
      <c r="C105" s="424">
        <v>592662.66666666698</v>
      </c>
      <c r="D105" s="423">
        <v>12</v>
      </c>
      <c r="E105" s="424">
        <f t="shared" ref="E105:E107" si="125">C105*D105</f>
        <v>7111952</v>
      </c>
      <c r="F105" s="424"/>
      <c r="G105" s="425">
        <v>463356.16000000102</v>
      </c>
      <c r="H105" s="427"/>
      <c r="I105" s="424">
        <f t="shared" ref="I105:I107" si="126">E105-F105-G105-H105</f>
        <v>6648595.8399999999</v>
      </c>
      <c r="J105" s="424">
        <v>200000</v>
      </c>
      <c r="K105" s="424">
        <v>0.2</v>
      </c>
      <c r="L105" s="424">
        <f t="shared" ref="L105:L107" si="127">I105*K105</f>
        <v>1329719.1680000001</v>
      </c>
      <c r="M105" s="424">
        <f t="shared" ref="M105:M107" si="128">J105+L105</f>
        <v>1529719.1680000001</v>
      </c>
      <c r="N105" s="424">
        <f t="shared" ref="N105:N107" si="129">F105+G105+H105+M105</f>
        <v>1993075.328</v>
      </c>
      <c r="O105" s="424">
        <f t="shared" ref="O105:O107" si="130">E105-N105</f>
        <v>5118876.6720000003</v>
      </c>
      <c r="P105" s="424">
        <f t="shared" ref="P105:P107" si="131">IF(O105&lt;300000,0.07*O105,21000)</f>
        <v>21000</v>
      </c>
      <c r="Q105" s="424">
        <f t="shared" ref="Q105:Q107" si="132">IF((O105-300000)&lt;0,0,IF((O105-300000)&lt;300000,0.11*(O105-300000),33000))</f>
        <v>33000</v>
      </c>
      <c r="R105" s="424">
        <f t="shared" ref="R105:R107" si="133">IF((O105-600000)&lt;0,0,IF((O105-600000)&lt;500000,0.15*(O105-600000),75000))</f>
        <v>75000</v>
      </c>
      <c r="S105" s="424">
        <f t="shared" ref="S105:S107" si="134">IF((O105-1100000)&lt;0,0,IF((O105-1100000)&lt;500000,0.19*(O105-1100000),95000))</f>
        <v>95000</v>
      </c>
      <c r="T105" s="424">
        <f t="shared" ref="T105:T107" si="135">IF((O105-1600000)&lt;0,0,IF((O105-1600000)&lt;1600000,0.21*(O105-1600000),336000))</f>
        <v>336000</v>
      </c>
      <c r="U105" s="424">
        <f t="shared" ref="U105:U107" si="136">0.24*(O105-3200000)</f>
        <v>460530.40128000098</v>
      </c>
      <c r="V105" s="424">
        <f t="shared" ref="V105:V107" si="137">P105+Q105+R105+S105+T105+U105</f>
        <v>1020530.40128</v>
      </c>
      <c r="W105" s="431">
        <v>12</v>
      </c>
      <c r="X105" s="424">
        <f t="shared" ref="X105:X107" si="138">V105/W105</f>
        <v>85044.2001066667</v>
      </c>
      <c r="Y105" s="427"/>
      <c r="Z105" s="873">
        <f t="shared" ref="Z105:Z107" si="139">X105</f>
        <v>85044.2001066667</v>
      </c>
      <c r="AA105" s="753">
        <v>66538.068906666696</v>
      </c>
      <c r="AB105" s="753">
        <f t="shared" ref="AB103:AB134" si="140">Z105-AA105</f>
        <v>18506.1312</v>
      </c>
      <c r="AC105" s="436"/>
      <c r="AD105" s="436"/>
      <c r="AE105" s="436"/>
    </row>
    <row r="106" spans="1:31" ht="14.25" x14ac:dyDescent="0.15">
      <c r="A106" s="421">
        <v>93</v>
      </c>
      <c r="B106" s="597" t="s">
        <v>238</v>
      </c>
      <c r="C106" s="424">
        <v>578828.16666666698</v>
      </c>
      <c r="D106" s="423">
        <v>12</v>
      </c>
      <c r="E106" s="424">
        <f t="shared" si="125"/>
        <v>6945938</v>
      </c>
      <c r="F106" s="424"/>
      <c r="G106" s="425">
        <v>450075.04000000103</v>
      </c>
      <c r="H106" s="427"/>
      <c r="I106" s="424">
        <f t="shared" si="126"/>
        <v>6495862.96</v>
      </c>
      <c r="J106" s="424">
        <v>200000</v>
      </c>
      <c r="K106" s="424">
        <v>0.2</v>
      </c>
      <c r="L106" s="424">
        <f t="shared" si="127"/>
        <v>1299172.5919999999</v>
      </c>
      <c r="M106" s="424">
        <f t="shared" si="128"/>
        <v>1499172.5919999999</v>
      </c>
      <c r="N106" s="424">
        <f t="shared" si="129"/>
        <v>1949247.632</v>
      </c>
      <c r="O106" s="424">
        <f t="shared" si="130"/>
        <v>4996690.3679999998</v>
      </c>
      <c r="P106" s="424">
        <f t="shared" si="131"/>
        <v>21000</v>
      </c>
      <c r="Q106" s="424">
        <f t="shared" si="132"/>
        <v>33000</v>
      </c>
      <c r="R106" s="424">
        <f t="shared" si="133"/>
        <v>75000</v>
      </c>
      <c r="S106" s="424">
        <f t="shared" si="134"/>
        <v>95000</v>
      </c>
      <c r="T106" s="424">
        <f t="shared" si="135"/>
        <v>336000</v>
      </c>
      <c r="U106" s="424">
        <f t="shared" si="136"/>
        <v>431205.68832000101</v>
      </c>
      <c r="V106" s="424">
        <f t="shared" si="137"/>
        <v>991205.68832000101</v>
      </c>
      <c r="W106" s="431">
        <v>12</v>
      </c>
      <c r="X106" s="424">
        <f t="shared" si="138"/>
        <v>82600.474026666707</v>
      </c>
      <c r="Y106" s="427"/>
      <c r="Z106" s="873">
        <f t="shared" si="139"/>
        <v>82600.474026666707</v>
      </c>
      <c r="AA106" s="753">
        <v>66538.068906666696</v>
      </c>
      <c r="AB106" s="753">
        <f t="shared" si="140"/>
        <v>16062.405119999999</v>
      </c>
      <c r="AC106" s="436"/>
      <c r="AD106" s="436"/>
      <c r="AE106" s="436"/>
    </row>
    <row r="107" spans="1:31" ht="14.25" x14ac:dyDescent="0.15">
      <c r="A107" s="421">
        <v>94</v>
      </c>
      <c r="B107" s="597" t="s">
        <v>177</v>
      </c>
      <c r="C107" s="430">
        <v>981346.58333333395</v>
      </c>
      <c r="D107" s="423">
        <v>12</v>
      </c>
      <c r="E107" s="424">
        <f t="shared" si="125"/>
        <v>11776159</v>
      </c>
      <c r="F107" s="424">
        <v>90896.225000000093</v>
      </c>
      <c r="G107" s="425">
        <v>463532.72</v>
      </c>
      <c r="H107" s="427"/>
      <c r="I107" s="424">
        <f t="shared" si="126"/>
        <v>11221730.055</v>
      </c>
      <c r="J107" s="424">
        <v>200000</v>
      </c>
      <c r="K107" s="424">
        <v>0.2</v>
      </c>
      <c r="L107" s="424">
        <f t="shared" si="127"/>
        <v>2244346.0109999999</v>
      </c>
      <c r="M107" s="424">
        <f t="shared" si="128"/>
        <v>2444346.0109999999</v>
      </c>
      <c r="N107" s="424">
        <f t="shared" si="129"/>
        <v>2998774.9559999998</v>
      </c>
      <c r="O107" s="424">
        <f t="shared" si="130"/>
        <v>8777384.0440000091</v>
      </c>
      <c r="P107" s="424">
        <f t="shared" si="131"/>
        <v>21000</v>
      </c>
      <c r="Q107" s="424">
        <f t="shared" si="132"/>
        <v>33000</v>
      </c>
      <c r="R107" s="424">
        <f t="shared" si="133"/>
        <v>75000</v>
      </c>
      <c r="S107" s="424">
        <f t="shared" si="134"/>
        <v>95000</v>
      </c>
      <c r="T107" s="424">
        <f t="shared" si="135"/>
        <v>336000</v>
      </c>
      <c r="U107" s="424">
        <f t="shared" si="136"/>
        <v>1338572.17056</v>
      </c>
      <c r="V107" s="424">
        <f t="shared" si="137"/>
        <v>1898572.17056</v>
      </c>
      <c r="W107" s="431">
        <v>12</v>
      </c>
      <c r="X107" s="424">
        <f t="shared" si="138"/>
        <v>158214.34754666701</v>
      </c>
      <c r="Y107" s="427"/>
      <c r="Z107" s="873">
        <f t="shared" si="139"/>
        <v>158214.34754666701</v>
      </c>
      <c r="AA107" s="753">
        <v>59711.115255466699</v>
      </c>
      <c r="AB107" s="753">
        <f t="shared" si="140"/>
        <v>98503.232291200096</v>
      </c>
      <c r="AC107" s="436"/>
      <c r="AD107" s="436"/>
      <c r="AE107" s="436"/>
    </row>
    <row r="108" spans="1:31" ht="14.25" x14ac:dyDescent="0.1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4.25" x14ac:dyDescent="0.15">
      <c r="A109" s="421">
        <v>91</v>
      </c>
      <c r="B109" s="809" t="s">
        <v>524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4.25" x14ac:dyDescent="0.15">
      <c r="A110" s="421">
        <v>92</v>
      </c>
      <c r="B110" s="597" t="s">
        <v>246</v>
      </c>
      <c r="C110" s="424">
        <v>337890.91666666698</v>
      </c>
      <c r="D110" s="423">
        <v>12</v>
      </c>
      <c r="E110" s="424">
        <f>C110*D110</f>
        <v>4054691</v>
      </c>
      <c r="F110" s="424"/>
      <c r="G110" s="425">
        <v>276375.28000000102</v>
      </c>
      <c r="H110" s="427"/>
      <c r="I110" s="424">
        <f>E110-F110-G110-H110</f>
        <v>3778315.72</v>
      </c>
      <c r="J110" s="424">
        <v>200000</v>
      </c>
      <c r="K110" s="424">
        <v>0.2</v>
      </c>
      <c r="L110" s="424">
        <f>I110*K110</f>
        <v>755663.14400000102</v>
      </c>
      <c r="M110" s="424">
        <f>J110+L110</f>
        <v>955663.14400000102</v>
      </c>
      <c r="N110" s="424">
        <f>F110+G110+H110+M110</f>
        <v>1232038.4240000001</v>
      </c>
      <c r="O110" s="424">
        <f>E110-N110</f>
        <v>2822652.5759999999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256757.04096000001</v>
      </c>
      <c r="U110" s="424"/>
      <c r="V110" s="424">
        <f>P110+Q110+R110+S110+T110+U110</f>
        <v>480757.04096000001</v>
      </c>
      <c r="W110" s="431">
        <v>12</v>
      </c>
      <c r="X110" s="424">
        <f>V110/W110</f>
        <v>40063.086746666697</v>
      </c>
      <c r="Y110" s="427"/>
      <c r="Z110" s="873">
        <f>X110</f>
        <v>40063.086746666697</v>
      </c>
      <c r="AA110" s="753">
        <v>29305.195546666699</v>
      </c>
      <c r="AB110" s="753">
        <f t="shared" si="140"/>
        <v>10757.8912</v>
      </c>
      <c r="AC110" s="436"/>
      <c r="AD110" s="436"/>
      <c r="AE110" s="436"/>
    </row>
    <row r="111" spans="1:31" ht="14.25" x14ac:dyDescent="0.15">
      <c r="A111" s="421">
        <v>93</v>
      </c>
      <c r="B111" s="597" t="s">
        <v>248</v>
      </c>
      <c r="C111" s="424">
        <v>337890.91666666698</v>
      </c>
      <c r="D111" s="423">
        <v>12</v>
      </c>
      <c r="E111" s="424">
        <f>C111*D111</f>
        <v>4054691</v>
      </c>
      <c r="F111" s="424"/>
      <c r="G111" s="425">
        <v>276375.28000000102</v>
      </c>
      <c r="H111" s="427"/>
      <c r="I111" s="424">
        <f>E111-F111-G111-H111</f>
        <v>3778315.72</v>
      </c>
      <c r="J111" s="424">
        <v>200000</v>
      </c>
      <c r="K111" s="424">
        <v>0.2</v>
      </c>
      <c r="L111" s="424">
        <f>I111*K111</f>
        <v>755663.14400000102</v>
      </c>
      <c r="M111" s="424">
        <f>J111+L111</f>
        <v>955663.14400000102</v>
      </c>
      <c r="N111" s="424">
        <f>F111+G111+H111+M111</f>
        <v>1232038.4240000001</v>
      </c>
      <c r="O111" s="424">
        <f>E111-N111</f>
        <v>2822652.5759999999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256757.04096000001</v>
      </c>
      <c r="U111" s="424"/>
      <c r="V111" s="424">
        <f>P111+Q111+R111+S111+T111+U111</f>
        <v>480757.04096000001</v>
      </c>
      <c r="W111" s="431">
        <v>12</v>
      </c>
      <c r="X111" s="424">
        <f>V111/W111</f>
        <v>40063.086746666697</v>
      </c>
      <c r="Y111" s="427"/>
      <c r="Z111" s="873">
        <f>X111</f>
        <v>40063.086746666697</v>
      </c>
      <c r="AA111" s="753">
        <v>29305.195546666699</v>
      </c>
      <c r="AB111" s="753">
        <f t="shared" si="140"/>
        <v>10757.8912</v>
      </c>
      <c r="AC111" s="436"/>
      <c r="AD111" s="436"/>
      <c r="AE111" s="436"/>
    </row>
    <row r="112" spans="1:31" ht="14.25" x14ac:dyDescent="0.1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4.25" x14ac:dyDescent="0.1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4.25" x14ac:dyDescent="0.15">
      <c r="A114" s="421">
        <v>97</v>
      </c>
      <c r="B114" s="809" t="s">
        <v>250</v>
      </c>
      <c r="C114" s="424"/>
      <c r="U114" s="437"/>
      <c r="AA114" s="244"/>
      <c r="AB114" s="753"/>
      <c r="AC114" s="436"/>
      <c r="AD114" s="436"/>
      <c r="AE114" s="436"/>
    </row>
    <row r="115" spans="1:31" ht="14.25" x14ac:dyDescent="0.15">
      <c r="A115" s="421">
        <v>98</v>
      </c>
      <c r="B115" s="597" t="s">
        <v>251</v>
      </c>
      <c r="C115" s="424">
        <v>1947106.41666666</v>
      </c>
      <c r="D115" s="423">
        <v>12</v>
      </c>
      <c r="E115" s="424">
        <f t="shared" ref="E115:E124" si="141">C115*D115</f>
        <v>23365276.999999899</v>
      </c>
      <c r="F115" s="424">
        <v>326033.12499999901</v>
      </c>
      <c r="G115" s="425">
        <v>1677222.16</v>
      </c>
      <c r="H115" s="427"/>
      <c r="I115" s="424">
        <f t="shared" ref="I115:I124" si="142">E115-F115-G115-H115</f>
        <v>21362021.714999899</v>
      </c>
      <c r="J115" s="424">
        <v>200000</v>
      </c>
      <c r="K115" s="424">
        <v>0.2</v>
      </c>
      <c r="L115" s="424">
        <f t="shared" ref="L115:L124" si="143">I115*K115</f>
        <v>4272404.3429999799</v>
      </c>
      <c r="M115" s="424">
        <f t="shared" ref="M115:M124" si="144">J115+L115</f>
        <v>4472404.3429999799</v>
      </c>
      <c r="N115" s="424">
        <f t="shared" ref="N115:N124" si="145">F115+G115+H115+M115</f>
        <v>6475659.62799998</v>
      </c>
      <c r="O115" s="424">
        <f t="shared" ref="O115:O124" si="146">E115-N115</f>
        <v>16889617.371999901</v>
      </c>
      <c r="P115" s="424">
        <f t="shared" ref="P115:P124" si="147">IF(O115&lt;300000,0.07*O115,21000)</f>
        <v>21000</v>
      </c>
      <c r="Q115" s="424">
        <f t="shared" ref="Q115:Q124" si="148">IF((O115-300000)&lt;0,0,IF((O115-300000)&lt;300000,0.11*(O115-300000),33000))</f>
        <v>33000</v>
      </c>
      <c r="R115" s="424">
        <f t="shared" ref="R115:R124" si="149">IF((O115-600000)&lt;0,0,IF((O115-600000)&lt;500000,0.15*(O115-600000),75000))</f>
        <v>75000</v>
      </c>
      <c r="S115" s="424">
        <f t="shared" ref="S115:S124" si="150">IF((O115-1100000)&lt;0,0,IF((O115-1100000)&lt;500000,0.19*(O115-1100000),95000))</f>
        <v>95000</v>
      </c>
      <c r="T115" s="424">
        <f t="shared" ref="T115:T124" si="151">IF((O115-1600000)&lt;0,0,IF((O115-1600000)&lt;1600000,0.21*(O115-1600000),336000))</f>
        <v>336000</v>
      </c>
      <c r="U115" s="424">
        <f t="shared" ref="U115:U121" si="152">0.24*(O115-3200000)</f>
        <v>3285508.16927998</v>
      </c>
      <c r="V115" s="424">
        <f t="shared" ref="V115:V124" si="153">P115+Q115+R115+S115+T115+U115</f>
        <v>3845508.16927998</v>
      </c>
      <c r="W115" s="431">
        <v>12</v>
      </c>
      <c r="X115" s="424">
        <f t="shared" ref="X115:X124" si="154">V115/W115</f>
        <v>320459.01410666498</v>
      </c>
      <c r="Y115" s="427"/>
      <c r="Z115" s="873">
        <f t="shared" ref="Z115:Z124" si="155">X115</f>
        <v>320459.01410666498</v>
      </c>
      <c r="AA115" s="753">
        <v>270279.89537066699</v>
      </c>
      <c r="AB115" s="753">
        <f t="shared" si="140"/>
        <v>50179.118735998301</v>
      </c>
      <c r="AC115" s="436"/>
      <c r="AD115" s="436"/>
      <c r="AE115" s="436"/>
    </row>
    <row r="116" spans="1:31" ht="14.25" x14ac:dyDescent="0.15">
      <c r="A116" s="421">
        <v>99</v>
      </c>
      <c r="B116" s="597" t="s">
        <v>253</v>
      </c>
      <c r="C116" s="424">
        <v>1095306.75</v>
      </c>
      <c r="D116" s="423">
        <v>12</v>
      </c>
      <c r="E116" s="424">
        <f t="shared" si="141"/>
        <v>13143681</v>
      </c>
      <c r="F116" s="424">
        <v>166400.85</v>
      </c>
      <c r="G116" s="425">
        <v>869094.48</v>
      </c>
      <c r="H116" s="427"/>
      <c r="I116" s="424">
        <f t="shared" si="142"/>
        <v>12108185.67</v>
      </c>
      <c r="J116" s="424">
        <v>200000</v>
      </c>
      <c r="K116" s="424">
        <v>0.2</v>
      </c>
      <c r="L116" s="424">
        <f t="shared" si="143"/>
        <v>2421637.1340000001</v>
      </c>
      <c r="M116" s="424">
        <f t="shared" si="144"/>
        <v>2621637.1340000001</v>
      </c>
      <c r="N116" s="424">
        <f t="shared" si="145"/>
        <v>3657132.4640000002</v>
      </c>
      <c r="O116" s="424">
        <f t="shared" si="146"/>
        <v>9486548.5360000003</v>
      </c>
      <c r="P116" s="424">
        <f t="shared" si="147"/>
        <v>21000</v>
      </c>
      <c r="Q116" s="424">
        <f t="shared" si="148"/>
        <v>33000</v>
      </c>
      <c r="R116" s="424">
        <f t="shared" si="149"/>
        <v>75000</v>
      </c>
      <c r="S116" s="424">
        <f t="shared" si="150"/>
        <v>95000</v>
      </c>
      <c r="T116" s="424">
        <f t="shared" si="151"/>
        <v>336000</v>
      </c>
      <c r="U116" s="424">
        <f t="shared" si="152"/>
        <v>1508771.64864</v>
      </c>
      <c r="V116" s="424">
        <f t="shared" si="153"/>
        <v>2068771.64864</v>
      </c>
      <c r="W116" s="431">
        <v>12</v>
      </c>
      <c r="X116" s="424">
        <f t="shared" si="154"/>
        <v>172397.63738666699</v>
      </c>
      <c r="Y116" s="427"/>
      <c r="Z116" s="873">
        <f t="shared" si="155"/>
        <v>172397.63738666699</v>
      </c>
      <c r="AA116" s="753">
        <v>143803.32</v>
      </c>
      <c r="AB116" s="753">
        <f t="shared" si="140"/>
        <v>28594.317386666698</v>
      </c>
      <c r="AC116" s="436"/>
      <c r="AD116" s="436"/>
      <c r="AE116" s="436"/>
    </row>
    <row r="117" spans="1:31" ht="14.25" x14ac:dyDescent="0.15">
      <c r="A117" s="421"/>
      <c r="B117" s="593" t="s">
        <v>255</v>
      </c>
      <c r="C117" s="424">
        <v>1151604.58333334</v>
      </c>
      <c r="D117" s="423">
        <v>12</v>
      </c>
      <c r="E117" s="424">
        <f t="shared" si="141"/>
        <v>13819255.000000101</v>
      </c>
      <c r="F117" s="424">
        <v>157015.95000000001</v>
      </c>
      <c r="G117" s="425">
        <v>818602.63999999897</v>
      </c>
      <c r="H117" s="427"/>
      <c r="I117" s="424">
        <f t="shared" si="142"/>
        <v>12843636.410000101</v>
      </c>
      <c r="J117" s="424">
        <v>200000</v>
      </c>
      <c r="K117" s="424">
        <v>0.2</v>
      </c>
      <c r="L117" s="424">
        <f t="shared" si="143"/>
        <v>2568727.2820000201</v>
      </c>
      <c r="M117" s="424">
        <f t="shared" si="144"/>
        <v>2768727.2820000201</v>
      </c>
      <c r="N117" s="424">
        <f t="shared" si="145"/>
        <v>3744345.87200002</v>
      </c>
      <c r="O117" s="424">
        <f t="shared" si="146"/>
        <v>10074909.128000099</v>
      </c>
      <c r="P117" s="424">
        <f t="shared" si="147"/>
        <v>21000</v>
      </c>
      <c r="Q117" s="424">
        <f t="shared" si="148"/>
        <v>33000</v>
      </c>
      <c r="R117" s="424">
        <f t="shared" si="149"/>
        <v>75000</v>
      </c>
      <c r="S117" s="424">
        <f t="shared" si="150"/>
        <v>95000</v>
      </c>
      <c r="T117" s="424">
        <f t="shared" si="151"/>
        <v>336000</v>
      </c>
      <c r="U117" s="424">
        <f t="shared" si="152"/>
        <v>1649978.1907200201</v>
      </c>
      <c r="V117" s="424">
        <f t="shared" si="153"/>
        <v>2209978.1907200199</v>
      </c>
      <c r="W117" s="431">
        <v>12</v>
      </c>
      <c r="X117" s="424">
        <f t="shared" si="154"/>
        <v>184164.84922666801</v>
      </c>
      <c r="Y117" s="427"/>
      <c r="Z117" s="873">
        <f t="shared" si="155"/>
        <v>184164.84922666801</v>
      </c>
      <c r="AA117" s="753">
        <v>145172.65</v>
      </c>
      <c r="AB117" s="753">
        <f t="shared" si="140"/>
        <v>38992.199226668003</v>
      </c>
      <c r="AC117" s="436"/>
      <c r="AD117" s="436"/>
      <c r="AE117" s="436"/>
    </row>
    <row r="118" spans="1:31" ht="14.25" x14ac:dyDescent="0.15">
      <c r="A118" s="421"/>
      <c r="B118" s="597" t="s">
        <v>257</v>
      </c>
      <c r="C118" s="424">
        <v>659657</v>
      </c>
      <c r="D118" s="423">
        <v>12</v>
      </c>
      <c r="E118" s="424">
        <f t="shared" si="141"/>
        <v>7915884</v>
      </c>
      <c r="F118" s="424"/>
      <c r="G118" s="425">
        <v>566070.72</v>
      </c>
      <c r="H118" s="427"/>
      <c r="I118" s="424">
        <f t="shared" si="142"/>
        <v>7349813.2800000003</v>
      </c>
      <c r="J118" s="424">
        <v>200000</v>
      </c>
      <c r="K118" s="424">
        <v>0.2</v>
      </c>
      <c r="L118" s="424">
        <f t="shared" si="143"/>
        <v>1469962.656</v>
      </c>
      <c r="M118" s="424">
        <f t="shared" si="144"/>
        <v>1669962.656</v>
      </c>
      <c r="N118" s="424">
        <f t="shared" si="145"/>
        <v>2236033.3760000002</v>
      </c>
      <c r="O118" s="424">
        <f t="shared" si="146"/>
        <v>5679850.6239999998</v>
      </c>
      <c r="P118" s="424">
        <f t="shared" si="147"/>
        <v>21000</v>
      </c>
      <c r="Q118" s="424">
        <f t="shared" si="148"/>
        <v>33000</v>
      </c>
      <c r="R118" s="424">
        <f t="shared" si="149"/>
        <v>75000</v>
      </c>
      <c r="S118" s="424">
        <f t="shared" si="150"/>
        <v>95000</v>
      </c>
      <c r="T118" s="424">
        <f t="shared" si="151"/>
        <v>336000</v>
      </c>
      <c r="U118" s="424">
        <f t="shared" si="152"/>
        <v>595164.14975999994</v>
      </c>
      <c r="V118" s="424">
        <f t="shared" si="153"/>
        <v>1155164.1497599999</v>
      </c>
      <c r="W118" s="431">
        <v>12</v>
      </c>
      <c r="X118" s="424">
        <f t="shared" si="154"/>
        <v>96263.679146666705</v>
      </c>
      <c r="Y118" s="427"/>
      <c r="Z118" s="873">
        <f t="shared" si="155"/>
        <v>96263.679146666705</v>
      </c>
      <c r="AA118" s="753">
        <v>75215.4333866667</v>
      </c>
      <c r="AB118" s="753">
        <f t="shared" si="140"/>
        <v>21048.245760000002</v>
      </c>
      <c r="AC118" s="436"/>
      <c r="AD118" s="436"/>
      <c r="AE118" s="436"/>
    </row>
    <row r="119" spans="1:31" ht="14.25" x14ac:dyDescent="0.15">
      <c r="A119" s="421">
        <v>101</v>
      </c>
      <c r="B119" s="597" t="s">
        <v>259</v>
      </c>
      <c r="C119" s="424">
        <v>628165.25</v>
      </c>
      <c r="D119" s="423">
        <v>12</v>
      </c>
      <c r="E119" s="424">
        <f t="shared" si="141"/>
        <v>7537983</v>
      </c>
      <c r="F119" s="424">
        <v>104314.77499999999</v>
      </c>
      <c r="G119" s="425">
        <v>535838.64</v>
      </c>
      <c r="H119" s="427"/>
      <c r="I119" s="424">
        <f t="shared" si="142"/>
        <v>6897829.585</v>
      </c>
      <c r="J119" s="424">
        <v>200000</v>
      </c>
      <c r="K119" s="424">
        <v>0.2</v>
      </c>
      <c r="L119" s="424">
        <f t="shared" si="143"/>
        <v>1379565.9169999999</v>
      </c>
      <c r="M119" s="424">
        <f t="shared" si="144"/>
        <v>1579565.9169999999</v>
      </c>
      <c r="N119" s="424">
        <f t="shared" si="145"/>
        <v>2219719.3319999999</v>
      </c>
      <c r="O119" s="424">
        <f t="shared" si="146"/>
        <v>5318263.6679999996</v>
      </c>
      <c r="P119" s="424">
        <f t="shared" si="147"/>
        <v>21000</v>
      </c>
      <c r="Q119" s="424">
        <f t="shared" si="148"/>
        <v>33000</v>
      </c>
      <c r="R119" s="424">
        <f t="shared" si="149"/>
        <v>75000</v>
      </c>
      <c r="S119" s="424">
        <f t="shared" si="150"/>
        <v>95000</v>
      </c>
      <c r="T119" s="424">
        <f t="shared" si="151"/>
        <v>336000</v>
      </c>
      <c r="U119" s="424">
        <f t="shared" si="152"/>
        <v>508383.28032000002</v>
      </c>
      <c r="V119" s="424">
        <f t="shared" si="153"/>
        <v>1068383.2803199999</v>
      </c>
      <c r="W119" s="431">
        <v>12</v>
      </c>
      <c r="X119" s="424">
        <f t="shared" si="154"/>
        <v>89031.940026666707</v>
      </c>
      <c r="Y119" s="427"/>
      <c r="Z119" s="873">
        <f t="shared" si="155"/>
        <v>89031.940026666707</v>
      </c>
      <c r="AA119" s="753">
        <v>70189.308746666706</v>
      </c>
      <c r="AB119" s="753">
        <f t="shared" si="140"/>
        <v>18842.631280000001</v>
      </c>
      <c r="AC119" s="436"/>
      <c r="AD119" s="436"/>
      <c r="AE119" s="436"/>
    </row>
    <row r="120" spans="1:31" ht="14.25" x14ac:dyDescent="0.15">
      <c r="A120" s="421">
        <v>103</v>
      </c>
      <c r="B120" s="597" t="s">
        <v>260</v>
      </c>
      <c r="C120" s="424">
        <v>643911.08333333395</v>
      </c>
      <c r="D120" s="423">
        <v>12</v>
      </c>
      <c r="E120" s="424">
        <f t="shared" si="141"/>
        <v>7726933.0000000102</v>
      </c>
      <c r="F120" s="430">
        <v>107120</v>
      </c>
      <c r="G120" s="425">
        <v>550954.64</v>
      </c>
      <c r="H120" s="427"/>
      <c r="I120" s="424">
        <f t="shared" si="142"/>
        <v>7068858.3600000096</v>
      </c>
      <c r="J120" s="424">
        <v>200000</v>
      </c>
      <c r="K120" s="424">
        <v>0.2</v>
      </c>
      <c r="L120" s="424">
        <f t="shared" si="143"/>
        <v>1413771.672</v>
      </c>
      <c r="M120" s="424">
        <f t="shared" si="144"/>
        <v>1613771.672</v>
      </c>
      <c r="N120" s="424">
        <f t="shared" si="145"/>
        <v>2271846.3119999999</v>
      </c>
      <c r="O120" s="424">
        <f t="shared" si="146"/>
        <v>5455086.6880000103</v>
      </c>
      <c r="P120" s="424">
        <f t="shared" si="147"/>
        <v>21000</v>
      </c>
      <c r="Q120" s="424">
        <f t="shared" si="148"/>
        <v>33000</v>
      </c>
      <c r="R120" s="424">
        <f t="shared" si="149"/>
        <v>75000</v>
      </c>
      <c r="S120" s="424">
        <f t="shared" si="150"/>
        <v>95000</v>
      </c>
      <c r="T120" s="424">
        <f t="shared" si="151"/>
        <v>336000</v>
      </c>
      <c r="U120" s="424">
        <f t="shared" si="152"/>
        <v>541220.80512000096</v>
      </c>
      <c r="V120" s="424">
        <f t="shared" si="153"/>
        <v>1101220.8051199999</v>
      </c>
      <c r="W120" s="431">
        <v>12</v>
      </c>
      <c r="X120" s="424">
        <f t="shared" si="154"/>
        <v>91768.400426666805</v>
      </c>
      <c r="Y120" s="427"/>
      <c r="Z120" s="873">
        <f t="shared" si="155"/>
        <v>91768.400426666805</v>
      </c>
      <c r="AA120" s="753">
        <v>72636.104186666693</v>
      </c>
      <c r="AB120" s="753">
        <f t="shared" si="140"/>
        <v>19132.296240000102</v>
      </c>
      <c r="AC120" s="436"/>
      <c r="AD120" s="436"/>
      <c r="AE120" s="436"/>
    </row>
    <row r="121" spans="1:31" ht="14.25" x14ac:dyDescent="0.15">
      <c r="A121" s="421">
        <v>105</v>
      </c>
      <c r="B121" s="597" t="s">
        <v>263</v>
      </c>
      <c r="C121" s="424">
        <v>415320.66666666698</v>
      </c>
      <c r="D121" s="423">
        <v>12</v>
      </c>
      <c r="E121" s="424">
        <f t="shared" si="141"/>
        <v>4983848</v>
      </c>
      <c r="F121" s="430"/>
      <c r="G121" s="425">
        <v>341107.84000000102</v>
      </c>
      <c r="H121" s="427"/>
      <c r="I121" s="424">
        <f t="shared" si="142"/>
        <v>4642740.16</v>
      </c>
      <c r="J121" s="424">
        <v>200000</v>
      </c>
      <c r="K121" s="424">
        <v>0.2</v>
      </c>
      <c r="L121" s="424">
        <f t="shared" si="143"/>
        <v>928548.03200000105</v>
      </c>
      <c r="M121" s="424">
        <f t="shared" si="144"/>
        <v>1128548.0319999999</v>
      </c>
      <c r="N121" s="424">
        <f t="shared" si="145"/>
        <v>1469655.872</v>
      </c>
      <c r="O121" s="424">
        <f t="shared" si="146"/>
        <v>3514192.128</v>
      </c>
      <c r="P121" s="424">
        <f t="shared" si="147"/>
        <v>21000</v>
      </c>
      <c r="Q121" s="424">
        <f t="shared" si="148"/>
        <v>33000</v>
      </c>
      <c r="R121" s="424">
        <f t="shared" si="149"/>
        <v>75000</v>
      </c>
      <c r="S121" s="424">
        <f t="shared" si="150"/>
        <v>95000</v>
      </c>
      <c r="T121" s="424">
        <f t="shared" si="151"/>
        <v>336000</v>
      </c>
      <c r="U121" s="424">
        <f t="shared" si="152"/>
        <v>75406.110720000594</v>
      </c>
      <c r="V121" s="424">
        <f t="shared" si="153"/>
        <v>635406.11072000104</v>
      </c>
      <c r="W121" s="431">
        <v>12</v>
      </c>
      <c r="X121" s="424">
        <f t="shared" si="154"/>
        <v>52950.509226666698</v>
      </c>
      <c r="Y121" s="427"/>
      <c r="Z121" s="873">
        <f t="shared" si="155"/>
        <v>52950.509226666698</v>
      </c>
      <c r="AA121" s="753">
        <v>39052.313066666698</v>
      </c>
      <c r="AB121" s="753">
        <f t="shared" si="140"/>
        <v>13898.19616</v>
      </c>
      <c r="AC121" s="436"/>
      <c r="AD121" s="436"/>
      <c r="AE121" s="436"/>
    </row>
    <row r="122" spans="1:31" ht="14.25" x14ac:dyDescent="0.15">
      <c r="A122" s="421">
        <v>106</v>
      </c>
      <c r="B122" s="313" t="s">
        <v>265</v>
      </c>
      <c r="C122" s="424">
        <v>351910.75</v>
      </c>
      <c r="D122" s="423">
        <v>12</v>
      </c>
      <c r="E122" s="424">
        <f t="shared" si="141"/>
        <v>4222929</v>
      </c>
      <c r="F122" s="424"/>
      <c r="G122" s="425">
        <v>289834.32</v>
      </c>
      <c r="H122" s="427"/>
      <c r="I122" s="424">
        <f t="shared" si="142"/>
        <v>3933094.68</v>
      </c>
      <c r="J122" s="424">
        <v>200000</v>
      </c>
      <c r="K122" s="424">
        <v>0.2</v>
      </c>
      <c r="L122" s="424">
        <f t="shared" si="143"/>
        <v>786618.93599999999</v>
      </c>
      <c r="M122" s="424">
        <f t="shared" si="144"/>
        <v>986618.93599999999</v>
      </c>
      <c r="N122" s="424">
        <f t="shared" si="145"/>
        <v>1276453.2560000001</v>
      </c>
      <c r="O122" s="424">
        <f t="shared" si="146"/>
        <v>2946475.7439999999</v>
      </c>
      <c r="P122" s="424">
        <f t="shared" si="147"/>
        <v>21000</v>
      </c>
      <c r="Q122" s="424">
        <f t="shared" si="148"/>
        <v>33000</v>
      </c>
      <c r="R122" s="424">
        <f t="shared" si="149"/>
        <v>75000</v>
      </c>
      <c r="S122" s="424">
        <f t="shared" si="150"/>
        <v>95000</v>
      </c>
      <c r="T122" s="424">
        <f t="shared" si="151"/>
        <v>282759.90623999998</v>
      </c>
      <c r="U122" s="424"/>
      <c r="V122" s="424">
        <f t="shared" si="153"/>
        <v>506759.90623999998</v>
      </c>
      <c r="W122" s="431">
        <v>12</v>
      </c>
      <c r="X122" s="424">
        <f t="shared" si="154"/>
        <v>42229.992186666699</v>
      </c>
      <c r="Y122" s="427"/>
      <c r="Z122" s="873">
        <f t="shared" si="155"/>
        <v>42229.992186666699</v>
      </c>
      <c r="AA122" s="753">
        <v>30259.165626666701</v>
      </c>
      <c r="AB122" s="753">
        <f t="shared" si="140"/>
        <v>11970.82656</v>
      </c>
      <c r="AC122" s="436"/>
      <c r="AD122" s="436"/>
      <c r="AE122" s="436"/>
    </row>
    <row r="123" spans="1:31" ht="14.25" x14ac:dyDescent="0.15">
      <c r="A123" s="421">
        <v>107</v>
      </c>
      <c r="B123" s="313" t="s">
        <v>267</v>
      </c>
      <c r="C123" s="424">
        <v>351910.75</v>
      </c>
      <c r="D123" s="423">
        <v>12</v>
      </c>
      <c r="E123" s="424">
        <f t="shared" si="141"/>
        <v>4222929</v>
      </c>
      <c r="F123" s="424"/>
      <c r="G123" s="425">
        <v>289834.32</v>
      </c>
      <c r="H123" s="427"/>
      <c r="I123" s="424">
        <f t="shared" si="142"/>
        <v>3933094.68</v>
      </c>
      <c r="J123" s="424">
        <v>200000</v>
      </c>
      <c r="K123" s="424">
        <v>0.2</v>
      </c>
      <c r="L123" s="424">
        <f t="shared" si="143"/>
        <v>786618.93599999999</v>
      </c>
      <c r="M123" s="424">
        <f t="shared" si="144"/>
        <v>986618.93599999999</v>
      </c>
      <c r="N123" s="424">
        <f t="shared" si="145"/>
        <v>1276453.2560000001</v>
      </c>
      <c r="O123" s="424">
        <f t="shared" si="146"/>
        <v>2946475.7439999999</v>
      </c>
      <c r="P123" s="424">
        <f t="shared" si="147"/>
        <v>21000</v>
      </c>
      <c r="Q123" s="424">
        <f t="shared" si="148"/>
        <v>33000</v>
      </c>
      <c r="R123" s="424">
        <f t="shared" si="149"/>
        <v>75000</v>
      </c>
      <c r="S123" s="424">
        <f t="shared" si="150"/>
        <v>95000</v>
      </c>
      <c r="T123" s="424">
        <f t="shared" si="151"/>
        <v>282759.90623999998</v>
      </c>
      <c r="U123" s="424"/>
      <c r="V123" s="424">
        <f t="shared" si="153"/>
        <v>506759.90623999998</v>
      </c>
      <c r="W123" s="431">
        <v>12</v>
      </c>
      <c r="X123" s="424">
        <f t="shared" si="154"/>
        <v>42229.992186666699</v>
      </c>
      <c r="Y123" s="427"/>
      <c r="Z123" s="873">
        <f t="shared" si="155"/>
        <v>42229.992186666699</v>
      </c>
      <c r="AA123" s="753">
        <v>30259.165626666701</v>
      </c>
      <c r="AB123" s="753">
        <f t="shared" si="140"/>
        <v>11970.82656</v>
      </c>
      <c r="AC123" s="436"/>
      <c r="AD123" s="436"/>
      <c r="AE123" s="436"/>
    </row>
    <row r="124" spans="1:31" ht="14.25" x14ac:dyDescent="0.15">
      <c r="A124" s="421">
        <v>108</v>
      </c>
      <c r="B124" s="313" t="s">
        <v>268</v>
      </c>
      <c r="C124" s="424">
        <v>344900.83333333401</v>
      </c>
      <c r="D124" s="423">
        <v>12</v>
      </c>
      <c r="E124" s="424">
        <f t="shared" si="141"/>
        <v>4138810.0000000098</v>
      </c>
      <c r="F124" s="424"/>
      <c r="G124" s="425">
        <v>283104.8</v>
      </c>
      <c r="H124" s="427"/>
      <c r="I124" s="424">
        <f t="shared" si="142"/>
        <v>3855705.20000001</v>
      </c>
      <c r="J124" s="424">
        <v>200000</v>
      </c>
      <c r="K124" s="424">
        <v>0.2</v>
      </c>
      <c r="L124" s="424">
        <f t="shared" si="143"/>
        <v>771141.04000000202</v>
      </c>
      <c r="M124" s="424">
        <f t="shared" si="144"/>
        <v>971141.04000000202</v>
      </c>
      <c r="N124" s="424">
        <f t="shared" si="145"/>
        <v>1254245.8400000001</v>
      </c>
      <c r="O124" s="424">
        <f t="shared" si="146"/>
        <v>2884564.1600000099</v>
      </c>
      <c r="P124" s="424">
        <f t="shared" si="147"/>
        <v>21000</v>
      </c>
      <c r="Q124" s="424">
        <f t="shared" si="148"/>
        <v>33000</v>
      </c>
      <c r="R124" s="424">
        <f t="shared" si="149"/>
        <v>75000</v>
      </c>
      <c r="S124" s="424">
        <f t="shared" si="150"/>
        <v>95000</v>
      </c>
      <c r="T124" s="424">
        <f t="shared" si="151"/>
        <v>269758.47360000102</v>
      </c>
      <c r="U124" s="424"/>
      <c r="V124" s="424">
        <f t="shared" si="153"/>
        <v>493758.47360000102</v>
      </c>
      <c r="W124" s="431">
        <v>12</v>
      </c>
      <c r="X124" s="424">
        <f t="shared" si="154"/>
        <v>41146.5394666668</v>
      </c>
      <c r="Y124" s="427"/>
      <c r="Z124" s="873">
        <f t="shared" si="155"/>
        <v>41146.5394666668</v>
      </c>
      <c r="AA124" s="753">
        <v>29305.195546666699</v>
      </c>
      <c r="AB124" s="753">
        <f t="shared" si="140"/>
        <v>11841.343920000099</v>
      </c>
      <c r="AC124" s="436"/>
      <c r="AD124" s="436"/>
      <c r="AE124" s="436"/>
    </row>
    <row r="125" spans="1:31" ht="14.25" x14ac:dyDescent="0.15">
      <c r="A125" s="421">
        <v>109</v>
      </c>
      <c r="B125" s="809" t="s">
        <v>111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4.25" x14ac:dyDescent="0.1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14.25" x14ac:dyDescent="0.15">
      <c r="A127" s="421">
        <v>111</v>
      </c>
      <c r="B127" s="809" t="s">
        <v>270</v>
      </c>
      <c r="C127" s="424"/>
      <c r="U127" s="437"/>
      <c r="AA127" s="244"/>
      <c r="AB127" s="753"/>
      <c r="AC127" s="436"/>
      <c r="AD127" s="436"/>
      <c r="AE127" s="436"/>
    </row>
    <row r="128" spans="1:31" ht="14.25" x14ac:dyDescent="0.15">
      <c r="A128" s="421">
        <v>112</v>
      </c>
      <c r="B128" s="593" t="s">
        <v>271</v>
      </c>
      <c r="C128" s="424">
        <v>1747612</v>
      </c>
      <c r="D128" s="423">
        <v>12</v>
      </c>
      <c r="E128" s="424">
        <f t="shared" ref="E128:E187" si="156">C128*D128</f>
        <v>20971344</v>
      </c>
      <c r="F128" s="424">
        <v>307730.49999999901</v>
      </c>
      <c r="G128" s="425">
        <v>1581707.52</v>
      </c>
      <c r="H128" s="427"/>
      <c r="I128" s="424">
        <f t="shared" ref="I128:I187" si="157">E128-F128-G128-H128</f>
        <v>19081905.98</v>
      </c>
      <c r="J128" s="424">
        <v>200000</v>
      </c>
      <c r="K128" s="424">
        <v>0.2</v>
      </c>
      <c r="L128" s="424">
        <f t="shared" ref="L128:L187" si="158">I128*K128</f>
        <v>3816381.196</v>
      </c>
      <c r="M128" s="424">
        <f t="shared" ref="M128:M187" si="159">J128+L128</f>
        <v>4016381.196</v>
      </c>
      <c r="N128" s="424">
        <f t="shared" ref="N128:N187" si="160">F128+G128+H128+M128</f>
        <v>5905819.216</v>
      </c>
      <c r="O128" s="424">
        <f t="shared" ref="O128:O187" si="161">E128-N128</f>
        <v>15065524.784</v>
      </c>
      <c r="P128" s="424">
        <f t="shared" ref="P128:P187" si="162">IF(O128&lt;300000,0.07*O128,21000)</f>
        <v>21000</v>
      </c>
      <c r="Q128" s="424">
        <f t="shared" ref="Q128:Q187" si="163">IF((O128-300000)&lt;0,0,IF((O128-300000)&lt;300000,0.11*(O128-300000),33000))</f>
        <v>33000</v>
      </c>
      <c r="R128" s="424">
        <f t="shared" ref="R128:R187" si="164">IF((O128-600000)&lt;0,0,IF((O128-600000)&lt;500000,0.15*(O128-600000),75000))</f>
        <v>75000</v>
      </c>
      <c r="S128" s="424">
        <f t="shared" ref="S128:S187" si="165">IF((O128-1100000)&lt;0,0,IF((O128-1100000)&lt;500000,0.19*(O128-1100000),95000))</f>
        <v>95000</v>
      </c>
      <c r="T128" s="424">
        <f t="shared" ref="T128:T187" si="166">IF((O128-1600000)&lt;0,0,IF((O128-1600000)&lt;1600000,0.21*(O128-1600000),336000))</f>
        <v>336000</v>
      </c>
      <c r="U128" s="424">
        <f t="shared" ref="U128:U140" si="167">0.24*(O128-3200000)</f>
        <v>2847725.9481600001</v>
      </c>
      <c r="V128" s="424">
        <f t="shared" ref="V128:V187" si="168">P128+Q128+R128+S128+T128+U128</f>
        <v>3407725.9481600001</v>
      </c>
      <c r="W128" s="431">
        <v>12</v>
      </c>
      <c r="X128" s="424">
        <f t="shared" ref="X128:X187" si="169">V128/W128</f>
        <v>283977.16234666703</v>
      </c>
      <c r="Y128" s="427"/>
      <c r="Z128" s="873">
        <f t="shared" ref="Z128:Z187" si="170">X128</f>
        <v>283977.16234666703</v>
      </c>
      <c r="AA128" s="753">
        <v>236486.74867946701</v>
      </c>
      <c r="AB128" s="753">
        <f t="shared" si="140"/>
        <v>47490.413667199602</v>
      </c>
      <c r="AC128" s="436"/>
      <c r="AD128" s="436"/>
      <c r="AE128" s="436"/>
    </row>
    <row r="129" spans="1:31" ht="14.25" x14ac:dyDescent="0.15">
      <c r="A129" s="421">
        <v>113</v>
      </c>
      <c r="B129" s="593" t="s">
        <v>274</v>
      </c>
      <c r="C129" s="424">
        <v>1045306.75</v>
      </c>
      <c r="D129" s="423">
        <v>12</v>
      </c>
      <c r="E129" s="424">
        <f t="shared" si="156"/>
        <v>12543681</v>
      </c>
      <c r="F129" s="424">
        <v>166400.85</v>
      </c>
      <c r="G129" s="425">
        <v>869094.48</v>
      </c>
      <c r="H129" s="427"/>
      <c r="I129" s="424">
        <f t="shared" si="157"/>
        <v>11508185.67</v>
      </c>
      <c r="J129" s="424">
        <v>200000</v>
      </c>
      <c r="K129" s="424">
        <v>0.2</v>
      </c>
      <c r="L129" s="424">
        <f t="shared" si="158"/>
        <v>2301637.1340000001</v>
      </c>
      <c r="M129" s="424">
        <f t="shared" si="159"/>
        <v>2501637.1340000001</v>
      </c>
      <c r="N129" s="424">
        <f t="shared" si="160"/>
        <v>3537132.4640000002</v>
      </c>
      <c r="O129" s="424">
        <f t="shared" si="161"/>
        <v>9006548.5360000003</v>
      </c>
      <c r="P129" s="424">
        <f t="shared" si="162"/>
        <v>21000</v>
      </c>
      <c r="Q129" s="424">
        <f t="shared" si="163"/>
        <v>33000</v>
      </c>
      <c r="R129" s="424">
        <f t="shared" si="164"/>
        <v>75000</v>
      </c>
      <c r="S129" s="424">
        <f t="shared" si="165"/>
        <v>95000</v>
      </c>
      <c r="T129" s="424">
        <f t="shared" si="166"/>
        <v>336000</v>
      </c>
      <c r="U129" s="424">
        <f t="shared" si="167"/>
        <v>1393571.64864</v>
      </c>
      <c r="V129" s="424">
        <f t="shared" si="168"/>
        <v>1953571.64864</v>
      </c>
      <c r="W129" s="431">
        <v>12</v>
      </c>
      <c r="X129" s="424">
        <f t="shared" si="169"/>
        <v>162797.63738666699</v>
      </c>
      <c r="Y129" s="427"/>
      <c r="Z129" s="873">
        <f t="shared" si="170"/>
        <v>162797.63738666699</v>
      </c>
      <c r="AA129" s="753">
        <v>140007.52761066699</v>
      </c>
      <c r="AB129" s="753">
        <f t="shared" si="140"/>
        <v>22790.109775999699</v>
      </c>
      <c r="AC129" s="436"/>
      <c r="AD129" s="436"/>
      <c r="AE129" s="436"/>
    </row>
    <row r="130" spans="1:31" ht="14.25" x14ac:dyDescent="0.15">
      <c r="A130" s="421">
        <v>114</v>
      </c>
      <c r="B130" s="597" t="s">
        <v>276</v>
      </c>
      <c r="C130" s="424">
        <v>780713.91666666605</v>
      </c>
      <c r="D130" s="423">
        <v>12</v>
      </c>
      <c r="E130" s="424">
        <f t="shared" si="156"/>
        <v>9368566.9999999907</v>
      </c>
      <c r="F130" s="424">
        <v>129894.325</v>
      </c>
      <c r="G130" s="425">
        <v>672685.36</v>
      </c>
      <c r="H130" s="427"/>
      <c r="I130" s="424">
        <f t="shared" si="157"/>
        <v>8565987.3149999902</v>
      </c>
      <c r="J130" s="424">
        <v>200000</v>
      </c>
      <c r="K130" s="424">
        <v>0.2</v>
      </c>
      <c r="L130" s="424">
        <f t="shared" si="158"/>
        <v>1713197.463</v>
      </c>
      <c r="M130" s="424">
        <f t="shared" si="159"/>
        <v>1913197.463</v>
      </c>
      <c r="N130" s="424">
        <f t="shared" si="160"/>
        <v>2715777.148</v>
      </c>
      <c r="O130" s="424">
        <f t="shared" si="161"/>
        <v>6652789.8519999897</v>
      </c>
      <c r="P130" s="424">
        <f t="shared" si="162"/>
        <v>21000</v>
      </c>
      <c r="Q130" s="424">
        <f t="shared" si="163"/>
        <v>33000</v>
      </c>
      <c r="R130" s="424">
        <f t="shared" si="164"/>
        <v>75000</v>
      </c>
      <c r="S130" s="424">
        <f t="shared" si="165"/>
        <v>95000</v>
      </c>
      <c r="T130" s="424">
        <f t="shared" si="166"/>
        <v>336000</v>
      </c>
      <c r="U130" s="424">
        <f t="shared" si="167"/>
        <v>828669.56447999901</v>
      </c>
      <c r="V130" s="424">
        <f t="shared" si="168"/>
        <v>1388669.5644799999</v>
      </c>
      <c r="W130" s="431">
        <v>12</v>
      </c>
      <c r="X130" s="424">
        <f t="shared" si="169"/>
        <v>115722.463706667</v>
      </c>
      <c r="Y130" s="427"/>
      <c r="Z130" s="873">
        <f t="shared" si="170"/>
        <v>115722.463706667</v>
      </c>
      <c r="AA130" s="753">
        <v>95312.1873578667</v>
      </c>
      <c r="AB130" s="753">
        <f t="shared" si="140"/>
        <v>20410.2763487999</v>
      </c>
      <c r="AC130" s="436"/>
      <c r="AD130" s="436"/>
      <c r="AE130" s="436"/>
    </row>
    <row r="131" spans="1:31" ht="14.25" x14ac:dyDescent="0.15">
      <c r="A131" s="421">
        <v>115</v>
      </c>
      <c r="B131" s="597" t="s">
        <v>278</v>
      </c>
      <c r="C131" s="424">
        <v>780713.91666666605</v>
      </c>
      <c r="D131" s="423">
        <v>12</v>
      </c>
      <c r="E131" s="424">
        <f t="shared" si="156"/>
        <v>9368566.9999999907</v>
      </c>
      <c r="F131" s="424">
        <v>129894.325</v>
      </c>
      <c r="G131" s="425">
        <v>672685.36</v>
      </c>
      <c r="H131" s="427"/>
      <c r="I131" s="424">
        <f t="shared" si="157"/>
        <v>8565987.3149999902</v>
      </c>
      <c r="J131" s="424">
        <v>200000</v>
      </c>
      <c r="K131" s="424">
        <v>0.2</v>
      </c>
      <c r="L131" s="424">
        <f t="shared" si="158"/>
        <v>1713197.463</v>
      </c>
      <c r="M131" s="424">
        <f t="shared" si="159"/>
        <v>1913197.463</v>
      </c>
      <c r="N131" s="424">
        <f t="shared" si="160"/>
        <v>2715777.148</v>
      </c>
      <c r="O131" s="424">
        <f t="shared" si="161"/>
        <v>6652789.8519999897</v>
      </c>
      <c r="P131" s="424">
        <f t="shared" si="162"/>
        <v>21000</v>
      </c>
      <c r="Q131" s="424">
        <f t="shared" si="163"/>
        <v>33000</v>
      </c>
      <c r="R131" s="424">
        <f t="shared" si="164"/>
        <v>75000</v>
      </c>
      <c r="S131" s="424">
        <f t="shared" si="165"/>
        <v>95000</v>
      </c>
      <c r="T131" s="424">
        <f t="shared" si="166"/>
        <v>336000</v>
      </c>
      <c r="U131" s="424">
        <f t="shared" si="167"/>
        <v>828669.56447999901</v>
      </c>
      <c r="V131" s="424">
        <f t="shared" si="168"/>
        <v>1388669.5644799999</v>
      </c>
      <c r="W131" s="431">
        <v>12</v>
      </c>
      <c r="X131" s="424">
        <f t="shared" si="169"/>
        <v>115722.463706667</v>
      </c>
      <c r="Y131" s="427"/>
      <c r="Z131" s="873">
        <f t="shared" si="170"/>
        <v>115722.463706667</v>
      </c>
      <c r="AA131" s="753">
        <v>95312.1873578667</v>
      </c>
      <c r="AB131" s="753">
        <f t="shared" si="140"/>
        <v>20410.2763487999</v>
      </c>
      <c r="AC131" s="436"/>
      <c r="AD131" s="436"/>
      <c r="AE131" s="436"/>
    </row>
    <row r="132" spans="1:31" ht="14.25" x14ac:dyDescent="0.15">
      <c r="A132" s="421">
        <v>116</v>
      </c>
      <c r="B132" s="597" t="s">
        <v>280</v>
      </c>
      <c r="C132" s="424">
        <v>780713.91666666605</v>
      </c>
      <c r="D132" s="423">
        <v>12</v>
      </c>
      <c r="E132" s="424">
        <f t="shared" si="156"/>
        <v>9368566.9999999907</v>
      </c>
      <c r="F132" s="424">
        <v>129894.325</v>
      </c>
      <c r="G132" s="425">
        <v>672685.36</v>
      </c>
      <c r="H132" s="427"/>
      <c r="I132" s="424">
        <f t="shared" si="157"/>
        <v>8565987.3149999902</v>
      </c>
      <c r="J132" s="424">
        <v>200000</v>
      </c>
      <c r="K132" s="424">
        <v>0.2</v>
      </c>
      <c r="L132" s="424">
        <f t="shared" si="158"/>
        <v>1713197.463</v>
      </c>
      <c r="M132" s="424">
        <f t="shared" si="159"/>
        <v>1913197.463</v>
      </c>
      <c r="N132" s="424">
        <f t="shared" si="160"/>
        <v>2715777.148</v>
      </c>
      <c r="O132" s="424">
        <f t="shared" si="161"/>
        <v>6652789.8519999897</v>
      </c>
      <c r="P132" s="424">
        <f t="shared" si="162"/>
        <v>21000</v>
      </c>
      <c r="Q132" s="424">
        <f t="shared" si="163"/>
        <v>33000</v>
      </c>
      <c r="R132" s="424">
        <f t="shared" si="164"/>
        <v>75000</v>
      </c>
      <c r="S132" s="424">
        <f t="shared" si="165"/>
        <v>95000</v>
      </c>
      <c r="T132" s="424">
        <f t="shared" si="166"/>
        <v>336000</v>
      </c>
      <c r="U132" s="424">
        <f t="shared" si="167"/>
        <v>828669.56447999901</v>
      </c>
      <c r="V132" s="424">
        <f t="shared" si="168"/>
        <v>1388669.5644799999</v>
      </c>
      <c r="W132" s="431">
        <v>12</v>
      </c>
      <c r="X132" s="424">
        <f t="shared" si="169"/>
        <v>115722.463706667</v>
      </c>
      <c r="Y132" s="427"/>
      <c r="Z132" s="873">
        <f t="shared" si="170"/>
        <v>115722.463706667</v>
      </c>
      <c r="AA132" s="753">
        <v>95312.1873578667</v>
      </c>
      <c r="AB132" s="753">
        <f t="shared" si="140"/>
        <v>20410.2763487999</v>
      </c>
      <c r="AC132" s="436"/>
      <c r="AD132" s="436"/>
      <c r="AE132" s="436"/>
    </row>
    <row r="133" spans="1:31" ht="14.25" x14ac:dyDescent="0.15">
      <c r="A133" s="421">
        <v>117</v>
      </c>
      <c r="B133" s="597" t="s">
        <v>281</v>
      </c>
      <c r="C133" s="424">
        <v>567472.75</v>
      </c>
      <c r="D133" s="423">
        <v>12</v>
      </c>
      <c r="E133" s="424">
        <f t="shared" si="156"/>
        <v>6809673</v>
      </c>
      <c r="F133" s="424"/>
      <c r="G133" s="425">
        <v>477573.84</v>
      </c>
      <c r="H133" s="427"/>
      <c r="I133" s="424">
        <f t="shared" si="157"/>
        <v>6332099.1600000001</v>
      </c>
      <c r="J133" s="424">
        <v>200000</v>
      </c>
      <c r="K133" s="424">
        <v>0.2</v>
      </c>
      <c r="L133" s="424">
        <f t="shared" si="158"/>
        <v>1266419.8319999999</v>
      </c>
      <c r="M133" s="424">
        <f t="shared" si="159"/>
        <v>1466419.8319999999</v>
      </c>
      <c r="N133" s="424">
        <f t="shared" si="160"/>
        <v>1943993.672</v>
      </c>
      <c r="O133" s="424">
        <f t="shared" si="161"/>
        <v>4865679.3279999997</v>
      </c>
      <c r="P133" s="424">
        <f t="shared" si="162"/>
        <v>21000</v>
      </c>
      <c r="Q133" s="424">
        <f t="shared" si="163"/>
        <v>33000</v>
      </c>
      <c r="R133" s="424">
        <f t="shared" si="164"/>
        <v>75000</v>
      </c>
      <c r="S133" s="424">
        <f t="shared" si="165"/>
        <v>95000</v>
      </c>
      <c r="T133" s="424">
        <f t="shared" si="166"/>
        <v>336000</v>
      </c>
      <c r="U133" s="424">
        <f t="shared" si="167"/>
        <v>399763.03872000001</v>
      </c>
      <c r="V133" s="424">
        <f t="shared" si="168"/>
        <v>959763.03871999995</v>
      </c>
      <c r="W133" s="431">
        <v>12</v>
      </c>
      <c r="X133" s="424">
        <f t="shared" si="169"/>
        <v>79980.253226666697</v>
      </c>
      <c r="Y133" s="427"/>
      <c r="Z133" s="873">
        <f t="shared" si="170"/>
        <v>79980.253226666697</v>
      </c>
      <c r="AA133" s="753">
        <v>61040.235255466701</v>
      </c>
      <c r="AB133" s="753">
        <f t="shared" si="140"/>
        <v>18940.017971199999</v>
      </c>
      <c r="AC133" s="436"/>
      <c r="AD133" s="436"/>
      <c r="AE133" s="436"/>
    </row>
    <row r="134" spans="1:31" ht="14.25" x14ac:dyDescent="0.15">
      <c r="A134" s="421">
        <v>118</v>
      </c>
      <c r="B134" s="597" t="s">
        <v>282</v>
      </c>
      <c r="C134" s="424">
        <v>602846.58333333395</v>
      </c>
      <c r="D134" s="423">
        <v>12</v>
      </c>
      <c r="E134" s="424">
        <f t="shared" si="156"/>
        <v>7234159.0000000102</v>
      </c>
      <c r="F134" s="424"/>
      <c r="G134" s="425">
        <v>463532.72</v>
      </c>
      <c r="H134" s="427"/>
      <c r="I134" s="424">
        <f t="shared" si="157"/>
        <v>6770626.2800000096</v>
      </c>
      <c r="J134" s="424">
        <v>200000</v>
      </c>
      <c r="K134" s="424">
        <v>0.2</v>
      </c>
      <c r="L134" s="424">
        <f t="shared" si="158"/>
        <v>1354125.2560000001</v>
      </c>
      <c r="M134" s="424">
        <f t="shared" si="159"/>
        <v>1554125.2560000001</v>
      </c>
      <c r="N134" s="424">
        <f t="shared" si="160"/>
        <v>2017657.976</v>
      </c>
      <c r="O134" s="424">
        <f t="shared" si="161"/>
        <v>5216501.0240000105</v>
      </c>
      <c r="P134" s="424">
        <f t="shared" si="162"/>
        <v>21000</v>
      </c>
      <c r="Q134" s="424">
        <f t="shared" si="163"/>
        <v>33000</v>
      </c>
      <c r="R134" s="424">
        <f t="shared" si="164"/>
        <v>75000</v>
      </c>
      <c r="S134" s="424">
        <f t="shared" si="165"/>
        <v>95000</v>
      </c>
      <c r="T134" s="424">
        <f t="shared" si="166"/>
        <v>336000</v>
      </c>
      <c r="U134" s="424">
        <f t="shared" si="167"/>
        <v>483960.24576000101</v>
      </c>
      <c r="V134" s="424">
        <f t="shared" si="168"/>
        <v>1043960.24576</v>
      </c>
      <c r="W134" s="431">
        <v>12</v>
      </c>
      <c r="X134" s="424">
        <f t="shared" si="169"/>
        <v>86996.687146666794</v>
      </c>
      <c r="Y134" s="427"/>
      <c r="Z134" s="873">
        <f t="shared" si="170"/>
        <v>86996.687146666794</v>
      </c>
      <c r="AA134" s="753">
        <v>70642.73</v>
      </c>
      <c r="AB134" s="753">
        <f t="shared" si="140"/>
        <v>16353.9571466668</v>
      </c>
      <c r="AC134" s="436"/>
      <c r="AD134" s="436"/>
      <c r="AE134" s="436"/>
    </row>
    <row r="135" spans="1:31" ht="27" x14ac:dyDescent="0.15">
      <c r="A135" s="421">
        <v>119</v>
      </c>
      <c r="B135" s="597" t="s">
        <v>284</v>
      </c>
      <c r="C135" s="424">
        <v>542662.66666666698</v>
      </c>
      <c r="D135" s="423">
        <v>12</v>
      </c>
      <c r="E135" s="424">
        <f t="shared" si="156"/>
        <v>6511952</v>
      </c>
      <c r="F135" s="424"/>
      <c r="G135" s="425">
        <v>463356.16000000102</v>
      </c>
      <c r="H135" s="427"/>
      <c r="I135" s="424">
        <f t="shared" si="157"/>
        <v>6048595.8399999999</v>
      </c>
      <c r="J135" s="424">
        <v>200000</v>
      </c>
      <c r="K135" s="424">
        <v>0.2</v>
      </c>
      <c r="L135" s="424">
        <f t="shared" si="158"/>
        <v>1209719.1680000001</v>
      </c>
      <c r="M135" s="424">
        <f t="shared" si="159"/>
        <v>1409719.1680000001</v>
      </c>
      <c r="N135" s="424">
        <f t="shared" si="160"/>
        <v>1873075.328</v>
      </c>
      <c r="O135" s="424">
        <f t="shared" si="161"/>
        <v>4638876.6720000003</v>
      </c>
      <c r="P135" s="424">
        <f t="shared" si="162"/>
        <v>21000</v>
      </c>
      <c r="Q135" s="424">
        <f t="shared" si="163"/>
        <v>33000</v>
      </c>
      <c r="R135" s="424">
        <f t="shared" si="164"/>
        <v>75000</v>
      </c>
      <c r="S135" s="424">
        <f t="shared" si="165"/>
        <v>95000</v>
      </c>
      <c r="T135" s="424">
        <f t="shared" si="166"/>
        <v>336000</v>
      </c>
      <c r="U135" s="424">
        <f t="shared" si="167"/>
        <v>345330.40128000098</v>
      </c>
      <c r="V135" s="424">
        <f t="shared" si="168"/>
        <v>905330.40128000104</v>
      </c>
      <c r="W135" s="431">
        <v>12</v>
      </c>
      <c r="X135" s="424">
        <f t="shared" si="169"/>
        <v>75444.2001066667</v>
      </c>
      <c r="Y135" s="427"/>
      <c r="Z135" s="873">
        <f t="shared" si="170"/>
        <v>75444.2001066667</v>
      </c>
      <c r="AA135" s="753">
        <v>56938.068906666696</v>
      </c>
      <c r="AB135" s="753">
        <f t="shared" ref="AB135:AB166" si="171">Z135-AA135</f>
        <v>18506.1312</v>
      </c>
      <c r="AC135" s="436"/>
      <c r="AD135" s="436"/>
      <c r="AE135" s="436"/>
    </row>
    <row r="136" spans="1:31" ht="14.25" x14ac:dyDescent="0.15">
      <c r="A136" s="421">
        <v>120</v>
      </c>
      <c r="B136" s="597" t="s">
        <v>286</v>
      </c>
      <c r="C136" s="424">
        <v>528828.16666666698</v>
      </c>
      <c r="D136" s="423">
        <v>12</v>
      </c>
      <c r="E136" s="424">
        <f t="shared" si="156"/>
        <v>6345938</v>
      </c>
      <c r="F136" s="424">
        <v>88398.875000000102</v>
      </c>
      <c r="G136" s="425">
        <v>450075.04000000103</v>
      </c>
      <c r="H136" s="427"/>
      <c r="I136" s="424">
        <f t="shared" si="157"/>
        <v>5807464.085</v>
      </c>
      <c r="J136" s="424">
        <v>200000</v>
      </c>
      <c r="K136" s="424">
        <v>0.2</v>
      </c>
      <c r="L136" s="424">
        <f t="shared" si="158"/>
        <v>1161492.817</v>
      </c>
      <c r="M136" s="424">
        <f t="shared" si="159"/>
        <v>1361492.817</v>
      </c>
      <c r="N136" s="424">
        <f t="shared" si="160"/>
        <v>1899966.7320000001</v>
      </c>
      <c r="O136" s="424">
        <f t="shared" si="161"/>
        <v>4445971.2680000002</v>
      </c>
      <c r="P136" s="424">
        <f t="shared" si="162"/>
        <v>21000</v>
      </c>
      <c r="Q136" s="424">
        <f t="shared" si="163"/>
        <v>33000</v>
      </c>
      <c r="R136" s="424">
        <f t="shared" si="164"/>
        <v>75000</v>
      </c>
      <c r="S136" s="424">
        <f t="shared" si="165"/>
        <v>95000</v>
      </c>
      <c r="T136" s="424">
        <f t="shared" si="166"/>
        <v>336000</v>
      </c>
      <c r="U136" s="424">
        <f t="shared" si="167"/>
        <v>299033.10431999998</v>
      </c>
      <c r="V136" s="424">
        <f t="shared" si="168"/>
        <v>859033.10432000004</v>
      </c>
      <c r="W136" s="431">
        <v>12</v>
      </c>
      <c r="X136" s="424">
        <f t="shared" si="169"/>
        <v>71586.092026666694</v>
      </c>
      <c r="Y136" s="427"/>
      <c r="Z136" s="873">
        <f t="shared" si="170"/>
        <v>71586.092026666694</v>
      </c>
      <c r="AA136" s="753">
        <v>54681.291562666702</v>
      </c>
      <c r="AB136" s="753">
        <f t="shared" si="171"/>
        <v>16904.800464</v>
      </c>
      <c r="AC136" s="436"/>
      <c r="AD136" s="436"/>
      <c r="AE136" s="436"/>
    </row>
    <row r="137" spans="1:31" ht="14.25" x14ac:dyDescent="0.15">
      <c r="A137" s="421">
        <v>121</v>
      </c>
      <c r="B137" s="313" t="s">
        <v>288</v>
      </c>
      <c r="C137" s="424">
        <v>514993.58333333302</v>
      </c>
      <c r="D137" s="423">
        <v>12</v>
      </c>
      <c r="E137" s="424">
        <f t="shared" si="156"/>
        <v>6179923</v>
      </c>
      <c r="F137" s="424"/>
      <c r="G137" s="425">
        <v>436793.83999999898</v>
      </c>
      <c r="H137" s="427"/>
      <c r="I137" s="424">
        <f t="shared" si="157"/>
        <v>5743129.1600000001</v>
      </c>
      <c r="J137" s="424">
        <v>200000</v>
      </c>
      <c r="K137" s="424">
        <v>0.2</v>
      </c>
      <c r="L137" s="424">
        <f t="shared" si="158"/>
        <v>1148625.8319999999</v>
      </c>
      <c r="M137" s="424">
        <f t="shared" si="159"/>
        <v>1348625.8319999999</v>
      </c>
      <c r="N137" s="424">
        <f t="shared" si="160"/>
        <v>1785419.672</v>
      </c>
      <c r="O137" s="424">
        <f t="shared" si="161"/>
        <v>4394503.3279999997</v>
      </c>
      <c r="P137" s="424">
        <f t="shared" si="162"/>
        <v>21000</v>
      </c>
      <c r="Q137" s="424">
        <f t="shared" si="163"/>
        <v>33000</v>
      </c>
      <c r="R137" s="424">
        <f t="shared" si="164"/>
        <v>75000</v>
      </c>
      <c r="S137" s="424">
        <f t="shared" si="165"/>
        <v>95000</v>
      </c>
      <c r="T137" s="424">
        <f t="shared" si="166"/>
        <v>336000</v>
      </c>
      <c r="U137" s="424">
        <f t="shared" si="167"/>
        <v>286680.79871999897</v>
      </c>
      <c r="V137" s="424">
        <f t="shared" si="168"/>
        <v>846680.79871999903</v>
      </c>
      <c r="W137" s="431">
        <v>12</v>
      </c>
      <c r="X137" s="424">
        <f t="shared" si="169"/>
        <v>70556.733226666605</v>
      </c>
      <c r="Y137" s="427"/>
      <c r="Z137" s="873">
        <f t="shared" si="170"/>
        <v>70556.733226666605</v>
      </c>
      <c r="AA137" s="753">
        <v>52631.114666666697</v>
      </c>
      <c r="AB137" s="753">
        <f t="shared" si="171"/>
        <v>17925.618559999901</v>
      </c>
      <c r="AC137" s="436"/>
      <c r="AD137" s="436"/>
      <c r="AE137" s="436"/>
    </row>
    <row r="138" spans="1:31" ht="14.25" x14ac:dyDescent="0.15">
      <c r="A138" s="421">
        <v>122</v>
      </c>
      <c r="B138" s="597" t="s">
        <v>290</v>
      </c>
      <c r="C138" s="424">
        <v>501159</v>
      </c>
      <c r="D138" s="423">
        <v>12</v>
      </c>
      <c r="E138" s="424">
        <f t="shared" si="156"/>
        <v>6013908</v>
      </c>
      <c r="F138" s="424"/>
      <c r="G138" s="425">
        <v>423512.64</v>
      </c>
      <c r="H138" s="427"/>
      <c r="I138" s="424">
        <f t="shared" si="157"/>
        <v>5590395.3600000003</v>
      </c>
      <c r="J138" s="424">
        <v>200000</v>
      </c>
      <c r="K138" s="424">
        <v>0.2</v>
      </c>
      <c r="L138" s="424">
        <f t="shared" si="158"/>
        <v>1118079.0719999999</v>
      </c>
      <c r="M138" s="424">
        <f t="shared" si="159"/>
        <v>1318079.0719999999</v>
      </c>
      <c r="N138" s="424">
        <f t="shared" si="160"/>
        <v>1741591.7120000001</v>
      </c>
      <c r="O138" s="424">
        <f t="shared" si="161"/>
        <v>4272316.2879999997</v>
      </c>
      <c r="P138" s="424">
        <f t="shared" si="162"/>
        <v>21000</v>
      </c>
      <c r="Q138" s="424">
        <f t="shared" si="163"/>
        <v>33000</v>
      </c>
      <c r="R138" s="424">
        <f t="shared" si="164"/>
        <v>75000</v>
      </c>
      <c r="S138" s="424">
        <f t="shared" si="165"/>
        <v>95000</v>
      </c>
      <c r="T138" s="424">
        <f t="shared" si="166"/>
        <v>336000</v>
      </c>
      <c r="U138" s="424">
        <f t="shared" si="167"/>
        <v>257355.90912</v>
      </c>
      <c r="V138" s="424">
        <f t="shared" si="168"/>
        <v>817355.90911999997</v>
      </c>
      <c r="W138" s="431">
        <v>12</v>
      </c>
      <c r="X138" s="424">
        <f t="shared" si="169"/>
        <v>68112.992426666693</v>
      </c>
      <c r="Y138" s="427"/>
      <c r="Z138" s="873">
        <f t="shared" si="170"/>
        <v>68112.992426666693</v>
      </c>
      <c r="AA138" s="753">
        <v>52631.114666666697</v>
      </c>
      <c r="AB138" s="753">
        <f t="shared" si="171"/>
        <v>15481.877759999999</v>
      </c>
      <c r="AC138" s="436"/>
      <c r="AD138" s="436"/>
      <c r="AE138" s="436"/>
    </row>
    <row r="139" spans="1:31" ht="14.25" x14ac:dyDescent="0.15">
      <c r="A139" s="421">
        <v>123</v>
      </c>
      <c r="B139" s="597" t="s">
        <v>291</v>
      </c>
      <c r="C139" s="424">
        <v>501159</v>
      </c>
      <c r="D139" s="423">
        <v>12</v>
      </c>
      <c r="E139" s="424">
        <f t="shared" si="156"/>
        <v>6013908</v>
      </c>
      <c r="F139" s="424">
        <v>83469.375</v>
      </c>
      <c r="G139" s="425">
        <v>423512.64</v>
      </c>
      <c r="H139" s="427"/>
      <c r="I139" s="424">
        <f t="shared" si="157"/>
        <v>5506925.9850000003</v>
      </c>
      <c r="J139" s="424">
        <v>200000</v>
      </c>
      <c r="K139" s="424">
        <v>0.2</v>
      </c>
      <c r="L139" s="424">
        <f t="shared" si="158"/>
        <v>1101385.1969999999</v>
      </c>
      <c r="M139" s="424">
        <f t="shared" si="159"/>
        <v>1301385.1969999999</v>
      </c>
      <c r="N139" s="424">
        <f t="shared" si="160"/>
        <v>1808367.2120000001</v>
      </c>
      <c r="O139" s="424">
        <f t="shared" si="161"/>
        <v>4205540.7879999997</v>
      </c>
      <c r="P139" s="424">
        <f t="shared" si="162"/>
        <v>21000</v>
      </c>
      <c r="Q139" s="424">
        <f t="shared" si="163"/>
        <v>33000</v>
      </c>
      <c r="R139" s="424">
        <f t="shared" si="164"/>
        <v>75000</v>
      </c>
      <c r="S139" s="424">
        <f t="shared" si="165"/>
        <v>95000</v>
      </c>
      <c r="T139" s="424">
        <f t="shared" si="166"/>
        <v>336000</v>
      </c>
      <c r="U139" s="424">
        <f t="shared" si="167"/>
        <v>241329.78912</v>
      </c>
      <c r="V139" s="424">
        <f t="shared" si="168"/>
        <v>801329.78911999997</v>
      </c>
      <c r="W139" s="431">
        <v>12</v>
      </c>
      <c r="X139" s="424">
        <f t="shared" si="169"/>
        <v>66777.482426666698</v>
      </c>
      <c r="Y139" s="427"/>
      <c r="Z139" s="873">
        <f t="shared" si="170"/>
        <v>66777.482426666698</v>
      </c>
      <c r="AA139" s="753">
        <v>52631.114666666697</v>
      </c>
      <c r="AB139" s="753">
        <f t="shared" si="171"/>
        <v>14146.367759999999</v>
      </c>
      <c r="AC139" s="436"/>
      <c r="AD139" s="436"/>
      <c r="AE139" s="436"/>
    </row>
    <row r="140" spans="1:31" ht="14.25" x14ac:dyDescent="0.15">
      <c r="A140" s="421">
        <v>124</v>
      </c>
      <c r="B140" s="597" t="s">
        <v>293</v>
      </c>
      <c r="C140" s="424">
        <v>514993.58333333302</v>
      </c>
      <c r="D140" s="423">
        <v>12</v>
      </c>
      <c r="E140" s="424">
        <f t="shared" si="156"/>
        <v>6179923</v>
      </c>
      <c r="F140" s="424"/>
      <c r="G140" s="425">
        <v>436793.83999999898</v>
      </c>
      <c r="H140" s="427"/>
      <c r="I140" s="424">
        <f t="shared" si="157"/>
        <v>5743129.1600000001</v>
      </c>
      <c r="J140" s="424">
        <v>200000</v>
      </c>
      <c r="K140" s="424">
        <v>0.2</v>
      </c>
      <c r="L140" s="424">
        <f t="shared" si="158"/>
        <v>1148625.8319999999</v>
      </c>
      <c r="M140" s="424">
        <f t="shared" si="159"/>
        <v>1348625.8319999999</v>
      </c>
      <c r="N140" s="424">
        <f t="shared" si="160"/>
        <v>1785419.672</v>
      </c>
      <c r="O140" s="424">
        <f t="shared" si="161"/>
        <v>4394503.3279999997</v>
      </c>
      <c r="P140" s="424">
        <f t="shared" si="162"/>
        <v>21000</v>
      </c>
      <c r="Q140" s="424">
        <f t="shared" si="163"/>
        <v>33000</v>
      </c>
      <c r="R140" s="424">
        <f t="shared" si="164"/>
        <v>75000</v>
      </c>
      <c r="S140" s="424">
        <f t="shared" si="165"/>
        <v>95000</v>
      </c>
      <c r="T140" s="424">
        <f t="shared" si="166"/>
        <v>336000</v>
      </c>
      <c r="U140" s="424">
        <f t="shared" si="167"/>
        <v>286680.79871999897</v>
      </c>
      <c r="V140" s="424">
        <f t="shared" si="168"/>
        <v>846680.79871999903</v>
      </c>
      <c r="W140" s="431">
        <v>12</v>
      </c>
      <c r="X140" s="424">
        <f t="shared" si="169"/>
        <v>70556.733226666605</v>
      </c>
      <c r="Y140" s="427"/>
      <c r="Z140" s="873">
        <f t="shared" si="170"/>
        <v>70556.733226666605</v>
      </c>
      <c r="AA140" s="753">
        <v>52631.114666666697</v>
      </c>
      <c r="AB140" s="753">
        <f t="shared" si="171"/>
        <v>17925.618559999901</v>
      </c>
      <c r="AC140" s="436"/>
      <c r="AD140" s="436"/>
      <c r="AE140" s="436"/>
    </row>
    <row r="141" spans="1:31" ht="14.25" x14ac:dyDescent="0.15">
      <c r="A141" s="421">
        <v>125</v>
      </c>
      <c r="B141" s="597" t="s">
        <v>294</v>
      </c>
      <c r="C141" s="424">
        <v>450135.83333333401</v>
      </c>
      <c r="D141" s="423">
        <v>12</v>
      </c>
      <c r="E141" s="424">
        <f t="shared" si="156"/>
        <v>5401630.0000000102</v>
      </c>
      <c r="F141" s="424"/>
      <c r="G141" s="425">
        <v>374530.4</v>
      </c>
      <c r="H141" s="427"/>
      <c r="I141" s="424">
        <f t="shared" si="157"/>
        <v>5027099.6000000099</v>
      </c>
      <c r="J141" s="424">
        <v>200000</v>
      </c>
      <c r="K141" s="424">
        <v>0.2</v>
      </c>
      <c r="L141" s="424">
        <f t="shared" si="158"/>
        <v>1005419.92</v>
      </c>
      <c r="M141" s="424">
        <f t="shared" si="159"/>
        <v>1205419.92</v>
      </c>
      <c r="N141" s="424">
        <f t="shared" si="160"/>
        <v>1579950.32</v>
      </c>
      <c r="O141" s="424">
        <f t="shared" si="161"/>
        <v>3821679.6800000099</v>
      </c>
      <c r="P141" s="424">
        <f t="shared" si="162"/>
        <v>21000</v>
      </c>
      <c r="Q141" s="424">
        <f t="shared" si="163"/>
        <v>33000</v>
      </c>
      <c r="R141" s="424">
        <f t="shared" si="164"/>
        <v>75000</v>
      </c>
      <c r="S141" s="424">
        <f t="shared" si="165"/>
        <v>95000</v>
      </c>
      <c r="T141" s="424">
        <f t="shared" si="166"/>
        <v>336000</v>
      </c>
      <c r="U141" s="424">
        <f t="shared" ref="U141:U149" si="172">0.24*(O141-3200000)</f>
        <v>149203.12320000201</v>
      </c>
      <c r="V141" s="424">
        <f t="shared" si="168"/>
        <v>709203.12320000201</v>
      </c>
      <c r="W141" s="431">
        <v>12</v>
      </c>
      <c r="X141" s="424">
        <f t="shared" si="169"/>
        <v>59100.260266666803</v>
      </c>
      <c r="Y141" s="427"/>
      <c r="Z141" s="873">
        <f t="shared" si="170"/>
        <v>59100.260266666803</v>
      </c>
      <c r="AA141" s="753">
        <v>43763.907226666699</v>
      </c>
      <c r="AB141" s="753">
        <f t="shared" si="171"/>
        <v>15336.3530400001</v>
      </c>
      <c r="AC141" s="436"/>
      <c r="AD141" s="436"/>
      <c r="AE141" s="436"/>
    </row>
    <row r="142" spans="1:31" ht="27" x14ac:dyDescent="0.15">
      <c r="A142" s="421">
        <v>126</v>
      </c>
      <c r="B142" s="597" t="s">
        <v>296</v>
      </c>
      <c r="C142" s="424">
        <v>407016.16666666599</v>
      </c>
      <c r="D142" s="423">
        <v>12</v>
      </c>
      <c r="E142" s="424">
        <f t="shared" si="156"/>
        <v>4884193.9999999898</v>
      </c>
      <c r="F142" s="424"/>
      <c r="G142" s="425">
        <v>333135.52</v>
      </c>
      <c r="H142" s="427"/>
      <c r="I142" s="424">
        <f t="shared" si="157"/>
        <v>4551058.4799999902</v>
      </c>
      <c r="J142" s="424">
        <v>200000</v>
      </c>
      <c r="K142" s="424">
        <v>0.2</v>
      </c>
      <c r="L142" s="424">
        <f t="shared" si="158"/>
        <v>910211.69599999802</v>
      </c>
      <c r="M142" s="424">
        <f t="shared" si="159"/>
        <v>1110211.696</v>
      </c>
      <c r="N142" s="424">
        <f t="shared" si="160"/>
        <v>1443347.216</v>
      </c>
      <c r="O142" s="424">
        <f t="shared" si="161"/>
        <v>3440846.7839999902</v>
      </c>
      <c r="P142" s="424">
        <f t="shared" si="162"/>
        <v>21000</v>
      </c>
      <c r="Q142" s="424">
        <f t="shared" si="163"/>
        <v>33000</v>
      </c>
      <c r="R142" s="424">
        <f t="shared" si="164"/>
        <v>75000</v>
      </c>
      <c r="S142" s="424">
        <f t="shared" si="165"/>
        <v>95000</v>
      </c>
      <c r="T142" s="424">
        <f t="shared" si="166"/>
        <v>336000</v>
      </c>
      <c r="U142" s="424">
        <f t="shared" si="172"/>
        <v>57803.228159998398</v>
      </c>
      <c r="V142" s="424">
        <f t="shared" si="168"/>
        <v>617803.22815999796</v>
      </c>
      <c r="W142" s="431">
        <v>12</v>
      </c>
      <c r="X142" s="424">
        <f t="shared" si="169"/>
        <v>51483.602346666499</v>
      </c>
      <c r="Y142" s="427"/>
      <c r="Z142" s="873">
        <f t="shared" si="170"/>
        <v>51483.602346666499</v>
      </c>
      <c r="AA142" s="753">
        <v>37921.500586666698</v>
      </c>
      <c r="AB142" s="753">
        <f t="shared" si="171"/>
        <v>13562.101759999799</v>
      </c>
      <c r="AC142" s="436"/>
      <c r="AD142" s="436"/>
      <c r="AE142" s="436"/>
    </row>
    <row r="143" spans="1:31" ht="14.25" x14ac:dyDescent="0.15">
      <c r="A143" s="421">
        <v>127</v>
      </c>
      <c r="B143" s="597" t="s">
        <v>298</v>
      </c>
      <c r="C143" s="424">
        <v>459131.16666666698</v>
      </c>
      <c r="D143" s="423">
        <v>12</v>
      </c>
      <c r="E143" s="424">
        <f t="shared" si="156"/>
        <v>5509574</v>
      </c>
      <c r="F143" s="424"/>
      <c r="G143" s="425">
        <v>438302.16</v>
      </c>
      <c r="H143" s="427"/>
      <c r="I143" s="424">
        <f t="shared" si="157"/>
        <v>5071271.84</v>
      </c>
      <c r="J143" s="424">
        <v>200000</v>
      </c>
      <c r="K143" s="424">
        <v>0.2</v>
      </c>
      <c r="L143" s="424">
        <f t="shared" si="158"/>
        <v>1014254.368</v>
      </c>
      <c r="M143" s="424">
        <f t="shared" si="159"/>
        <v>1214254.368</v>
      </c>
      <c r="N143" s="424">
        <f t="shared" si="160"/>
        <v>1652556.5279999999</v>
      </c>
      <c r="O143" s="424">
        <f t="shared" si="161"/>
        <v>3857017.4720000001</v>
      </c>
      <c r="P143" s="424">
        <f t="shared" si="162"/>
        <v>21000</v>
      </c>
      <c r="Q143" s="424">
        <f t="shared" si="163"/>
        <v>33000</v>
      </c>
      <c r="R143" s="424">
        <f t="shared" si="164"/>
        <v>75000</v>
      </c>
      <c r="S143" s="424">
        <f t="shared" si="165"/>
        <v>95000</v>
      </c>
      <c r="T143" s="424">
        <f t="shared" si="166"/>
        <v>336000</v>
      </c>
      <c r="U143" s="424">
        <f t="shared" si="172"/>
        <v>157684.19328000001</v>
      </c>
      <c r="V143" s="424">
        <f t="shared" si="168"/>
        <v>717684.19328000001</v>
      </c>
      <c r="W143" s="431">
        <v>12</v>
      </c>
      <c r="X143" s="424">
        <f t="shared" si="169"/>
        <v>59807.016106666699</v>
      </c>
      <c r="Y143" s="427"/>
      <c r="Z143" s="873">
        <f t="shared" si="170"/>
        <v>59807.016106666699</v>
      </c>
      <c r="AA143" s="753">
        <v>44990.482506666704</v>
      </c>
      <c r="AB143" s="753">
        <f t="shared" si="171"/>
        <v>14816.533600000001</v>
      </c>
      <c r="AC143" s="436"/>
      <c r="AD143" s="436"/>
      <c r="AE143" s="436"/>
    </row>
    <row r="144" spans="1:31" ht="14.25" x14ac:dyDescent="0.15">
      <c r="A144" s="421">
        <v>128</v>
      </c>
      <c r="B144" s="597" t="s">
        <v>301</v>
      </c>
      <c r="C144" s="424">
        <v>415320.66666666698</v>
      </c>
      <c r="D144" s="423">
        <v>12</v>
      </c>
      <c r="E144" s="424">
        <f t="shared" si="156"/>
        <v>4983848</v>
      </c>
      <c r="F144" s="424"/>
      <c r="G144" s="425">
        <v>341107.84000000102</v>
      </c>
      <c r="H144" s="427"/>
      <c r="I144" s="424">
        <f t="shared" si="157"/>
        <v>4642740.16</v>
      </c>
      <c r="J144" s="424">
        <v>200000</v>
      </c>
      <c r="K144" s="424">
        <v>0.2</v>
      </c>
      <c r="L144" s="424">
        <f t="shared" si="158"/>
        <v>928548.03200000105</v>
      </c>
      <c r="M144" s="424">
        <f t="shared" si="159"/>
        <v>1128548.0319999999</v>
      </c>
      <c r="N144" s="424">
        <f t="shared" si="160"/>
        <v>1469655.872</v>
      </c>
      <c r="O144" s="424">
        <f t="shared" si="161"/>
        <v>3514192.128</v>
      </c>
      <c r="P144" s="424">
        <f t="shared" si="162"/>
        <v>21000</v>
      </c>
      <c r="Q144" s="424">
        <f t="shared" si="163"/>
        <v>33000</v>
      </c>
      <c r="R144" s="424">
        <f t="shared" si="164"/>
        <v>75000</v>
      </c>
      <c r="S144" s="424">
        <f t="shared" si="165"/>
        <v>95000</v>
      </c>
      <c r="T144" s="424">
        <f t="shared" si="166"/>
        <v>336000</v>
      </c>
      <c r="U144" s="424">
        <f t="shared" si="172"/>
        <v>75406.110720000594</v>
      </c>
      <c r="V144" s="424">
        <f t="shared" si="168"/>
        <v>635406.11072000104</v>
      </c>
      <c r="W144" s="431">
        <v>12</v>
      </c>
      <c r="X144" s="424">
        <f t="shared" si="169"/>
        <v>52950.509226666698</v>
      </c>
      <c r="Y144" s="427"/>
      <c r="Z144" s="873">
        <f t="shared" si="170"/>
        <v>52950.509226666698</v>
      </c>
      <c r="AA144" s="753">
        <v>39052.313066666698</v>
      </c>
      <c r="AB144" s="753">
        <f t="shared" si="171"/>
        <v>13898.19616</v>
      </c>
      <c r="AC144" s="436"/>
      <c r="AD144" s="436"/>
      <c r="AE144" s="436"/>
    </row>
    <row r="145" spans="1:31" ht="14.25" x14ac:dyDescent="0.15">
      <c r="A145" s="421">
        <v>129</v>
      </c>
      <c r="B145" s="597" t="s">
        <v>303</v>
      </c>
      <c r="C145" s="424">
        <v>459131.16666666698</v>
      </c>
      <c r="D145" s="423">
        <v>12</v>
      </c>
      <c r="E145" s="424">
        <f t="shared" si="156"/>
        <v>5509574</v>
      </c>
      <c r="F145" s="424">
        <v>92670.45</v>
      </c>
      <c r="G145" s="425">
        <v>438302.16</v>
      </c>
      <c r="H145" s="427"/>
      <c r="I145" s="424">
        <f t="shared" si="157"/>
        <v>4978601.3899999997</v>
      </c>
      <c r="J145" s="424">
        <v>200000</v>
      </c>
      <c r="K145" s="424">
        <v>0.2</v>
      </c>
      <c r="L145" s="424">
        <f t="shared" si="158"/>
        <v>995720.27800000005</v>
      </c>
      <c r="M145" s="424">
        <f t="shared" si="159"/>
        <v>1195720.2779999999</v>
      </c>
      <c r="N145" s="424">
        <f t="shared" si="160"/>
        <v>1726692.888</v>
      </c>
      <c r="O145" s="424">
        <f t="shared" si="161"/>
        <v>3782881.1120000002</v>
      </c>
      <c r="P145" s="424">
        <f t="shared" si="162"/>
        <v>21000</v>
      </c>
      <c r="Q145" s="424">
        <f t="shared" si="163"/>
        <v>33000</v>
      </c>
      <c r="R145" s="424">
        <f t="shared" si="164"/>
        <v>75000</v>
      </c>
      <c r="S145" s="424">
        <f t="shared" si="165"/>
        <v>95000</v>
      </c>
      <c r="T145" s="424">
        <f t="shared" si="166"/>
        <v>336000</v>
      </c>
      <c r="U145" s="424">
        <f t="shared" si="172"/>
        <v>139891.46687999999</v>
      </c>
      <c r="V145" s="424">
        <f t="shared" si="168"/>
        <v>699891.46687999996</v>
      </c>
      <c r="W145" s="431">
        <v>12</v>
      </c>
      <c r="X145" s="424">
        <f t="shared" si="169"/>
        <v>58324.288906666698</v>
      </c>
      <c r="Y145" s="427"/>
      <c r="Z145" s="873">
        <f t="shared" si="170"/>
        <v>58324.288906666698</v>
      </c>
      <c r="AA145" s="753">
        <v>44913.699618666702</v>
      </c>
      <c r="AB145" s="753">
        <f t="shared" si="171"/>
        <v>13410.589287999999</v>
      </c>
      <c r="AC145" s="436"/>
      <c r="AD145" s="436"/>
      <c r="AE145" s="436"/>
    </row>
    <row r="146" spans="1:31" ht="14.25" x14ac:dyDescent="0.15">
      <c r="A146" s="421">
        <v>130</v>
      </c>
      <c r="B146" s="597" t="s">
        <v>305</v>
      </c>
      <c r="C146" s="424">
        <v>415320.66666666698</v>
      </c>
      <c r="D146" s="423">
        <v>12</v>
      </c>
      <c r="E146" s="424">
        <f t="shared" si="156"/>
        <v>4983848</v>
      </c>
      <c r="F146" s="424"/>
      <c r="G146" s="425">
        <v>341107.84000000102</v>
      </c>
      <c r="H146" s="427"/>
      <c r="I146" s="424">
        <f t="shared" si="157"/>
        <v>4642740.16</v>
      </c>
      <c r="J146" s="424">
        <v>200000</v>
      </c>
      <c r="K146" s="424">
        <v>0.2</v>
      </c>
      <c r="L146" s="424">
        <f t="shared" si="158"/>
        <v>928548.03200000105</v>
      </c>
      <c r="M146" s="424">
        <f t="shared" si="159"/>
        <v>1128548.0319999999</v>
      </c>
      <c r="N146" s="424">
        <f t="shared" si="160"/>
        <v>1469655.872</v>
      </c>
      <c r="O146" s="424">
        <f t="shared" si="161"/>
        <v>3514192.128</v>
      </c>
      <c r="P146" s="424">
        <f t="shared" si="162"/>
        <v>21000</v>
      </c>
      <c r="Q146" s="424">
        <f t="shared" si="163"/>
        <v>33000</v>
      </c>
      <c r="R146" s="424">
        <f t="shared" si="164"/>
        <v>75000</v>
      </c>
      <c r="S146" s="424">
        <f t="shared" si="165"/>
        <v>95000</v>
      </c>
      <c r="T146" s="424">
        <f t="shared" si="166"/>
        <v>336000</v>
      </c>
      <c r="U146" s="424">
        <f t="shared" si="172"/>
        <v>75406.110720000594</v>
      </c>
      <c r="V146" s="424">
        <f t="shared" si="168"/>
        <v>635406.11072000104</v>
      </c>
      <c r="W146" s="431">
        <v>12</v>
      </c>
      <c r="X146" s="424">
        <f t="shared" si="169"/>
        <v>52950.509226666698</v>
      </c>
      <c r="Y146" s="427"/>
      <c r="Z146" s="873">
        <f t="shared" si="170"/>
        <v>52950.509226666698</v>
      </c>
      <c r="AA146" s="753">
        <v>39052.313066666698</v>
      </c>
      <c r="AB146" s="753">
        <f t="shared" si="171"/>
        <v>13898.19616</v>
      </c>
      <c r="AC146" s="436"/>
      <c r="AD146" s="436"/>
      <c r="AE146" s="436"/>
    </row>
    <row r="147" spans="1:31" ht="14.25" x14ac:dyDescent="0.15">
      <c r="A147" s="421">
        <v>131</v>
      </c>
      <c r="B147" s="313" t="s">
        <v>307</v>
      </c>
      <c r="C147" s="424">
        <v>398711.66666666698</v>
      </c>
      <c r="D147" s="423">
        <v>12</v>
      </c>
      <c r="E147" s="424">
        <f t="shared" si="156"/>
        <v>4784540</v>
      </c>
      <c r="F147" s="424"/>
      <c r="G147" s="425">
        <v>325163.200000001</v>
      </c>
      <c r="H147" s="427"/>
      <c r="I147" s="424">
        <f t="shared" si="157"/>
        <v>4459376.8</v>
      </c>
      <c r="J147" s="424">
        <v>200000</v>
      </c>
      <c r="K147" s="424">
        <v>0.2</v>
      </c>
      <c r="L147" s="424">
        <f t="shared" si="158"/>
        <v>891875.36000000103</v>
      </c>
      <c r="M147" s="424">
        <f t="shared" si="159"/>
        <v>1091875.3600000001</v>
      </c>
      <c r="N147" s="424">
        <f t="shared" si="160"/>
        <v>1417038.56</v>
      </c>
      <c r="O147" s="424">
        <f t="shared" si="161"/>
        <v>3367501.44</v>
      </c>
      <c r="P147" s="424">
        <f t="shared" si="162"/>
        <v>21000</v>
      </c>
      <c r="Q147" s="424">
        <f t="shared" si="163"/>
        <v>33000</v>
      </c>
      <c r="R147" s="424">
        <f t="shared" si="164"/>
        <v>75000</v>
      </c>
      <c r="S147" s="424">
        <f t="shared" si="165"/>
        <v>95000</v>
      </c>
      <c r="T147" s="424">
        <f t="shared" si="166"/>
        <v>336000</v>
      </c>
      <c r="U147" s="424">
        <f t="shared" si="172"/>
        <v>40200.345600000503</v>
      </c>
      <c r="V147" s="424">
        <f t="shared" si="168"/>
        <v>600200.34560000105</v>
      </c>
      <c r="W147" s="431">
        <v>12</v>
      </c>
      <c r="X147" s="424">
        <f t="shared" si="169"/>
        <v>50016.695466666701</v>
      </c>
      <c r="Y147" s="427"/>
      <c r="Z147" s="873">
        <f t="shared" si="170"/>
        <v>50016.695466666701</v>
      </c>
      <c r="AA147" s="753">
        <v>36790.688106666697</v>
      </c>
      <c r="AB147" s="753">
        <f t="shared" si="171"/>
        <v>13226.00736</v>
      </c>
      <c r="AC147" s="436"/>
      <c r="AD147" s="436"/>
      <c r="AE147" s="436"/>
    </row>
    <row r="148" spans="1:31" ht="14.25" x14ac:dyDescent="0.15">
      <c r="A148" s="421">
        <v>132</v>
      </c>
      <c r="B148" s="313" t="s">
        <v>309</v>
      </c>
      <c r="C148" s="424">
        <v>398711.66666666698</v>
      </c>
      <c r="D148" s="423">
        <v>12</v>
      </c>
      <c r="E148" s="424">
        <f t="shared" si="156"/>
        <v>4784540</v>
      </c>
      <c r="F148" s="424"/>
      <c r="G148" s="425">
        <v>325163.200000001</v>
      </c>
      <c r="H148" s="427"/>
      <c r="I148" s="424">
        <f t="shared" si="157"/>
        <v>4459376.8</v>
      </c>
      <c r="J148" s="424">
        <v>200000</v>
      </c>
      <c r="K148" s="424">
        <v>0.2</v>
      </c>
      <c r="L148" s="424">
        <f t="shared" si="158"/>
        <v>891875.36000000103</v>
      </c>
      <c r="M148" s="424">
        <f t="shared" si="159"/>
        <v>1091875.3600000001</v>
      </c>
      <c r="N148" s="424">
        <f t="shared" si="160"/>
        <v>1417038.56</v>
      </c>
      <c r="O148" s="424">
        <f t="shared" si="161"/>
        <v>3367501.44</v>
      </c>
      <c r="P148" s="424">
        <f t="shared" si="162"/>
        <v>21000</v>
      </c>
      <c r="Q148" s="424">
        <f t="shared" si="163"/>
        <v>33000</v>
      </c>
      <c r="R148" s="424">
        <f t="shared" si="164"/>
        <v>75000</v>
      </c>
      <c r="S148" s="424">
        <f t="shared" si="165"/>
        <v>95000</v>
      </c>
      <c r="T148" s="424">
        <f t="shared" si="166"/>
        <v>336000</v>
      </c>
      <c r="U148" s="424">
        <f t="shared" si="172"/>
        <v>40200.345600000503</v>
      </c>
      <c r="V148" s="424">
        <f t="shared" si="168"/>
        <v>600200.34560000105</v>
      </c>
      <c r="W148" s="431">
        <v>12</v>
      </c>
      <c r="X148" s="424">
        <f t="shared" si="169"/>
        <v>50016.695466666701</v>
      </c>
      <c r="Y148" s="427"/>
      <c r="Z148" s="873">
        <f t="shared" si="170"/>
        <v>50016.695466666701</v>
      </c>
      <c r="AA148" s="753">
        <v>35110.688106666697</v>
      </c>
      <c r="AB148" s="753">
        <f t="shared" si="171"/>
        <v>14906.00736</v>
      </c>
      <c r="AC148" s="436"/>
      <c r="AD148" s="436"/>
      <c r="AE148" s="436"/>
    </row>
    <row r="149" spans="1:31" ht="14.25" x14ac:dyDescent="0.15">
      <c r="A149" s="421">
        <v>133</v>
      </c>
      <c r="B149" s="313" t="s">
        <v>312</v>
      </c>
      <c r="C149" s="424">
        <v>351910.75</v>
      </c>
      <c r="D149" s="423">
        <v>12</v>
      </c>
      <c r="E149" s="424">
        <f t="shared" si="156"/>
        <v>4222929</v>
      </c>
      <c r="F149" s="424"/>
      <c r="G149" s="425">
        <v>289834.32</v>
      </c>
      <c r="H149" s="427"/>
      <c r="I149" s="424">
        <f t="shared" si="157"/>
        <v>3933094.68</v>
      </c>
      <c r="J149" s="424">
        <v>200000</v>
      </c>
      <c r="K149" s="424">
        <v>0.2</v>
      </c>
      <c r="L149" s="424">
        <f t="shared" si="158"/>
        <v>786618.93599999999</v>
      </c>
      <c r="M149" s="424">
        <f t="shared" si="159"/>
        <v>986618.93599999999</v>
      </c>
      <c r="N149" s="424">
        <f t="shared" si="160"/>
        <v>1276453.2560000001</v>
      </c>
      <c r="O149" s="424">
        <f t="shared" si="161"/>
        <v>2946475.7439999999</v>
      </c>
      <c r="P149" s="424">
        <f t="shared" si="162"/>
        <v>21000</v>
      </c>
      <c r="Q149" s="424">
        <f t="shared" si="163"/>
        <v>33000</v>
      </c>
      <c r="R149" s="424">
        <f t="shared" si="164"/>
        <v>75000</v>
      </c>
      <c r="S149" s="424">
        <f t="shared" si="165"/>
        <v>95000</v>
      </c>
      <c r="T149" s="424">
        <f t="shared" si="166"/>
        <v>282759.90623999998</v>
      </c>
      <c r="U149" s="424"/>
      <c r="V149" s="424">
        <f t="shared" si="168"/>
        <v>506759.90623999998</v>
      </c>
      <c r="W149" s="431">
        <v>12</v>
      </c>
      <c r="X149" s="424">
        <f t="shared" si="169"/>
        <v>42229.992186666699</v>
      </c>
      <c r="Y149" s="427"/>
      <c r="Z149" s="873">
        <f t="shared" si="170"/>
        <v>42229.992186666699</v>
      </c>
      <c r="AA149" s="753">
        <v>30259.165626666701</v>
      </c>
      <c r="AB149" s="753">
        <f t="shared" si="171"/>
        <v>11970.82656</v>
      </c>
      <c r="AC149" s="436"/>
      <c r="AD149" s="436"/>
      <c r="AE149" s="436"/>
    </row>
    <row r="150" spans="1:31" ht="14.25" x14ac:dyDescent="0.15">
      <c r="A150" s="421">
        <v>134</v>
      </c>
      <c r="B150" s="313" t="s">
        <v>314</v>
      </c>
      <c r="C150" s="424">
        <v>351910.75</v>
      </c>
      <c r="D150" s="423">
        <v>12</v>
      </c>
      <c r="E150" s="424">
        <f t="shared" si="156"/>
        <v>4222929</v>
      </c>
      <c r="F150" s="424"/>
      <c r="G150" s="425">
        <v>289834.32</v>
      </c>
      <c r="H150" s="427"/>
      <c r="I150" s="424">
        <f t="shared" si="157"/>
        <v>3933094.68</v>
      </c>
      <c r="J150" s="424">
        <v>200000</v>
      </c>
      <c r="K150" s="424">
        <v>0.2</v>
      </c>
      <c r="L150" s="424">
        <f t="shared" si="158"/>
        <v>786618.93599999999</v>
      </c>
      <c r="M150" s="424">
        <f t="shared" si="159"/>
        <v>986618.93599999999</v>
      </c>
      <c r="N150" s="424">
        <f t="shared" si="160"/>
        <v>1276453.2560000001</v>
      </c>
      <c r="O150" s="424">
        <f t="shared" si="161"/>
        <v>2946475.7439999999</v>
      </c>
      <c r="P150" s="424">
        <f t="shared" si="162"/>
        <v>21000</v>
      </c>
      <c r="Q150" s="424">
        <f t="shared" si="163"/>
        <v>33000</v>
      </c>
      <c r="R150" s="424">
        <f t="shared" si="164"/>
        <v>75000</v>
      </c>
      <c r="S150" s="424">
        <f t="shared" si="165"/>
        <v>95000</v>
      </c>
      <c r="T150" s="424">
        <f t="shared" si="166"/>
        <v>282759.90623999998</v>
      </c>
      <c r="U150" s="424"/>
      <c r="V150" s="424">
        <f t="shared" si="168"/>
        <v>506759.90623999998</v>
      </c>
      <c r="W150" s="431">
        <v>12</v>
      </c>
      <c r="X150" s="424">
        <f t="shared" si="169"/>
        <v>42229.992186666699</v>
      </c>
      <c r="Y150" s="427"/>
      <c r="Z150" s="873">
        <f t="shared" si="170"/>
        <v>42229.992186666699</v>
      </c>
      <c r="AA150" s="753">
        <v>30259.165626666701</v>
      </c>
      <c r="AB150" s="753">
        <f t="shared" si="171"/>
        <v>11970.82656</v>
      </c>
      <c r="AC150" s="436"/>
      <c r="AD150" s="436"/>
      <c r="AE150" s="436"/>
    </row>
    <row r="151" spans="1:31" ht="14.25" x14ac:dyDescent="0.15">
      <c r="A151" s="421">
        <v>135</v>
      </c>
      <c r="B151" s="313" t="s">
        <v>316</v>
      </c>
      <c r="C151" s="424">
        <v>351910.75</v>
      </c>
      <c r="D151" s="423">
        <v>12</v>
      </c>
      <c r="E151" s="424">
        <f t="shared" si="156"/>
        <v>4222929</v>
      </c>
      <c r="F151" s="424"/>
      <c r="G151" s="425">
        <v>289834.32</v>
      </c>
      <c r="H151" s="427"/>
      <c r="I151" s="424">
        <f t="shared" si="157"/>
        <v>3933094.68</v>
      </c>
      <c r="J151" s="424">
        <v>200000</v>
      </c>
      <c r="K151" s="424">
        <v>0.2</v>
      </c>
      <c r="L151" s="424">
        <f t="shared" si="158"/>
        <v>786618.93599999999</v>
      </c>
      <c r="M151" s="424">
        <f t="shared" si="159"/>
        <v>986618.93599999999</v>
      </c>
      <c r="N151" s="424">
        <f t="shared" si="160"/>
        <v>1276453.2560000001</v>
      </c>
      <c r="O151" s="424">
        <f t="shared" si="161"/>
        <v>2946475.7439999999</v>
      </c>
      <c r="P151" s="424">
        <f t="shared" si="162"/>
        <v>21000</v>
      </c>
      <c r="Q151" s="424">
        <f t="shared" si="163"/>
        <v>33000</v>
      </c>
      <c r="R151" s="424">
        <f t="shared" si="164"/>
        <v>75000</v>
      </c>
      <c r="S151" s="424">
        <f t="shared" si="165"/>
        <v>95000</v>
      </c>
      <c r="T151" s="424">
        <f t="shared" si="166"/>
        <v>282759.90623999998</v>
      </c>
      <c r="U151" s="424"/>
      <c r="V151" s="424">
        <f t="shared" si="168"/>
        <v>506759.90623999998</v>
      </c>
      <c r="W151" s="431">
        <v>12</v>
      </c>
      <c r="X151" s="424">
        <f t="shared" si="169"/>
        <v>42229.992186666699</v>
      </c>
      <c r="Y151" s="427"/>
      <c r="Z151" s="873">
        <f t="shared" si="170"/>
        <v>42229.992186666699</v>
      </c>
      <c r="AA151" s="753">
        <v>30259.165626666701</v>
      </c>
      <c r="AB151" s="753">
        <f t="shared" si="171"/>
        <v>11970.82656</v>
      </c>
      <c r="AC151" s="436"/>
      <c r="AD151" s="436"/>
      <c r="AE151" s="436"/>
    </row>
    <row r="152" spans="1:31" ht="14.25" x14ac:dyDescent="0.15">
      <c r="A152" s="421">
        <v>136</v>
      </c>
      <c r="B152" s="313" t="s">
        <v>318</v>
      </c>
      <c r="C152" s="424">
        <v>358920.66666666698</v>
      </c>
      <c r="D152" s="423">
        <v>12</v>
      </c>
      <c r="E152" s="424">
        <f t="shared" si="156"/>
        <v>4307048</v>
      </c>
      <c r="F152" s="424"/>
      <c r="G152" s="425">
        <v>296563.84000000102</v>
      </c>
      <c r="H152" s="427"/>
      <c r="I152" s="424">
        <f t="shared" si="157"/>
        <v>4010484.16</v>
      </c>
      <c r="J152" s="424">
        <v>200000</v>
      </c>
      <c r="K152" s="424">
        <v>0.2</v>
      </c>
      <c r="L152" s="424">
        <f t="shared" si="158"/>
        <v>802096.83200000098</v>
      </c>
      <c r="M152" s="424">
        <f t="shared" si="159"/>
        <v>1002096.8320000001</v>
      </c>
      <c r="N152" s="424">
        <f t="shared" si="160"/>
        <v>1298660.672</v>
      </c>
      <c r="O152" s="424">
        <f t="shared" si="161"/>
        <v>3008387.3280000002</v>
      </c>
      <c r="P152" s="424">
        <f t="shared" si="162"/>
        <v>21000</v>
      </c>
      <c r="Q152" s="424">
        <f t="shared" si="163"/>
        <v>33000</v>
      </c>
      <c r="R152" s="424">
        <f t="shared" si="164"/>
        <v>75000</v>
      </c>
      <c r="S152" s="424">
        <f t="shared" si="165"/>
        <v>95000</v>
      </c>
      <c r="T152" s="424">
        <f t="shared" si="166"/>
        <v>295761.33888</v>
      </c>
      <c r="U152" s="424"/>
      <c r="V152" s="424">
        <f t="shared" si="168"/>
        <v>519761.33888</v>
      </c>
      <c r="W152" s="431">
        <v>12</v>
      </c>
      <c r="X152" s="424">
        <f t="shared" si="169"/>
        <v>43313.4449066667</v>
      </c>
      <c r="Y152" s="427"/>
      <c r="Z152" s="873">
        <f t="shared" si="170"/>
        <v>43313.4449066667</v>
      </c>
      <c r="AA152" s="753">
        <v>31213.135706666701</v>
      </c>
      <c r="AB152" s="753">
        <f t="shared" si="171"/>
        <v>12100.3092</v>
      </c>
      <c r="AC152" s="436"/>
      <c r="AD152" s="436"/>
      <c r="AE152" s="436"/>
    </row>
    <row r="153" spans="1:31" ht="14.25" x14ac:dyDescent="0.15">
      <c r="A153" s="421">
        <v>137</v>
      </c>
      <c r="B153" s="313" t="s">
        <v>320</v>
      </c>
      <c r="C153" s="424">
        <v>351910.75</v>
      </c>
      <c r="D153" s="423">
        <v>12</v>
      </c>
      <c r="E153" s="424">
        <f t="shared" si="156"/>
        <v>4222929</v>
      </c>
      <c r="F153" s="424"/>
      <c r="G153" s="425">
        <v>289834.32</v>
      </c>
      <c r="H153" s="427"/>
      <c r="I153" s="424">
        <f t="shared" si="157"/>
        <v>3933094.68</v>
      </c>
      <c r="J153" s="424">
        <v>200000</v>
      </c>
      <c r="K153" s="424">
        <v>0.2</v>
      </c>
      <c r="L153" s="424">
        <f t="shared" si="158"/>
        <v>786618.93599999999</v>
      </c>
      <c r="M153" s="424">
        <f t="shared" si="159"/>
        <v>986618.93599999999</v>
      </c>
      <c r="N153" s="424">
        <f t="shared" si="160"/>
        <v>1276453.2560000001</v>
      </c>
      <c r="O153" s="424">
        <f t="shared" si="161"/>
        <v>2946475.7439999999</v>
      </c>
      <c r="P153" s="424">
        <f t="shared" si="162"/>
        <v>21000</v>
      </c>
      <c r="Q153" s="424">
        <f t="shared" si="163"/>
        <v>33000</v>
      </c>
      <c r="R153" s="424">
        <f t="shared" si="164"/>
        <v>75000</v>
      </c>
      <c r="S153" s="424">
        <f t="shared" si="165"/>
        <v>95000</v>
      </c>
      <c r="T153" s="424">
        <f t="shared" si="166"/>
        <v>282759.90623999998</v>
      </c>
      <c r="U153" s="424"/>
      <c r="V153" s="424">
        <f t="shared" si="168"/>
        <v>506759.90623999998</v>
      </c>
      <c r="W153" s="431">
        <v>12</v>
      </c>
      <c r="X153" s="424">
        <f t="shared" si="169"/>
        <v>42229.992186666699</v>
      </c>
      <c r="Y153" s="427"/>
      <c r="Z153" s="873">
        <f t="shared" si="170"/>
        <v>42229.992186666699</v>
      </c>
      <c r="AA153" s="753">
        <v>30259.165626666701</v>
      </c>
      <c r="AB153" s="753">
        <f t="shared" si="171"/>
        <v>11970.82656</v>
      </c>
      <c r="AC153" s="436"/>
      <c r="AD153" s="436"/>
      <c r="AE153" s="436"/>
    </row>
    <row r="154" spans="1:31" ht="14.25" x14ac:dyDescent="0.15">
      <c r="A154" s="421">
        <v>138</v>
      </c>
      <c r="B154" s="313" t="s">
        <v>321</v>
      </c>
      <c r="C154" s="424">
        <v>344900.83333333401</v>
      </c>
      <c r="D154" s="423">
        <v>12</v>
      </c>
      <c r="E154" s="424">
        <f t="shared" si="156"/>
        <v>4138810.0000000098</v>
      </c>
      <c r="F154" s="424"/>
      <c r="G154" s="425">
        <v>283104.8</v>
      </c>
      <c r="H154" s="427"/>
      <c r="I154" s="424">
        <f t="shared" si="157"/>
        <v>3855705.20000001</v>
      </c>
      <c r="J154" s="424">
        <v>200000</v>
      </c>
      <c r="K154" s="424">
        <v>0.2</v>
      </c>
      <c r="L154" s="424">
        <f t="shared" si="158"/>
        <v>771141.04000000202</v>
      </c>
      <c r="M154" s="424">
        <f t="shared" si="159"/>
        <v>971141.04000000202</v>
      </c>
      <c r="N154" s="424">
        <f t="shared" si="160"/>
        <v>1254245.8400000001</v>
      </c>
      <c r="O154" s="424">
        <f t="shared" si="161"/>
        <v>2884564.1600000099</v>
      </c>
      <c r="P154" s="424">
        <f t="shared" si="162"/>
        <v>21000</v>
      </c>
      <c r="Q154" s="424">
        <f t="shared" si="163"/>
        <v>33000</v>
      </c>
      <c r="R154" s="424">
        <f t="shared" si="164"/>
        <v>75000</v>
      </c>
      <c r="S154" s="424">
        <f t="shared" si="165"/>
        <v>95000</v>
      </c>
      <c r="T154" s="424">
        <f t="shared" si="166"/>
        <v>269758.47360000102</v>
      </c>
      <c r="U154" s="424"/>
      <c r="V154" s="424">
        <f t="shared" si="168"/>
        <v>493758.47360000102</v>
      </c>
      <c r="W154" s="431">
        <v>12</v>
      </c>
      <c r="X154" s="424">
        <f t="shared" si="169"/>
        <v>41146.5394666668</v>
      </c>
      <c r="Y154" s="427"/>
      <c r="Z154" s="873">
        <f t="shared" si="170"/>
        <v>41146.5394666668</v>
      </c>
      <c r="AA154" s="753">
        <v>29305.1955466666</v>
      </c>
      <c r="AB154" s="753">
        <f t="shared" si="171"/>
        <v>11841.343920000199</v>
      </c>
      <c r="AC154" s="436"/>
      <c r="AD154" s="436"/>
      <c r="AE154" s="436"/>
    </row>
    <row r="155" spans="1:31" ht="14.25" x14ac:dyDescent="0.15">
      <c r="A155" s="421">
        <v>139</v>
      </c>
      <c r="B155" s="313" t="s">
        <v>323</v>
      </c>
      <c r="C155" s="424">
        <v>344900.83333333401</v>
      </c>
      <c r="D155" s="423">
        <v>12</v>
      </c>
      <c r="E155" s="424">
        <f t="shared" si="156"/>
        <v>4138810.0000000098</v>
      </c>
      <c r="F155" s="424"/>
      <c r="G155" s="425">
        <v>283104.8</v>
      </c>
      <c r="H155" s="427"/>
      <c r="I155" s="424">
        <f t="shared" si="157"/>
        <v>3855705.20000001</v>
      </c>
      <c r="J155" s="424">
        <v>200000</v>
      </c>
      <c r="K155" s="424">
        <v>0.2</v>
      </c>
      <c r="L155" s="424">
        <f t="shared" si="158"/>
        <v>771141.04000000202</v>
      </c>
      <c r="M155" s="424">
        <f t="shared" si="159"/>
        <v>971141.04000000202</v>
      </c>
      <c r="N155" s="424">
        <f t="shared" si="160"/>
        <v>1254245.8400000001</v>
      </c>
      <c r="O155" s="424">
        <f t="shared" si="161"/>
        <v>2884564.1600000099</v>
      </c>
      <c r="P155" s="424">
        <f t="shared" si="162"/>
        <v>21000</v>
      </c>
      <c r="Q155" s="424">
        <f t="shared" si="163"/>
        <v>33000</v>
      </c>
      <c r="R155" s="424">
        <f t="shared" si="164"/>
        <v>75000</v>
      </c>
      <c r="S155" s="424">
        <f t="shared" si="165"/>
        <v>95000</v>
      </c>
      <c r="T155" s="424">
        <f t="shared" si="166"/>
        <v>269758.47360000102</v>
      </c>
      <c r="U155" s="424"/>
      <c r="V155" s="424">
        <f t="shared" si="168"/>
        <v>493758.47360000102</v>
      </c>
      <c r="W155" s="431">
        <v>12</v>
      </c>
      <c r="X155" s="424">
        <f t="shared" si="169"/>
        <v>41146.5394666668</v>
      </c>
      <c r="Y155" s="427"/>
      <c r="Z155" s="873">
        <f t="shared" si="170"/>
        <v>41146.5394666668</v>
      </c>
      <c r="AA155" s="753">
        <v>29305.1955466666</v>
      </c>
      <c r="AB155" s="753">
        <f t="shared" si="171"/>
        <v>11841.343920000199</v>
      </c>
      <c r="AC155" s="436"/>
      <c r="AD155" s="436"/>
      <c r="AE155" s="436"/>
    </row>
    <row r="156" spans="1:31" ht="14.25" x14ac:dyDescent="0.15">
      <c r="A156" s="421">
        <v>140</v>
      </c>
      <c r="B156" s="597" t="s">
        <v>329</v>
      </c>
      <c r="C156" s="424">
        <v>271717.16666666599</v>
      </c>
      <c r="D156" s="423">
        <v>12</v>
      </c>
      <c r="E156" s="424">
        <f t="shared" si="156"/>
        <v>3260605.9999999902</v>
      </c>
      <c r="F156" s="424">
        <v>47786.574999999903</v>
      </c>
      <c r="G156" s="425">
        <v>228208.48</v>
      </c>
      <c r="H156" s="427"/>
      <c r="I156" s="424">
        <f t="shared" si="157"/>
        <v>2984610.9449999901</v>
      </c>
      <c r="J156" s="424">
        <v>200000</v>
      </c>
      <c r="K156" s="424">
        <v>0.2</v>
      </c>
      <c r="L156" s="424">
        <f t="shared" si="158"/>
        <v>596922.18899999803</v>
      </c>
      <c r="M156" s="424">
        <f t="shared" si="159"/>
        <v>796922.18899999803</v>
      </c>
      <c r="N156" s="424">
        <f t="shared" si="160"/>
        <v>1072917.2439999999</v>
      </c>
      <c r="O156" s="424">
        <f t="shared" si="161"/>
        <v>2187688.7559999898</v>
      </c>
      <c r="P156" s="424">
        <f t="shared" si="162"/>
        <v>21000</v>
      </c>
      <c r="Q156" s="424">
        <f t="shared" si="163"/>
        <v>33000</v>
      </c>
      <c r="R156" s="424">
        <f t="shared" si="164"/>
        <v>75000</v>
      </c>
      <c r="S156" s="424">
        <f t="shared" si="165"/>
        <v>95000</v>
      </c>
      <c r="T156" s="424">
        <f t="shared" si="166"/>
        <v>123414.638759999</v>
      </c>
      <c r="U156" s="424"/>
      <c r="V156" s="424">
        <f t="shared" si="168"/>
        <v>347414.63875999901</v>
      </c>
      <c r="W156" s="431">
        <v>12</v>
      </c>
      <c r="X156" s="424">
        <f t="shared" si="169"/>
        <v>28951.219896666498</v>
      </c>
      <c r="Y156" s="427"/>
      <c r="Z156" s="873">
        <f t="shared" si="170"/>
        <v>28951.219896666498</v>
      </c>
      <c r="AA156" s="753">
        <v>18892.9833866667</v>
      </c>
      <c r="AB156" s="753">
        <f t="shared" si="171"/>
        <v>10058.236509999801</v>
      </c>
      <c r="AC156" s="436"/>
      <c r="AD156" s="436"/>
      <c r="AE156" s="436"/>
    </row>
    <row r="157" spans="1:31" ht="14.25" x14ac:dyDescent="0.15">
      <c r="A157" s="421">
        <v>141</v>
      </c>
      <c r="B157" s="597" t="s">
        <v>332</v>
      </c>
      <c r="C157" s="424">
        <v>274717.16666666599</v>
      </c>
      <c r="D157" s="423">
        <v>12</v>
      </c>
      <c r="E157" s="424">
        <f t="shared" si="156"/>
        <v>3296605.9999999902</v>
      </c>
      <c r="F157" s="424"/>
      <c r="G157" s="425">
        <v>228208.48</v>
      </c>
      <c r="H157" s="427"/>
      <c r="I157" s="424">
        <f t="shared" si="157"/>
        <v>3068397.5199999898</v>
      </c>
      <c r="J157" s="424">
        <v>200000</v>
      </c>
      <c r="K157" s="424">
        <v>0.2</v>
      </c>
      <c r="L157" s="424">
        <f t="shared" si="158"/>
        <v>613679.50399999798</v>
      </c>
      <c r="M157" s="424">
        <f t="shared" si="159"/>
        <v>813679.50399999798</v>
      </c>
      <c r="N157" s="424">
        <f t="shared" si="160"/>
        <v>1041887.9840000001</v>
      </c>
      <c r="O157" s="424">
        <f t="shared" si="161"/>
        <v>2254718.01599999</v>
      </c>
      <c r="P157" s="424">
        <f t="shared" si="162"/>
        <v>21000</v>
      </c>
      <c r="Q157" s="424">
        <f t="shared" si="163"/>
        <v>33000</v>
      </c>
      <c r="R157" s="424">
        <f t="shared" si="164"/>
        <v>75000</v>
      </c>
      <c r="S157" s="424">
        <f t="shared" si="165"/>
        <v>95000</v>
      </c>
      <c r="T157" s="424">
        <f t="shared" si="166"/>
        <v>137490.78335999901</v>
      </c>
      <c r="U157" s="424"/>
      <c r="V157" s="424">
        <f t="shared" si="168"/>
        <v>361490.78335999901</v>
      </c>
      <c r="W157" s="431">
        <v>12</v>
      </c>
      <c r="X157" s="424">
        <f t="shared" si="169"/>
        <v>30124.231946666601</v>
      </c>
      <c r="Y157" s="427"/>
      <c r="Z157" s="873">
        <f t="shared" si="170"/>
        <v>30124.231946666601</v>
      </c>
      <c r="AA157" s="753">
        <v>19441.199306666698</v>
      </c>
      <c r="AB157" s="753">
        <f t="shared" si="171"/>
        <v>10683.032639999899</v>
      </c>
      <c r="AC157" s="436"/>
      <c r="AD157" s="436"/>
      <c r="AE157" s="436"/>
    </row>
    <row r="158" spans="1:31" ht="15.75" customHeight="1" x14ac:dyDescent="0.15">
      <c r="A158" s="421">
        <v>142</v>
      </c>
      <c r="B158" s="597" t="s">
        <v>333</v>
      </c>
      <c r="C158" s="424">
        <v>271717.16666666599</v>
      </c>
      <c r="D158" s="423">
        <v>12</v>
      </c>
      <c r="E158" s="424">
        <f t="shared" si="156"/>
        <v>3260605.9999999902</v>
      </c>
      <c r="F158" s="424"/>
      <c r="G158" s="425">
        <v>228208.48</v>
      </c>
      <c r="H158" s="427"/>
      <c r="I158" s="424">
        <f t="shared" si="157"/>
        <v>3032397.5199999898</v>
      </c>
      <c r="J158" s="424">
        <v>200000</v>
      </c>
      <c r="K158" s="424">
        <v>0.2</v>
      </c>
      <c r="L158" s="424">
        <f t="shared" si="158"/>
        <v>606479.50399999798</v>
      </c>
      <c r="M158" s="424">
        <f t="shared" si="159"/>
        <v>806479.50399999798</v>
      </c>
      <c r="N158" s="424">
        <f t="shared" si="160"/>
        <v>1034687.9840000001</v>
      </c>
      <c r="O158" s="424">
        <f t="shared" si="161"/>
        <v>2225918.01599999</v>
      </c>
      <c r="P158" s="424">
        <f t="shared" si="162"/>
        <v>21000</v>
      </c>
      <c r="Q158" s="424">
        <f t="shared" si="163"/>
        <v>33000</v>
      </c>
      <c r="R158" s="424">
        <f t="shared" si="164"/>
        <v>75000</v>
      </c>
      <c r="S158" s="424">
        <f t="shared" si="165"/>
        <v>95000</v>
      </c>
      <c r="T158" s="424">
        <f t="shared" si="166"/>
        <v>131442.78335999901</v>
      </c>
      <c r="U158" s="424"/>
      <c r="V158" s="424">
        <f t="shared" si="168"/>
        <v>355442.78335999901</v>
      </c>
      <c r="W158" s="431">
        <v>12</v>
      </c>
      <c r="X158" s="424">
        <f t="shared" si="169"/>
        <v>29620.231946666601</v>
      </c>
      <c r="Y158" s="427"/>
      <c r="Z158" s="873">
        <f t="shared" si="170"/>
        <v>29620.231946666601</v>
      </c>
      <c r="AA158" s="753">
        <v>18937.199306666698</v>
      </c>
      <c r="AB158" s="753">
        <f t="shared" si="171"/>
        <v>10683.032639999899</v>
      </c>
      <c r="AC158" s="436"/>
      <c r="AD158" s="436"/>
      <c r="AE158" s="436"/>
    </row>
    <row r="159" spans="1:31" ht="14.25" x14ac:dyDescent="0.15">
      <c r="A159" s="421">
        <v>143</v>
      </c>
      <c r="B159" s="597" t="s">
        <v>334</v>
      </c>
      <c r="C159" s="424">
        <v>271717.16666666599</v>
      </c>
      <c r="D159" s="423">
        <v>12</v>
      </c>
      <c r="E159" s="424">
        <f t="shared" si="156"/>
        <v>3260605.9999999902</v>
      </c>
      <c r="F159" s="424">
        <v>47786.574999999903</v>
      </c>
      <c r="G159" s="425">
        <v>228208.48</v>
      </c>
      <c r="H159" s="427"/>
      <c r="I159" s="424">
        <f t="shared" si="157"/>
        <v>2984610.9449999901</v>
      </c>
      <c r="J159" s="424">
        <v>200000</v>
      </c>
      <c r="K159" s="424">
        <v>0.2</v>
      </c>
      <c r="L159" s="424">
        <f t="shared" si="158"/>
        <v>596922.18899999803</v>
      </c>
      <c r="M159" s="424">
        <f t="shared" si="159"/>
        <v>796922.18899999803</v>
      </c>
      <c r="N159" s="424">
        <f t="shared" si="160"/>
        <v>1072917.2439999999</v>
      </c>
      <c r="O159" s="424">
        <f t="shared" si="161"/>
        <v>2187688.7559999898</v>
      </c>
      <c r="P159" s="424">
        <f t="shared" si="162"/>
        <v>21000</v>
      </c>
      <c r="Q159" s="424">
        <f t="shared" si="163"/>
        <v>33000</v>
      </c>
      <c r="R159" s="424">
        <f t="shared" si="164"/>
        <v>75000</v>
      </c>
      <c r="S159" s="424">
        <f t="shared" si="165"/>
        <v>95000</v>
      </c>
      <c r="T159" s="424">
        <f t="shared" si="166"/>
        <v>123414.638759999</v>
      </c>
      <c r="U159" s="424"/>
      <c r="V159" s="424">
        <f t="shared" si="168"/>
        <v>347414.63875999901</v>
      </c>
      <c r="W159" s="431">
        <v>12</v>
      </c>
      <c r="X159" s="424">
        <f t="shared" si="169"/>
        <v>28951.219896666498</v>
      </c>
      <c r="Y159" s="427"/>
      <c r="Z159" s="873">
        <f t="shared" si="170"/>
        <v>28951.219896666498</v>
      </c>
      <c r="AA159" s="753">
        <v>18892.9833866667</v>
      </c>
      <c r="AB159" s="753">
        <f t="shared" si="171"/>
        <v>10058.236509999801</v>
      </c>
      <c r="AC159" s="436"/>
      <c r="AD159" s="436"/>
      <c r="AE159" s="436"/>
    </row>
    <row r="160" spans="1:31" ht="14.25" x14ac:dyDescent="0.15">
      <c r="A160" s="421">
        <v>144</v>
      </c>
      <c r="B160" s="597" t="s">
        <v>335</v>
      </c>
      <c r="C160" s="424">
        <v>271717.16666666599</v>
      </c>
      <c r="D160" s="423">
        <v>12</v>
      </c>
      <c r="E160" s="424">
        <f t="shared" si="156"/>
        <v>3260605.9999999902</v>
      </c>
      <c r="F160" s="424"/>
      <c r="G160" s="425">
        <v>228208.48</v>
      </c>
      <c r="H160" s="427"/>
      <c r="I160" s="424">
        <f t="shared" si="157"/>
        <v>3032397.5199999898</v>
      </c>
      <c r="J160" s="424">
        <v>200000</v>
      </c>
      <c r="K160" s="424">
        <v>0.2</v>
      </c>
      <c r="L160" s="424">
        <f t="shared" si="158"/>
        <v>606479.50399999798</v>
      </c>
      <c r="M160" s="424">
        <f t="shared" si="159"/>
        <v>806479.50399999798</v>
      </c>
      <c r="N160" s="424">
        <f t="shared" si="160"/>
        <v>1034687.9840000001</v>
      </c>
      <c r="O160" s="424">
        <f t="shared" si="161"/>
        <v>2225918.01599999</v>
      </c>
      <c r="P160" s="424">
        <f t="shared" si="162"/>
        <v>21000</v>
      </c>
      <c r="Q160" s="424">
        <f t="shared" si="163"/>
        <v>33000</v>
      </c>
      <c r="R160" s="424">
        <f t="shared" si="164"/>
        <v>75000</v>
      </c>
      <c r="S160" s="424">
        <f t="shared" si="165"/>
        <v>95000</v>
      </c>
      <c r="T160" s="424">
        <f t="shared" si="166"/>
        <v>131442.78335999901</v>
      </c>
      <c r="U160" s="424"/>
      <c r="V160" s="424">
        <f t="shared" si="168"/>
        <v>355442.78335999901</v>
      </c>
      <c r="W160" s="431">
        <v>12</v>
      </c>
      <c r="X160" s="424">
        <f t="shared" si="169"/>
        <v>29620.231946666601</v>
      </c>
      <c r="Y160" s="427"/>
      <c r="Z160" s="873">
        <f t="shared" si="170"/>
        <v>29620.231946666601</v>
      </c>
      <c r="AA160" s="753">
        <v>18937.199306666698</v>
      </c>
      <c r="AB160" s="753">
        <f t="shared" si="171"/>
        <v>10683.032639999899</v>
      </c>
      <c r="AC160" s="436"/>
      <c r="AD160" s="436"/>
      <c r="AE160" s="436"/>
    </row>
    <row r="161" spans="1:31" ht="14.25" x14ac:dyDescent="0.15">
      <c r="A161" s="421">
        <v>145</v>
      </c>
      <c r="B161" s="597" t="s">
        <v>336</v>
      </c>
      <c r="C161" s="424">
        <v>268733.83333333401</v>
      </c>
      <c r="D161" s="423">
        <v>12</v>
      </c>
      <c r="E161" s="424">
        <f t="shared" si="156"/>
        <v>3224806.0000000098</v>
      </c>
      <c r="F161" s="424"/>
      <c r="G161" s="425">
        <v>222464.48</v>
      </c>
      <c r="H161" s="427"/>
      <c r="I161" s="424">
        <f t="shared" si="157"/>
        <v>3002341.5200000098</v>
      </c>
      <c r="J161" s="424">
        <v>200000</v>
      </c>
      <c r="K161" s="424">
        <v>0.2</v>
      </c>
      <c r="L161" s="424">
        <f t="shared" si="158"/>
        <v>600468.30400000198</v>
      </c>
      <c r="M161" s="424">
        <f t="shared" si="159"/>
        <v>800468.30400000198</v>
      </c>
      <c r="N161" s="424">
        <f t="shared" si="160"/>
        <v>1022932.784</v>
      </c>
      <c r="O161" s="424">
        <f t="shared" si="161"/>
        <v>2201873.2160000098</v>
      </c>
      <c r="P161" s="424">
        <f t="shared" si="162"/>
        <v>21000</v>
      </c>
      <c r="Q161" s="424">
        <f t="shared" si="163"/>
        <v>33000</v>
      </c>
      <c r="R161" s="424">
        <f t="shared" si="164"/>
        <v>75000</v>
      </c>
      <c r="S161" s="424">
        <f t="shared" si="165"/>
        <v>95000</v>
      </c>
      <c r="T161" s="424">
        <f t="shared" si="166"/>
        <v>126393.37536000099</v>
      </c>
      <c r="U161" s="424"/>
      <c r="V161" s="424">
        <f t="shared" si="168"/>
        <v>350393.37536000099</v>
      </c>
      <c r="W161" s="431">
        <v>12</v>
      </c>
      <c r="X161" s="424">
        <f t="shared" si="169"/>
        <v>29199.447946666802</v>
      </c>
      <c r="Y161" s="427"/>
      <c r="Z161" s="873">
        <f t="shared" si="170"/>
        <v>29199.447946666802</v>
      </c>
      <c r="AA161" s="753">
        <v>18631.689439999998</v>
      </c>
      <c r="AB161" s="753">
        <f t="shared" si="171"/>
        <v>10567.7585066668</v>
      </c>
      <c r="AC161" s="436"/>
      <c r="AD161" s="436"/>
      <c r="AE161" s="436"/>
    </row>
    <row r="162" spans="1:31" ht="14.25" x14ac:dyDescent="0.15">
      <c r="A162" s="421">
        <v>146</v>
      </c>
      <c r="B162" s="597" t="s">
        <v>338</v>
      </c>
      <c r="C162" s="424">
        <v>265733.83333333401</v>
      </c>
      <c r="D162" s="423">
        <v>12</v>
      </c>
      <c r="E162" s="424">
        <f t="shared" si="156"/>
        <v>3188806.0000000098</v>
      </c>
      <c r="F162" s="424"/>
      <c r="G162" s="425">
        <v>222464.48</v>
      </c>
      <c r="H162" s="427"/>
      <c r="I162" s="424">
        <f t="shared" si="157"/>
        <v>2966341.5200000098</v>
      </c>
      <c r="J162" s="424">
        <v>200000</v>
      </c>
      <c r="K162" s="424">
        <v>0.2</v>
      </c>
      <c r="L162" s="424">
        <f t="shared" si="158"/>
        <v>593268.30400000198</v>
      </c>
      <c r="M162" s="424">
        <f t="shared" si="159"/>
        <v>793268.30400000198</v>
      </c>
      <c r="N162" s="424">
        <f t="shared" si="160"/>
        <v>1015732.784</v>
      </c>
      <c r="O162" s="424">
        <f t="shared" si="161"/>
        <v>2173073.2160000098</v>
      </c>
      <c r="P162" s="424">
        <f t="shared" si="162"/>
        <v>21000</v>
      </c>
      <c r="Q162" s="424">
        <f t="shared" si="163"/>
        <v>33000</v>
      </c>
      <c r="R162" s="424">
        <f t="shared" si="164"/>
        <v>75000</v>
      </c>
      <c r="S162" s="424">
        <f t="shared" si="165"/>
        <v>95000</v>
      </c>
      <c r="T162" s="424">
        <f t="shared" si="166"/>
        <v>120345.37536000099</v>
      </c>
      <c r="U162" s="424"/>
      <c r="V162" s="424">
        <f t="shared" si="168"/>
        <v>344345.37536000099</v>
      </c>
      <c r="W162" s="431">
        <v>12</v>
      </c>
      <c r="X162" s="424">
        <f t="shared" si="169"/>
        <v>28695.447946666802</v>
      </c>
      <c r="Y162" s="427"/>
      <c r="Z162" s="873">
        <f t="shared" si="170"/>
        <v>28695.447946666802</v>
      </c>
      <c r="AA162" s="753">
        <v>18175.689439999998</v>
      </c>
      <c r="AB162" s="753">
        <f t="shared" si="171"/>
        <v>10519.7585066668</v>
      </c>
      <c r="AC162" s="436"/>
      <c r="AD162" s="436"/>
      <c r="AE162" s="436"/>
    </row>
    <row r="163" spans="1:31" ht="14.25" x14ac:dyDescent="0.15">
      <c r="A163" s="421">
        <v>147</v>
      </c>
      <c r="B163" s="593" t="s">
        <v>339</v>
      </c>
      <c r="C163" s="424">
        <v>268733.83333333401</v>
      </c>
      <c r="D163" s="423">
        <v>12</v>
      </c>
      <c r="E163" s="424">
        <f t="shared" si="156"/>
        <v>3224806.0000000098</v>
      </c>
      <c r="F163" s="424"/>
      <c r="G163" s="425">
        <v>222464.48</v>
      </c>
      <c r="H163" s="427"/>
      <c r="I163" s="424">
        <f t="shared" si="157"/>
        <v>3002341.5200000098</v>
      </c>
      <c r="J163" s="424">
        <v>200000</v>
      </c>
      <c r="K163" s="424">
        <v>0.2</v>
      </c>
      <c r="L163" s="424">
        <f t="shared" si="158"/>
        <v>600468.30400000198</v>
      </c>
      <c r="M163" s="424">
        <f t="shared" si="159"/>
        <v>800468.30400000198</v>
      </c>
      <c r="N163" s="424">
        <f t="shared" si="160"/>
        <v>1022932.784</v>
      </c>
      <c r="O163" s="424">
        <f t="shared" si="161"/>
        <v>2201873.2160000098</v>
      </c>
      <c r="P163" s="424">
        <f t="shared" si="162"/>
        <v>21000</v>
      </c>
      <c r="Q163" s="424">
        <f t="shared" si="163"/>
        <v>33000</v>
      </c>
      <c r="R163" s="424">
        <f t="shared" si="164"/>
        <v>75000</v>
      </c>
      <c r="S163" s="424">
        <f t="shared" si="165"/>
        <v>95000</v>
      </c>
      <c r="T163" s="424">
        <f t="shared" si="166"/>
        <v>126393.37536000099</v>
      </c>
      <c r="U163" s="424"/>
      <c r="V163" s="424">
        <f t="shared" si="168"/>
        <v>350393.37536000099</v>
      </c>
      <c r="W163" s="431">
        <v>12</v>
      </c>
      <c r="X163" s="424">
        <f t="shared" si="169"/>
        <v>29199.447946666802</v>
      </c>
      <c r="Y163" s="427"/>
      <c r="Z163" s="873">
        <f t="shared" si="170"/>
        <v>29199.447946666802</v>
      </c>
      <c r="AA163" s="753">
        <v>18631.689439999998</v>
      </c>
      <c r="AB163" s="753">
        <f t="shared" si="171"/>
        <v>10567.7585066668</v>
      </c>
      <c r="AC163" s="436"/>
      <c r="AD163" s="436"/>
      <c r="AE163" s="436"/>
    </row>
    <row r="164" spans="1:31" ht="14.25" x14ac:dyDescent="0.15">
      <c r="A164" s="421">
        <v>148</v>
      </c>
      <c r="B164" s="597" t="s">
        <v>340</v>
      </c>
      <c r="C164" s="424">
        <v>265733.83333333401</v>
      </c>
      <c r="D164" s="423">
        <v>12</v>
      </c>
      <c r="E164" s="424">
        <f t="shared" si="156"/>
        <v>3188806.0000000098</v>
      </c>
      <c r="F164" s="424"/>
      <c r="G164" s="425">
        <v>222464.48</v>
      </c>
      <c r="H164" s="427"/>
      <c r="I164" s="424">
        <f t="shared" si="157"/>
        <v>2966341.5200000098</v>
      </c>
      <c r="J164" s="424">
        <v>200000</v>
      </c>
      <c r="K164" s="424">
        <v>0.2</v>
      </c>
      <c r="L164" s="424">
        <f t="shared" si="158"/>
        <v>593268.30400000198</v>
      </c>
      <c r="M164" s="424">
        <f t="shared" si="159"/>
        <v>793268.30400000198</v>
      </c>
      <c r="N164" s="424">
        <f t="shared" si="160"/>
        <v>1015732.784</v>
      </c>
      <c r="O164" s="424">
        <f t="shared" si="161"/>
        <v>2173073.2160000098</v>
      </c>
      <c r="P164" s="424">
        <f t="shared" si="162"/>
        <v>21000</v>
      </c>
      <c r="Q164" s="424">
        <f t="shared" si="163"/>
        <v>33000</v>
      </c>
      <c r="R164" s="424">
        <f t="shared" si="164"/>
        <v>75000</v>
      </c>
      <c r="S164" s="424">
        <f t="shared" si="165"/>
        <v>95000</v>
      </c>
      <c r="T164" s="424">
        <f t="shared" si="166"/>
        <v>120345.37536000099</v>
      </c>
      <c r="U164" s="424"/>
      <c r="V164" s="424">
        <f t="shared" si="168"/>
        <v>344345.37536000099</v>
      </c>
      <c r="W164" s="431">
        <v>12</v>
      </c>
      <c r="X164" s="424">
        <f t="shared" si="169"/>
        <v>28695.447946666802</v>
      </c>
      <c r="Y164" s="427"/>
      <c r="Z164" s="873">
        <f t="shared" si="170"/>
        <v>28695.447946666802</v>
      </c>
      <c r="AA164" s="753">
        <v>18175.689439999998</v>
      </c>
      <c r="AB164" s="753">
        <f t="shared" si="171"/>
        <v>10519.7585066668</v>
      </c>
      <c r="AC164" s="436"/>
      <c r="AD164" s="436"/>
      <c r="AE164" s="436"/>
    </row>
    <row r="165" spans="1:31" ht="14.25" x14ac:dyDescent="0.15">
      <c r="A165" s="421">
        <v>149</v>
      </c>
      <c r="B165" s="313" t="s">
        <v>341</v>
      </c>
      <c r="C165" s="424">
        <v>265733.83333333401</v>
      </c>
      <c r="D165" s="423">
        <v>12</v>
      </c>
      <c r="E165" s="424">
        <f t="shared" si="156"/>
        <v>3188806.0000000098</v>
      </c>
      <c r="F165" s="424"/>
      <c r="G165" s="425">
        <v>222464.48</v>
      </c>
      <c r="H165" s="427"/>
      <c r="I165" s="424">
        <f t="shared" si="157"/>
        <v>2966341.5200000098</v>
      </c>
      <c r="J165" s="424">
        <v>200000</v>
      </c>
      <c r="K165" s="424">
        <v>0.2</v>
      </c>
      <c r="L165" s="424">
        <f t="shared" si="158"/>
        <v>593268.30400000198</v>
      </c>
      <c r="M165" s="424">
        <f t="shared" si="159"/>
        <v>793268.30400000198</v>
      </c>
      <c r="N165" s="424">
        <f t="shared" si="160"/>
        <v>1015732.784</v>
      </c>
      <c r="O165" s="424">
        <f t="shared" si="161"/>
        <v>2173073.2160000098</v>
      </c>
      <c r="P165" s="424">
        <f t="shared" si="162"/>
        <v>21000</v>
      </c>
      <c r="Q165" s="424">
        <f t="shared" si="163"/>
        <v>33000</v>
      </c>
      <c r="R165" s="424">
        <f t="shared" si="164"/>
        <v>75000</v>
      </c>
      <c r="S165" s="424">
        <f t="shared" si="165"/>
        <v>95000</v>
      </c>
      <c r="T165" s="424">
        <f t="shared" si="166"/>
        <v>120345.37536000099</v>
      </c>
      <c r="U165" s="424"/>
      <c r="V165" s="424">
        <f t="shared" si="168"/>
        <v>344345.37536000099</v>
      </c>
      <c r="W165" s="431">
        <v>12</v>
      </c>
      <c r="X165" s="424">
        <f t="shared" si="169"/>
        <v>28695.447946666802</v>
      </c>
      <c r="Y165" s="427"/>
      <c r="Z165" s="873">
        <f t="shared" si="170"/>
        <v>28695.447946666802</v>
      </c>
      <c r="AA165" s="753">
        <v>18175.689439999998</v>
      </c>
      <c r="AB165" s="753">
        <f t="shared" si="171"/>
        <v>10519.7585066668</v>
      </c>
      <c r="AC165" s="436"/>
      <c r="AD165" s="436"/>
      <c r="AE165" s="436"/>
    </row>
    <row r="166" spans="1:31" ht="14.25" x14ac:dyDescent="0.15">
      <c r="A166" s="421">
        <v>150</v>
      </c>
      <c r="B166" s="313" t="s">
        <v>342</v>
      </c>
      <c r="C166" s="424">
        <v>268733.83333333401</v>
      </c>
      <c r="D166" s="423">
        <v>12</v>
      </c>
      <c r="E166" s="424">
        <f t="shared" si="156"/>
        <v>3224806.0000000098</v>
      </c>
      <c r="F166" s="424"/>
      <c r="G166" s="425">
        <v>222464.48</v>
      </c>
      <c r="H166" s="427"/>
      <c r="I166" s="424">
        <f t="shared" si="157"/>
        <v>3002341.5200000098</v>
      </c>
      <c r="J166" s="424">
        <v>200000</v>
      </c>
      <c r="K166" s="424">
        <v>0.2</v>
      </c>
      <c r="L166" s="424">
        <f t="shared" si="158"/>
        <v>600468.30400000198</v>
      </c>
      <c r="M166" s="424">
        <f t="shared" si="159"/>
        <v>800468.30400000198</v>
      </c>
      <c r="N166" s="424">
        <f t="shared" si="160"/>
        <v>1022932.784</v>
      </c>
      <c r="O166" s="424">
        <f t="shared" si="161"/>
        <v>2201873.2160000098</v>
      </c>
      <c r="P166" s="424">
        <f t="shared" si="162"/>
        <v>21000</v>
      </c>
      <c r="Q166" s="424">
        <f t="shared" si="163"/>
        <v>33000</v>
      </c>
      <c r="R166" s="424">
        <f t="shared" si="164"/>
        <v>75000</v>
      </c>
      <c r="S166" s="424">
        <f t="shared" si="165"/>
        <v>95000</v>
      </c>
      <c r="T166" s="424">
        <f t="shared" si="166"/>
        <v>126393.37536000099</v>
      </c>
      <c r="U166" s="424"/>
      <c r="V166" s="424">
        <f t="shared" si="168"/>
        <v>350393.37536000099</v>
      </c>
      <c r="W166" s="431">
        <v>12</v>
      </c>
      <c r="X166" s="424">
        <f t="shared" si="169"/>
        <v>29199.447946666802</v>
      </c>
      <c r="Y166" s="427"/>
      <c r="Z166" s="873">
        <f t="shared" si="170"/>
        <v>29199.447946666802</v>
      </c>
      <c r="AA166" s="753">
        <v>18631.689439999998</v>
      </c>
      <c r="AB166" s="753">
        <f t="shared" si="171"/>
        <v>10567.7585066668</v>
      </c>
      <c r="AC166" s="436"/>
      <c r="AD166" s="436"/>
      <c r="AE166" s="436"/>
    </row>
    <row r="167" spans="1:31" ht="27" x14ac:dyDescent="0.15">
      <c r="A167" s="421">
        <v>151</v>
      </c>
      <c r="B167" s="597" t="s">
        <v>343</v>
      </c>
      <c r="C167" s="424">
        <v>256767.33333333299</v>
      </c>
      <c r="D167" s="423">
        <v>12</v>
      </c>
      <c r="E167" s="424">
        <f t="shared" si="156"/>
        <v>3081208</v>
      </c>
      <c r="F167" s="424"/>
      <c r="G167" s="425">
        <v>210976.639999999</v>
      </c>
      <c r="H167" s="427"/>
      <c r="I167" s="424">
        <f t="shared" si="157"/>
        <v>2870231.36</v>
      </c>
      <c r="J167" s="424">
        <v>200000</v>
      </c>
      <c r="K167" s="424">
        <v>0.2</v>
      </c>
      <c r="L167" s="424">
        <f t="shared" si="158"/>
        <v>574046.27199999895</v>
      </c>
      <c r="M167" s="424">
        <f t="shared" si="159"/>
        <v>774046.27199999895</v>
      </c>
      <c r="N167" s="424">
        <f t="shared" si="160"/>
        <v>985022.91199999803</v>
      </c>
      <c r="O167" s="424">
        <f t="shared" si="161"/>
        <v>2096185.088</v>
      </c>
      <c r="P167" s="424">
        <f t="shared" si="162"/>
        <v>21000</v>
      </c>
      <c r="Q167" s="424">
        <f t="shared" si="163"/>
        <v>33000</v>
      </c>
      <c r="R167" s="424">
        <f t="shared" si="164"/>
        <v>75000</v>
      </c>
      <c r="S167" s="424">
        <f t="shared" si="165"/>
        <v>95000</v>
      </c>
      <c r="T167" s="424">
        <f t="shared" si="166"/>
        <v>104198.86848</v>
      </c>
      <c r="U167" s="424"/>
      <c r="V167" s="424">
        <f t="shared" si="168"/>
        <v>328198.86847999902</v>
      </c>
      <c r="W167" s="431">
        <v>12</v>
      </c>
      <c r="X167" s="424">
        <f t="shared" si="169"/>
        <v>27349.905706666599</v>
      </c>
      <c r="Y167" s="427"/>
      <c r="Z167" s="873">
        <f t="shared" si="170"/>
        <v>27349.905706666599</v>
      </c>
      <c r="AA167" s="753">
        <v>17160.199733333298</v>
      </c>
      <c r="AB167" s="753">
        <f t="shared" ref="AB167:AB187" si="173">Z167-AA167</f>
        <v>10189.705973333301</v>
      </c>
      <c r="AC167" s="436"/>
      <c r="AD167" s="436"/>
      <c r="AE167" s="436"/>
    </row>
    <row r="168" spans="1:31" ht="14.25" x14ac:dyDescent="0.15">
      <c r="A168" s="421">
        <v>152</v>
      </c>
      <c r="B168" s="597" t="s">
        <v>346</v>
      </c>
      <c r="C168" s="424">
        <v>256767.33333333299</v>
      </c>
      <c r="D168" s="423">
        <v>12</v>
      </c>
      <c r="E168" s="424">
        <f t="shared" si="156"/>
        <v>3081208</v>
      </c>
      <c r="F168" s="424"/>
      <c r="G168" s="425">
        <v>210976.639999999</v>
      </c>
      <c r="H168" s="427"/>
      <c r="I168" s="424">
        <f t="shared" si="157"/>
        <v>2870231.36</v>
      </c>
      <c r="J168" s="424">
        <v>200000</v>
      </c>
      <c r="K168" s="424">
        <v>0.2</v>
      </c>
      <c r="L168" s="424">
        <f t="shared" si="158"/>
        <v>574046.27199999895</v>
      </c>
      <c r="M168" s="424">
        <f t="shared" si="159"/>
        <v>774046.27199999895</v>
      </c>
      <c r="N168" s="424">
        <f t="shared" si="160"/>
        <v>985022.91199999803</v>
      </c>
      <c r="O168" s="424">
        <f t="shared" si="161"/>
        <v>2096185.088</v>
      </c>
      <c r="P168" s="424">
        <f t="shared" si="162"/>
        <v>21000</v>
      </c>
      <c r="Q168" s="424">
        <f t="shared" si="163"/>
        <v>33000</v>
      </c>
      <c r="R168" s="424">
        <f t="shared" si="164"/>
        <v>75000</v>
      </c>
      <c r="S168" s="424">
        <f t="shared" si="165"/>
        <v>95000</v>
      </c>
      <c r="T168" s="424">
        <f t="shared" si="166"/>
        <v>104198.86848</v>
      </c>
      <c r="U168" s="424"/>
      <c r="V168" s="424">
        <f t="shared" si="168"/>
        <v>328198.86847999902</v>
      </c>
      <c r="W168" s="431">
        <v>12</v>
      </c>
      <c r="X168" s="424">
        <f t="shared" si="169"/>
        <v>27349.905706666599</v>
      </c>
      <c r="Y168" s="427"/>
      <c r="Z168" s="873">
        <f t="shared" si="170"/>
        <v>27349.905706666599</v>
      </c>
      <c r="AA168" s="753">
        <v>17160.199733333298</v>
      </c>
      <c r="AB168" s="753">
        <f t="shared" si="173"/>
        <v>10189.705973333301</v>
      </c>
      <c r="AC168" s="436"/>
      <c r="AD168" s="436"/>
      <c r="AE168" s="436"/>
    </row>
    <row r="169" spans="1:31" ht="14.25" x14ac:dyDescent="0.15">
      <c r="A169" s="421">
        <v>153</v>
      </c>
      <c r="B169" s="313" t="s">
        <v>347</v>
      </c>
      <c r="C169" s="424">
        <v>262750.58333333302</v>
      </c>
      <c r="D169" s="423">
        <v>12</v>
      </c>
      <c r="E169" s="424">
        <f t="shared" si="156"/>
        <v>3153007</v>
      </c>
      <c r="F169" s="424"/>
      <c r="G169" s="425">
        <v>216720.55999999901</v>
      </c>
      <c r="H169" s="427"/>
      <c r="I169" s="424">
        <f t="shared" si="157"/>
        <v>2936286.44</v>
      </c>
      <c r="J169" s="424">
        <v>200000</v>
      </c>
      <c r="K169" s="424">
        <v>0.2</v>
      </c>
      <c r="L169" s="424">
        <f t="shared" si="158"/>
        <v>587257.28799999901</v>
      </c>
      <c r="M169" s="424">
        <f t="shared" si="159"/>
        <v>787257.28799999901</v>
      </c>
      <c r="N169" s="424">
        <f t="shared" si="160"/>
        <v>1003977.848</v>
      </c>
      <c r="O169" s="424">
        <f t="shared" si="161"/>
        <v>2149029.1519999998</v>
      </c>
      <c r="P169" s="424">
        <f t="shared" si="162"/>
        <v>21000</v>
      </c>
      <c r="Q169" s="424">
        <f t="shared" si="163"/>
        <v>33000</v>
      </c>
      <c r="R169" s="424">
        <f t="shared" si="164"/>
        <v>75000</v>
      </c>
      <c r="S169" s="424">
        <f t="shared" si="165"/>
        <v>95000</v>
      </c>
      <c r="T169" s="424">
        <f t="shared" si="166"/>
        <v>115296.12192000001</v>
      </c>
      <c r="U169" s="424"/>
      <c r="V169" s="424">
        <f t="shared" si="168"/>
        <v>339296.12192000001</v>
      </c>
      <c r="W169" s="431">
        <v>12</v>
      </c>
      <c r="X169" s="424">
        <f t="shared" si="169"/>
        <v>28274.6768266666</v>
      </c>
      <c r="Y169" s="427"/>
      <c r="Z169" s="873">
        <f t="shared" si="170"/>
        <v>28274.6768266666</v>
      </c>
      <c r="AA169" s="753">
        <v>17895.944586666701</v>
      </c>
      <c r="AB169" s="753">
        <f t="shared" si="173"/>
        <v>10378.732239999899</v>
      </c>
      <c r="AC169" s="436"/>
      <c r="AD169" s="436"/>
      <c r="AE169" s="436"/>
    </row>
    <row r="170" spans="1:31" ht="29.25" customHeight="1" x14ac:dyDescent="0.15">
      <c r="A170" s="421">
        <v>154</v>
      </c>
      <c r="B170" s="597" t="s">
        <v>349</v>
      </c>
      <c r="C170" s="424">
        <v>240784</v>
      </c>
      <c r="D170" s="423">
        <v>12</v>
      </c>
      <c r="E170" s="424">
        <f t="shared" si="156"/>
        <v>2889408</v>
      </c>
      <c r="F170" s="424"/>
      <c r="G170" s="425">
        <v>205232.64000000001</v>
      </c>
      <c r="H170" s="427"/>
      <c r="I170" s="424">
        <f t="shared" si="157"/>
        <v>2684175.3599999999</v>
      </c>
      <c r="J170" s="424">
        <v>200000</v>
      </c>
      <c r="K170" s="424">
        <v>0.2</v>
      </c>
      <c r="L170" s="424">
        <f t="shared" si="158"/>
        <v>536835.07200000004</v>
      </c>
      <c r="M170" s="424">
        <f t="shared" si="159"/>
        <v>736835.07200000004</v>
      </c>
      <c r="N170" s="424">
        <f t="shared" si="160"/>
        <v>942067.71200000006</v>
      </c>
      <c r="O170" s="424">
        <f t="shared" si="161"/>
        <v>1947340.2879999999</v>
      </c>
      <c r="P170" s="424">
        <f t="shared" si="162"/>
        <v>21000</v>
      </c>
      <c r="Q170" s="424">
        <f t="shared" si="163"/>
        <v>33000</v>
      </c>
      <c r="R170" s="424">
        <f t="shared" si="164"/>
        <v>75000</v>
      </c>
      <c r="S170" s="424">
        <f t="shared" si="165"/>
        <v>95000</v>
      </c>
      <c r="T170" s="424">
        <f t="shared" si="166"/>
        <v>72941.460479999994</v>
      </c>
      <c r="U170" s="424"/>
      <c r="V170" s="424">
        <f t="shared" si="168"/>
        <v>296941.46048000001</v>
      </c>
      <c r="W170" s="431">
        <v>12</v>
      </c>
      <c r="X170" s="424">
        <f t="shared" si="169"/>
        <v>24745.121706666701</v>
      </c>
      <c r="Y170" s="427"/>
      <c r="Z170" s="873">
        <f t="shared" si="170"/>
        <v>24745.121706666701</v>
      </c>
      <c r="AA170" s="753">
        <v>17160.199733333298</v>
      </c>
      <c r="AB170" s="753">
        <f t="shared" si="173"/>
        <v>7584.9219733333703</v>
      </c>
      <c r="AC170" s="436"/>
      <c r="AD170" s="436"/>
      <c r="AE170" s="436"/>
    </row>
    <row r="171" spans="1:31" ht="14.25" x14ac:dyDescent="0.15">
      <c r="A171" s="421">
        <v>155</v>
      </c>
      <c r="B171" s="597" t="s">
        <v>352</v>
      </c>
      <c r="C171" s="424">
        <v>173356.75</v>
      </c>
      <c r="D171" s="423">
        <v>12</v>
      </c>
      <c r="E171" s="424">
        <f t="shared" si="156"/>
        <v>2080281</v>
      </c>
      <c r="F171" s="424"/>
      <c r="G171" s="425">
        <v>140502.48000000001</v>
      </c>
      <c r="H171" s="427"/>
      <c r="I171" s="424">
        <f t="shared" si="157"/>
        <v>1939778.52</v>
      </c>
      <c r="J171" s="424">
        <v>200000</v>
      </c>
      <c r="K171" s="424">
        <v>0.2</v>
      </c>
      <c r="L171" s="424">
        <f t="shared" si="158"/>
        <v>387955.70400000003</v>
      </c>
      <c r="M171" s="424">
        <f t="shared" si="159"/>
        <v>587955.70400000003</v>
      </c>
      <c r="N171" s="424">
        <f t="shared" si="160"/>
        <v>728458.18400000001</v>
      </c>
      <c r="O171" s="424">
        <f t="shared" si="161"/>
        <v>1351822.8160000001</v>
      </c>
      <c r="P171" s="424">
        <f t="shared" si="162"/>
        <v>21000</v>
      </c>
      <c r="Q171" s="424">
        <f t="shared" si="163"/>
        <v>33000</v>
      </c>
      <c r="R171" s="424">
        <f t="shared" si="164"/>
        <v>75000</v>
      </c>
      <c r="S171" s="424">
        <f t="shared" si="165"/>
        <v>47846.335039999998</v>
      </c>
      <c r="T171" s="424">
        <f t="shared" si="166"/>
        <v>0</v>
      </c>
      <c r="U171" s="424"/>
      <c r="V171" s="424">
        <f t="shared" si="168"/>
        <v>176846.33504000001</v>
      </c>
      <c r="W171" s="431">
        <v>12</v>
      </c>
      <c r="X171" s="424">
        <f t="shared" si="169"/>
        <v>14737.194586666699</v>
      </c>
      <c r="Y171" s="427"/>
      <c r="Z171" s="873">
        <f t="shared" si="170"/>
        <v>14737.194586666699</v>
      </c>
      <c r="AA171" s="753">
        <v>7852.4192000000003</v>
      </c>
      <c r="AB171" s="753">
        <f t="shared" si="173"/>
        <v>6884.7753866666699</v>
      </c>
      <c r="AC171" s="436"/>
      <c r="AD171" s="436"/>
      <c r="AE171" s="436"/>
    </row>
    <row r="172" spans="1:31" ht="14.25" x14ac:dyDescent="0.15">
      <c r="A172" s="421">
        <v>156</v>
      </c>
      <c r="B172" s="597" t="s">
        <v>355</v>
      </c>
      <c r="C172" s="424">
        <v>170356.75</v>
      </c>
      <c r="D172" s="423">
        <v>12</v>
      </c>
      <c r="E172" s="424">
        <f t="shared" si="156"/>
        <v>2044281</v>
      </c>
      <c r="F172" s="424"/>
      <c r="G172" s="425">
        <v>140502.48000000001</v>
      </c>
      <c r="H172" s="427"/>
      <c r="I172" s="424">
        <f t="shared" si="157"/>
        <v>1903778.52</v>
      </c>
      <c r="J172" s="424">
        <v>200000</v>
      </c>
      <c r="K172" s="424">
        <v>0.2</v>
      </c>
      <c r="L172" s="424">
        <f t="shared" si="158"/>
        <v>380755.70400000003</v>
      </c>
      <c r="M172" s="424">
        <f t="shared" si="159"/>
        <v>580755.70400000003</v>
      </c>
      <c r="N172" s="424">
        <f t="shared" si="160"/>
        <v>721258.18400000001</v>
      </c>
      <c r="O172" s="424">
        <f t="shared" si="161"/>
        <v>1323022.8160000001</v>
      </c>
      <c r="P172" s="424">
        <f t="shared" si="162"/>
        <v>21000</v>
      </c>
      <c r="Q172" s="424">
        <f t="shared" si="163"/>
        <v>33000</v>
      </c>
      <c r="R172" s="424">
        <f t="shared" si="164"/>
        <v>75000</v>
      </c>
      <c r="S172" s="424">
        <f t="shared" si="165"/>
        <v>42374.335039999998</v>
      </c>
      <c r="T172" s="424">
        <f t="shared" si="166"/>
        <v>0</v>
      </c>
      <c r="U172" s="424"/>
      <c r="V172" s="424">
        <f t="shared" si="168"/>
        <v>171374.33504000001</v>
      </c>
      <c r="W172" s="431">
        <v>12</v>
      </c>
      <c r="X172" s="424">
        <f t="shared" si="169"/>
        <v>14281.194586666699</v>
      </c>
      <c r="Y172" s="427"/>
      <c r="Z172" s="873">
        <f t="shared" si="170"/>
        <v>14281.194586666699</v>
      </c>
      <c r="AA172" s="753">
        <v>7492.4192000000003</v>
      </c>
      <c r="AB172" s="753">
        <f t="shared" si="173"/>
        <v>6788.7753866666699</v>
      </c>
      <c r="AC172" s="436"/>
      <c r="AD172" s="436"/>
      <c r="AE172" s="436"/>
    </row>
    <row r="173" spans="1:31" ht="14.25" x14ac:dyDescent="0.15">
      <c r="A173" s="421">
        <v>157</v>
      </c>
      <c r="B173" s="597" t="s">
        <v>356</v>
      </c>
      <c r="C173" s="424">
        <v>173356.75</v>
      </c>
      <c r="D173" s="423">
        <v>12</v>
      </c>
      <c r="E173" s="424">
        <f t="shared" si="156"/>
        <v>2080281</v>
      </c>
      <c r="F173" s="424"/>
      <c r="G173" s="425">
        <v>140502.48000000001</v>
      </c>
      <c r="H173" s="427"/>
      <c r="I173" s="424">
        <f t="shared" si="157"/>
        <v>1939778.52</v>
      </c>
      <c r="J173" s="424">
        <v>200000</v>
      </c>
      <c r="K173" s="424">
        <v>0.2</v>
      </c>
      <c r="L173" s="424">
        <f t="shared" si="158"/>
        <v>387955.70400000003</v>
      </c>
      <c r="M173" s="424">
        <f t="shared" si="159"/>
        <v>587955.70400000003</v>
      </c>
      <c r="N173" s="424">
        <f t="shared" si="160"/>
        <v>728458.18400000001</v>
      </c>
      <c r="O173" s="424">
        <f t="shared" si="161"/>
        <v>1351822.8160000001</v>
      </c>
      <c r="P173" s="424">
        <f t="shared" si="162"/>
        <v>21000</v>
      </c>
      <c r="Q173" s="424">
        <f t="shared" si="163"/>
        <v>33000</v>
      </c>
      <c r="R173" s="424">
        <f t="shared" si="164"/>
        <v>75000</v>
      </c>
      <c r="S173" s="424">
        <f t="shared" si="165"/>
        <v>47846.335039999998</v>
      </c>
      <c r="T173" s="424">
        <f t="shared" ref="T173:T187" si="174">IF((O173-1600000)&lt;0,0,IF((O173-1600000)&lt;1600000,0.21*(O173-1600000),336000))</f>
        <v>0</v>
      </c>
      <c r="U173" s="424"/>
      <c r="V173" s="424">
        <f t="shared" si="168"/>
        <v>176846.33504000001</v>
      </c>
      <c r="W173" s="431">
        <v>12</v>
      </c>
      <c r="X173" s="424">
        <f t="shared" si="169"/>
        <v>14737.194586666699</v>
      </c>
      <c r="Y173" s="427"/>
      <c r="Z173" s="873">
        <f t="shared" si="170"/>
        <v>14737.194586666699</v>
      </c>
      <c r="AA173" s="753">
        <v>7852.4192000000003</v>
      </c>
      <c r="AB173" s="753">
        <f t="shared" si="173"/>
        <v>6884.7753866666699</v>
      </c>
      <c r="AC173" s="436"/>
      <c r="AD173" s="436"/>
      <c r="AE173" s="436"/>
    </row>
    <row r="174" spans="1:31" ht="14.25" x14ac:dyDescent="0.15">
      <c r="A174" s="421">
        <v>158</v>
      </c>
      <c r="B174" s="597" t="s">
        <v>357</v>
      </c>
      <c r="C174" s="881">
        <v>170356.75</v>
      </c>
      <c r="D174" s="423">
        <v>12</v>
      </c>
      <c r="E174" s="424">
        <f t="shared" si="156"/>
        <v>2044281</v>
      </c>
      <c r="F174" s="424"/>
      <c r="G174" s="425">
        <v>140502.48000000001</v>
      </c>
      <c r="H174" s="427"/>
      <c r="I174" s="424">
        <f t="shared" si="157"/>
        <v>1903778.52</v>
      </c>
      <c r="J174" s="424">
        <v>200000</v>
      </c>
      <c r="K174" s="424">
        <v>0.2</v>
      </c>
      <c r="L174" s="424">
        <f t="shared" si="158"/>
        <v>380755.70400000003</v>
      </c>
      <c r="M174" s="424">
        <f t="shared" si="159"/>
        <v>580755.70400000003</v>
      </c>
      <c r="N174" s="424">
        <f t="shared" si="160"/>
        <v>721258.18400000001</v>
      </c>
      <c r="O174" s="424">
        <f t="shared" si="161"/>
        <v>1323022.8160000001</v>
      </c>
      <c r="P174" s="424">
        <f t="shared" si="162"/>
        <v>21000</v>
      </c>
      <c r="Q174" s="424">
        <f t="shared" si="163"/>
        <v>33000</v>
      </c>
      <c r="R174" s="424">
        <f t="shared" si="164"/>
        <v>75000</v>
      </c>
      <c r="S174" s="424">
        <f t="shared" si="165"/>
        <v>42374.335039999998</v>
      </c>
      <c r="T174" s="424">
        <f t="shared" si="174"/>
        <v>0</v>
      </c>
      <c r="U174" s="424"/>
      <c r="V174" s="424">
        <f t="shared" si="168"/>
        <v>171374.33504000001</v>
      </c>
      <c r="W174" s="431">
        <v>12</v>
      </c>
      <c r="X174" s="424">
        <f t="shared" si="169"/>
        <v>14281.194586666699</v>
      </c>
      <c r="Y174" s="427"/>
      <c r="Z174" s="873">
        <f t="shared" si="170"/>
        <v>14281.194586666699</v>
      </c>
      <c r="AA174" s="753">
        <v>7492.4192000000003</v>
      </c>
      <c r="AB174" s="753">
        <f t="shared" si="173"/>
        <v>6788.7753866666699</v>
      </c>
      <c r="AC174" s="436"/>
      <c r="AD174" s="436"/>
      <c r="AE174" s="436"/>
    </row>
    <row r="175" spans="1:31" ht="14.25" x14ac:dyDescent="0.15">
      <c r="A175" s="421">
        <v>159</v>
      </c>
      <c r="B175" s="597" t="s">
        <v>358</v>
      </c>
      <c r="C175" s="881">
        <v>173356.75</v>
      </c>
      <c r="D175" s="423">
        <v>12</v>
      </c>
      <c r="E175" s="424">
        <f t="shared" si="156"/>
        <v>2080281</v>
      </c>
      <c r="F175" s="424"/>
      <c r="G175" s="425">
        <v>140502.48000000001</v>
      </c>
      <c r="H175" s="427"/>
      <c r="I175" s="424">
        <f t="shared" si="157"/>
        <v>1939778.52</v>
      </c>
      <c r="J175" s="424">
        <v>200000</v>
      </c>
      <c r="K175" s="424">
        <v>0.2</v>
      </c>
      <c r="L175" s="424">
        <f t="shared" si="158"/>
        <v>387955.70400000003</v>
      </c>
      <c r="M175" s="424">
        <f t="shared" si="159"/>
        <v>587955.70400000003</v>
      </c>
      <c r="N175" s="424">
        <f t="shared" si="160"/>
        <v>728458.18400000001</v>
      </c>
      <c r="O175" s="424">
        <f t="shared" si="161"/>
        <v>1351822.8160000001</v>
      </c>
      <c r="P175" s="424">
        <f t="shared" si="162"/>
        <v>21000</v>
      </c>
      <c r="Q175" s="424">
        <f t="shared" si="163"/>
        <v>33000</v>
      </c>
      <c r="R175" s="424">
        <f t="shared" si="164"/>
        <v>75000</v>
      </c>
      <c r="S175" s="424">
        <f t="shared" si="165"/>
        <v>47846.335039999998</v>
      </c>
      <c r="T175" s="424">
        <f t="shared" si="174"/>
        <v>0</v>
      </c>
      <c r="U175" s="424"/>
      <c r="V175" s="424">
        <f t="shared" si="168"/>
        <v>176846.33504000001</v>
      </c>
      <c r="W175" s="431">
        <v>12</v>
      </c>
      <c r="X175" s="424">
        <f t="shared" si="169"/>
        <v>14737.194586666699</v>
      </c>
      <c r="Y175" s="427"/>
      <c r="Z175" s="873">
        <f t="shared" si="170"/>
        <v>14737.194586666699</v>
      </c>
      <c r="AA175" s="753">
        <v>7852.4192000000003</v>
      </c>
      <c r="AB175" s="753">
        <f t="shared" si="173"/>
        <v>6884.7753866666699</v>
      </c>
    </row>
    <row r="176" spans="1:31" ht="14.25" x14ac:dyDescent="0.15">
      <c r="A176" s="421">
        <v>160</v>
      </c>
      <c r="B176" s="313" t="s">
        <v>359</v>
      </c>
      <c r="C176" s="753">
        <v>170356.75</v>
      </c>
      <c r="D176" s="423">
        <v>12</v>
      </c>
      <c r="E176" s="424">
        <f t="shared" si="156"/>
        <v>2044281</v>
      </c>
      <c r="F176" s="574"/>
      <c r="G176" s="425">
        <v>140502.48000000001</v>
      </c>
      <c r="I176" s="424">
        <f t="shared" si="157"/>
        <v>1903778.52</v>
      </c>
      <c r="J176" s="424">
        <v>200000</v>
      </c>
      <c r="K176" s="424">
        <v>0.2</v>
      </c>
      <c r="L176" s="424">
        <f t="shared" si="158"/>
        <v>380755.70400000003</v>
      </c>
      <c r="M176" s="424">
        <f t="shared" si="159"/>
        <v>580755.70400000003</v>
      </c>
      <c r="N176" s="424">
        <f t="shared" si="160"/>
        <v>721258.18400000001</v>
      </c>
      <c r="O176" s="424">
        <f t="shared" si="161"/>
        <v>1323022.8160000001</v>
      </c>
      <c r="P176" s="424">
        <f t="shared" si="162"/>
        <v>21000</v>
      </c>
      <c r="Q176" s="424">
        <f t="shared" si="163"/>
        <v>33000</v>
      </c>
      <c r="R176" s="424">
        <f t="shared" si="164"/>
        <v>75000</v>
      </c>
      <c r="S176" s="424">
        <f t="shared" si="165"/>
        <v>42374.335039999998</v>
      </c>
      <c r="T176" s="424">
        <f t="shared" si="174"/>
        <v>0</v>
      </c>
      <c r="U176" s="424"/>
      <c r="V176" s="424">
        <f t="shared" si="168"/>
        <v>171374.33504000001</v>
      </c>
      <c r="W176" s="431">
        <v>12</v>
      </c>
      <c r="X176" s="424">
        <f t="shared" si="169"/>
        <v>14281.194586666699</v>
      </c>
      <c r="Z176" s="873">
        <f t="shared" si="170"/>
        <v>14281.194586666699</v>
      </c>
      <c r="AA176" s="753">
        <v>7492.4192000000003</v>
      </c>
      <c r="AB176" s="753">
        <f t="shared" si="173"/>
        <v>6788.7753866666699</v>
      </c>
    </row>
    <row r="177" spans="1:28" ht="14.25" x14ac:dyDescent="0.15">
      <c r="A177" s="421">
        <v>161</v>
      </c>
      <c r="B177" s="313" t="s">
        <v>360</v>
      </c>
      <c r="C177" s="753">
        <v>173356.75</v>
      </c>
      <c r="D177" s="423">
        <v>12</v>
      </c>
      <c r="E177" s="424">
        <f t="shared" si="156"/>
        <v>2080281</v>
      </c>
      <c r="F177" s="574"/>
      <c r="G177" s="425">
        <v>140502.48000000001</v>
      </c>
      <c r="I177" s="424">
        <f t="shared" si="157"/>
        <v>1939778.52</v>
      </c>
      <c r="J177" s="424">
        <v>200000</v>
      </c>
      <c r="K177" s="424">
        <v>0.2</v>
      </c>
      <c r="L177" s="424">
        <f t="shared" si="158"/>
        <v>387955.70400000003</v>
      </c>
      <c r="M177" s="424">
        <f t="shared" si="159"/>
        <v>587955.70400000003</v>
      </c>
      <c r="N177" s="424">
        <f t="shared" si="160"/>
        <v>728458.18400000001</v>
      </c>
      <c r="O177" s="424">
        <f t="shared" si="161"/>
        <v>1351822.8160000001</v>
      </c>
      <c r="P177" s="424">
        <f t="shared" si="162"/>
        <v>21000</v>
      </c>
      <c r="Q177" s="424">
        <f t="shared" si="163"/>
        <v>33000</v>
      </c>
      <c r="R177" s="424">
        <f t="shared" si="164"/>
        <v>75000</v>
      </c>
      <c r="S177" s="424">
        <f t="shared" si="165"/>
        <v>47846.335039999998</v>
      </c>
      <c r="T177" s="424">
        <f t="shared" si="174"/>
        <v>0</v>
      </c>
      <c r="U177" s="424"/>
      <c r="V177" s="424">
        <f t="shared" si="168"/>
        <v>176846.33504000001</v>
      </c>
      <c r="W177" s="431">
        <v>12</v>
      </c>
      <c r="X177" s="424">
        <f t="shared" si="169"/>
        <v>14737.194586666699</v>
      </c>
      <c r="Z177" s="873">
        <f t="shared" si="170"/>
        <v>14737.194586666699</v>
      </c>
      <c r="AA177" s="753">
        <v>7852.4192000000003</v>
      </c>
      <c r="AB177" s="753">
        <f t="shared" si="173"/>
        <v>6884.7753866666699</v>
      </c>
    </row>
    <row r="178" spans="1:28" ht="14.25" x14ac:dyDescent="0.15">
      <c r="A178" s="421">
        <v>162</v>
      </c>
      <c r="B178" s="597" t="s">
        <v>493</v>
      </c>
      <c r="C178" s="753"/>
      <c r="D178" s="423"/>
      <c r="E178" s="424"/>
      <c r="F178" s="574"/>
      <c r="G178" s="425"/>
      <c r="I178" s="424"/>
      <c r="J178" s="424"/>
      <c r="K178" s="424"/>
      <c r="L178" s="424"/>
      <c r="M178" s="424"/>
      <c r="N178" s="424">
        <f t="shared" si="160"/>
        <v>0</v>
      </c>
      <c r="O178" s="424">
        <f t="shared" si="161"/>
        <v>0</v>
      </c>
      <c r="P178" s="424">
        <f t="shared" si="162"/>
        <v>0</v>
      </c>
      <c r="Q178" s="424">
        <f t="shared" si="163"/>
        <v>0</v>
      </c>
      <c r="R178" s="424">
        <f t="shared" si="164"/>
        <v>0</v>
      </c>
      <c r="S178" s="424">
        <f t="shared" si="165"/>
        <v>0</v>
      </c>
      <c r="T178" s="424">
        <f t="shared" si="174"/>
        <v>0</v>
      </c>
      <c r="V178" s="424">
        <f t="shared" si="168"/>
        <v>0</v>
      </c>
      <c r="W178" s="431">
        <v>12</v>
      </c>
      <c r="X178" s="424">
        <f t="shared" si="169"/>
        <v>0</v>
      </c>
      <c r="Z178" s="873">
        <f t="shared" si="170"/>
        <v>0</v>
      </c>
      <c r="AA178" s="753"/>
      <c r="AB178" s="753"/>
    </row>
    <row r="179" spans="1:28" ht="14.25" x14ac:dyDescent="0.15">
      <c r="A179" s="421">
        <v>163</v>
      </c>
      <c r="B179" s="597" t="s">
        <v>361</v>
      </c>
      <c r="C179" s="753">
        <v>173356.75</v>
      </c>
      <c r="D179" s="423">
        <v>12</v>
      </c>
      <c r="E179" s="424">
        <f t="shared" si="156"/>
        <v>2080281</v>
      </c>
      <c r="F179" s="574"/>
      <c r="G179" s="425">
        <v>140502.48000000001</v>
      </c>
      <c r="I179" s="424">
        <f t="shared" si="157"/>
        <v>1939778.52</v>
      </c>
      <c r="J179" s="424">
        <v>200000</v>
      </c>
      <c r="K179" s="424">
        <v>0.2</v>
      </c>
      <c r="L179" s="424">
        <f t="shared" si="158"/>
        <v>387955.70400000003</v>
      </c>
      <c r="M179" s="424">
        <f t="shared" si="159"/>
        <v>587955.70400000003</v>
      </c>
      <c r="N179" s="424">
        <f t="shared" si="160"/>
        <v>728458.18400000001</v>
      </c>
      <c r="O179" s="424">
        <f t="shared" si="161"/>
        <v>1351822.8160000001</v>
      </c>
      <c r="P179" s="424">
        <f t="shared" si="162"/>
        <v>21000</v>
      </c>
      <c r="Q179" s="424">
        <f t="shared" si="163"/>
        <v>33000</v>
      </c>
      <c r="R179" s="424">
        <f t="shared" si="164"/>
        <v>75000</v>
      </c>
      <c r="S179" s="424">
        <f t="shared" si="165"/>
        <v>47846.335039999998</v>
      </c>
      <c r="T179" s="424">
        <f t="shared" si="174"/>
        <v>0</v>
      </c>
      <c r="V179" s="424">
        <f t="shared" si="168"/>
        <v>176846.33504000001</v>
      </c>
      <c r="W179" s="431">
        <v>12</v>
      </c>
      <c r="X179" s="424">
        <f t="shared" si="169"/>
        <v>14737.194586666699</v>
      </c>
      <c r="Z179" s="873">
        <f t="shared" si="170"/>
        <v>14737.194586666699</v>
      </c>
      <c r="AA179" s="753">
        <v>7852.4192000000003</v>
      </c>
      <c r="AB179" s="753">
        <f t="shared" si="173"/>
        <v>6884.7753866666699</v>
      </c>
    </row>
    <row r="180" spans="1:28" ht="14.25" x14ac:dyDescent="0.15">
      <c r="A180" s="421">
        <v>164</v>
      </c>
      <c r="B180" s="313" t="s">
        <v>362</v>
      </c>
      <c r="C180" s="753">
        <v>170495.66666666701</v>
      </c>
      <c r="D180" s="423">
        <v>12</v>
      </c>
      <c r="E180" s="424">
        <f t="shared" si="156"/>
        <v>2045948</v>
      </c>
      <c r="F180" s="574"/>
      <c r="G180" s="425">
        <v>137755.84</v>
      </c>
      <c r="I180" s="424">
        <f t="shared" si="157"/>
        <v>1908192.16</v>
      </c>
      <c r="J180" s="424">
        <v>200000</v>
      </c>
      <c r="K180" s="424">
        <v>0.2</v>
      </c>
      <c r="L180" s="424">
        <f t="shared" si="158"/>
        <v>381638.43200000102</v>
      </c>
      <c r="M180" s="424">
        <f t="shared" si="159"/>
        <v>581638.43200000096</v>
      </c>
      <c r="N180" s="424">
        <f t="shared" si="160"/>
        <v>719394.27200000104</v>
      </c>
      <c r="O180" s="424">
        <f t="shared" si="161"/>
        <v>1326553.7279999999</v>
      </c>
      <c r="P180" s="424">
        <f t="shared" si="162"/>
        <v>21000</v>
      </c>
      <c r="Q180" s="424">
        <f t="shared" si="163"/>
        <v>33000</v>
      </c>
      <c r="R180" s="424">
        <f t="shared" si="164"/>
        <v>75000</v>
      </c>
      <c r="S180" s="424">
        <f t="shared" si="165"/>
        <v>43045.208320000602</v>
      </c>
      <c r="T180" s="424">
        <f t="shared" si="174"/>
        <v>0</v>
      </c>
      <c r="V180" s="424">
        <f t="shared" si="168"/>
        <v>172045.20832000099</v>
      </c>
      <c r="W180" s="431">
        <v>12</v>
      </c>
      <c r="X180" s="424">
        <f t="shared" si="169"/>
        <v>14337.100693333399</v>
      </c>
      <c r="Z180" s="873">
        <f t="shared" si="170"/>
        <v>14337.100693333399</v>
      </c>
      <c r="AA180" s="753">
        <v>7571.1476000000002</v>
      </c>
      <c r="AB180" s="753">
        <f t="shared" si="173"/>
        <v>6765.9530933333899</v>
      </c>
    </row>
    <row r="181" spans="1:28" ht="14.25" x14ac:dyDescent="0.15">
      <c r="A181" s="421">
        <v>165</v>
      </c>
      <c r="B181" s="313" t="s">
        <v>365</v>
      </c>
      <c r="C181" s="753">
        <v>134014.43</v>
      </c>
      <c r="D181" s="423">
        <v>12</v>
      </c>
      <c r="E181" s="424">
        <f t="shared" si="156"/>
        <v>1608173.16</v>
      </c>
      <c r="F181" s="574"/>
      <c r="G181" s="425">
        <v>132262.56</v>
      </c>
      <c r="I181" s="424">
        <f t="shared" si="157"/>
        <v>1475910.6</v>
      </c>
      <c r="J181" s="424">
        <v>200000</v>
      </c>
      <c r="K181" s="424">
        <v>0.2</v>
      </c>
      <c r="L181" s="424">
        <f t="shared" si="158"/>
        <v>295182.12</v>
      </c>
      <c r="M181" s="424">
        <f t="shared" si="159"/>
        <v>495182.12</v>
      </c>
      <c r="N181" s="424">
        <f t="shared" si="160"/>
        <v>627444.68000000005</v>
      </c>
      <c r="O181" s="424">
        <f t="shared" si="161"/>
        <v>980728.48</v>
      </c>
      <c r="P181" s="424">
        <f t="shared" si="162"/>
        <v>21000</v>
      </c>
      <c r="Q181" s="424">
        <f t="shared" si="163"/>
        <v>33000</v>
      </c>
      <c r="R181" s="424">
        <f t="shared" si="164"/>
        <v>57109.271999999997</v>
      </c>
      <c r="S181" s="424">
        <f t="shared" si="165"/>
        <v>0</v>
      </c>
      <c r="T181" s="424">
        <f t="shared" si="174"/>
        <v>0</v>
      </c>
      <c r="V181" s="424">
        <f t="shared" si="168"/>
        <v>111109.272</v>
      </c>
      <c r="W181" s="431">
        <v>12</v>
      </c>
      <c r="X181" s="424">
        <f t="shared" si="169"/>
        <v>9259.1059999999998</v>
      </c>
      <c r="Z181" s="873">
        <f t="shared" si="170"/>
        <v>9259.1059999999998</v>
      </c>
      <c r="AA181" s="753">
        <v>3685.06</v>
      </c>
      <c r="AB181" s="753">
        <f t="shared" si="173"/>
        <v>5574.0460000000003</v>
      </c>
    </row>
    <row r="182" spans="1:28" ht="14.25" x14ac:dyDescent="0.15">
      <c r="A182" s="421">
        <v>166</v>
      </c>
      <c r="B182" s="313" t="s">
        <v>367</v>
      </c>
      <c r="C182" s="753">
        <v>156912.66666666701</v>
      </c>
      <c r="D182" s="423">
        <v>12</v>
      </c>
      <c r="E182" s="424">
        <f t="shared" si="156"/>
        <v>1882952</v>
      </c>
      <c r="F182" s="574"/>
      <c r="G182" s="425">
        <v>129516.16</v>
      </c>
      <c r="I182" s="424">
        <f t="shared" si="157"/>
        <v>1753435.84</v>
      </c>
      <c r="J182" s="424">
        <v>200000</v>
      </c>
      <c r="K182" s="424">
        <v>0.2</v>
      </c>
      <c r="L182" s="424">
        <f t="shared" si="158"/>
        <v>350687.16800000099</v>
      </c>
      <c r="M182" s="424">
        <f t="shared" si="159"/>
        <v>550687.16800000099</v>
      </c>
      <c r="N182" s="424">
        <f t="shared" si="160"/>
        <v>680203.32800000103</v>
      </c>
      <c r="O182" s="424">
        <f t="shared" si="161"/>
        <v>1202748.672</v>
      </c>
      <c r="P182" s="424">
        <f t="shared" si="162"/>
        <v>21000</v>
      </c>
      <c r="Q182" s="424">
        <f t="shared" si="163"/>
        <v>33000</v>
      </c>
      <c r="R182" s="424">
        <f t="shared" si="164"/>
        <v>75000</v>
      </c>
      <c r="S182" s="424">
        <f t="shared" si="165"/>
        <v>19522.247680000601</v>
      </c>
      <c r="T182" s="424">
        <f t="shared" si="174"/>
        <v>0</v>
      </c>
      <c r="V182" s="424">
        <f t="shared" si="168"/>
        <v>148522.24768000099</v>
      </c>
      <c r="W182" s="431">
        <v>12</v>
      </c>
      <c r="X182" s="424">
        <f t="shared" si="169"/>
        <v>12376.8539733334</v>
      </c>
      <c r="Z182" s="873">
        <f t="shared" si="170"/>
        <v>12376.8539733334</v>
      </c>
      <c r="AA182" s="753">
        <v>6435.0616</v>
      </c>
      <c r="AB182" s="753">
        <f t="shared" si="173"/>
        <v>5941.7923733333801</v>
      </c>
    </row>
    <row r="183" spans="1:28" ht="14.25" x14ac:dyDescent="0.15">
      <c r="A183" s="421">
        <v>167</v>
      </c>
      <c r="B183" s="313" t="s">
        <v>369</v>
      </c>
      <c r="C183" s="753">
        <v>148049.41666666701</v>
      </c>
      <c r="D183" s="423">
        <v>12</v>
      </c>
      <c r="E183" s="424">
        <f t="shared" si="156"/>
        <v>1776593</v>
      </c>
      <c r="F183" s="574"/>
      <c r="G183" s="425">
        <v>123887.44</v>
      </c>
      <c r="I183" s="424">
        <f t="shared" si="157"/>
        <v>1652705.56</v>
      </c>
      <c r="J183" s="424">
        <v>200000</v>
      </c>
      <c r="K183" s="424">
        <v>0.2</v>
      </c>
      <c r="L183" s="424">
        <f t="shared" si="158"/>
        <v>330541.11200000101</v>
      </c>
      <c r="M183" s="424">
        <f t="shared" si="159"/>
        <v>530541.11200000101</v>
      </c>
      <c r="N183" s="424">
        <f t="shared" si="160"/>
        <v>654428.55200000096</v>
      </c>
      <c r="O183" s="424">
        <f t="shared" si="161"/>
        <v>1122164.4480000001</v>
      </c>
      <c r="P183" s="424">
        <f t="shared" si="162"/>
        <v>21000</v>
      </c>
      <c r="Q183" s="424">
        <f t="shared" si="163"/>
        <v>33000</v>
      </c>
      <c r="R183" s="424">
        <f t="shared" si="164"/>
        <v>75000</v>
      </c>
      <c r="S183" s="424">
        <f t="shared" si="165"/>
        <v>4211.2451200006399</v>
      </c>
      <c r="T183" s="424">
        <f t="shared" si="174"/>
        <v>0</v>
      </c>
      <c r="V183" s="424">
        <f t="shared" si="168"/>
        <v>133211.245120001</v>
      </c>
      <c r="W183" s="431">
        <v>12</v>
      </c>
      <c r="X183" s="424">
        <f t="shared" si="169"/>
        <v>11100.937093333399</v>
      </c>
      <c r="Z183" s="873">
        <f t="shared" si="170"/>
        <v>11100.937093333399</v>
      </c>
      <c r="AA183" s="753">
        <v>5230.0987999999998</v>
      </c>
      <c r="AB183" s="753">
        <f t="shared" si="173"/>
        <v>5870.8382933333896</v>
      </c>
    </row>
    <row r="184" spans="1:28" ht="14.25" x14ac:dyDescent="0.15">
      <c r="A184" s="421">
        <v>168</v>
      </c>
      <c r="B184" s="313" t="s">
        <v>372</v>
      </c>
      <c r="C184" s="753">
        <v>148049.41666666701</v>
      </c>
      <c r="D184" s="423">
        <v>12</v>
      </c>
      <c r="E184" s="424">
        <f t="shared" si="156"/>
        <v>1776593</v>
      </c>
      <c r="F184" s="574"/>
      <c r="G184" s="425">
        <v>123887.44</v>
      </c>
      <c r="I184" s="424">
        <f t="shared" si="157"/>
        <v>1652705.56</v>
      </c>
      <c r="J184" s="424">
        <v>200000</v>
      </c>
      <c r="K184" s="424">
        <v>0.2</v>
      </c>
      <c r="L184" s="424">
        <f t="shared" si="158"/>
        <v>330541.11200000101</v>
      </c>
      <c r="M184" s="424">
        <f t="shared" si="159"/>
        <v>530541.11200000101</v>
      </c>
      <c r="N184" s="424">
        <f t="shared" si="160"/>
        <v>654428.55200000096</v>
      </c>
      <c r="O184" s="424">
        <f t="shared" si="161"/>
        <v>1122164.4480000001</v>
      </c>
      <c r="P184" s="424">
        <f t="shared" si="162"/>
        <v>21000</v>
      </c>
      <c r="Q184" s="424">
        <f t="shared" si="163"/>
        <v>33000</v>
      </c>
      <c r="R184" s="424">
        <f t="shared" si="164"/>
        <v>75000</v>
      </c>
      <c r="S184" s="424">
        <f t="shared" si="165"/>
        <v>4211.2451200006399</v>
      </c>
      <c r="T184" s="424">
        <f t="shared" si="174"/>
        <v>0</v>
      </c>
      <c r="V184" s="424">
        <f t="shared" si="168"/>
        <v>133211.245120001</v>
      </c>
      <c r="W184" s="431">
        <v>12</v>
      </c>
      <c r="X184" s="424">
        <f t="shared" si="169"/>
        <v>11100.937093333399</v>
      </c>
      <c r="Z184" s="873">
        <f t="shared" si="170"/>
        <v>11100.937093333399</v>
      </c>
      <c r="AA184" s="753">
        <v>5230.0987999999998</v>
      </c>
      <c r="AB184" s="753">
        <f t="shared" si="173"/>
        <v>5870.8382933333896</v>
      </c>
    </row>
    <row r="185" spans="1:28" ht="14.25" x14ac:dyDescent="0.15">
      <c r="A185" s="421">
        <v>169</v>
      </c>
      <c r="B185" s="313" t="s">
        <v>373</v>
      </c>
      <c r="C185" s="753">
        <v>148049.41666666701</v>
      </c>
      <c r="D185" s="423">
        <v>12</v>
      </c>
      <c r="E185" s="424">
        <f t="shared" si="156"/>
        <v>1776593</v>
      </c>
      <c r="F185" s="574"/>
      <c r="G185" s="444">
        <v>123887.44</v>
      </c>
      <c r="I185" s="443">
        <f t="shared" si="157"/>
        <v>1652705.56</v>
      </c>
      <c r="J185" s="424">
        <v>200000</v>
      </c>
      <c r="K185" s="424">
        <v>0.2</v>
      </c>
      <c r="L185" s="424">
        <f t="shared" si="158"/>
        <v>330541.11200000101</v>
      </c>
      <c r="M185" s="424">
        <f t="shared" si="159"/>
        <v>530541.11200000101</v>
      </c>
      <c r="N185" s="424">
        <f t="shared" si="160"/>
        <v>654428.55200000096</v>
      </c>
      <c r="O185" s="424">
        <f t="shared" si="161"/>
        <v>1122164.4480000001</v>
      </c>
      <c r="P185" s="424">
        <f t="shared" si="162"/>
        <v>21000</v>
      </c>
      <c r="Q185" s="424">
        <f t="shared" si="163"/>
        <v>33000</v>
      </c>
      <c r="R185" s="424">
        <f t="shared" si="164"/>
        <v>75000</v>
      </c>
      <c r="S185" s="424">
        <f t="shared" si="165"/>
        <v>4211.2451200006399</v>
      </c>
      <c r="T185" s="424">
        <f t="shared" si="174"/>
        <v>0</v>
      </c>
      <c r="V185" s="424">
        <f t="shared" si="168"/>
        <v>133211.245120001</v>
      </c>
      <c r="W185" s="431">
        <v>12</v>
      </c>
      <c r="X185" s="424">
        <f t="shared" si="169"/>
        <v>11100.937093333399</v>
      </c>
      <c r="Z185" s="873">
        <f t="shared" si="170"/>
        <v>11100.937093333399</v>
      </c>
      <c r="AA185" s="753">
        <v>5230.0987999999998</v>
      </c>
      <c r="AB185" s="753">
        <f t="shared" si="173"/>
        <v>5870.8382933333896</v>
      </c>
    </row>
    <row r="186" spans="1:28" ht="14.25" x14ac:dyDescent="0.15">
      <c r="A186" s="421">
        <v>170</v>
      </c>
      <c r="B186" s="313" t="s">
        <v>374</v>
      </c>
      <c r="C186" s="753">
        <v>162634.66666666701</v>
      </c>
      <c r="D186" s="423">
        <v>12</v>
      </c>
      <c r="E186" s="424">
        <f t="shared" si="156"/>
        <v>1951616</v>
      </c>
      <c r="F186" s="574"/>
      <c r="G186" s="444">
        <v>135009.28</v>
      </c>
      <c r="H186" s="446"/>
      <c r="I186" s="443">
        <f t="shared" si="157"/>
        <v>1816606.72</v>
      </c>
      <c r="J186" s="443">
        <v>200000</v>
      </c>
      <c r="K186" s="443">
        <v>0.2</v>
      </c>
      <c r="L186" s="443">
        <f t="shared" si="158"/>
        <v>363321.34400000097</v>
      </c>
      <c r="M186" s="443">
        <f t="shared" si="159"/>
        <v>563321.34400000097</v>
      </c>
      <c r="N186" s="443">
        <f t="shared" si="160"/>
        <v>698330.624000001</v>
      </c>
      <c r="O186" s="443">
        <f t="shared" si="161"/>
        <v>1253285.3759999999</v>
      </c>
      <c r="P186" s="443">
        <f t="shared" si="162"/>
        <v>21000</v>
      </c>
      <c r="Q186" s="443">
        <f t="shared" si="163"/>
        <v>33000</v>
      </c>
      <c r="R186" s="443">
        <f t="shared" si="164"/>
        <v>75000</v>
      </c>
      <c r="S186" s="443">
        <f t="shared" si="165"/>
        <v>29124.2214400007</v>
      </c>
      <c r="T186" s="424">
        <f t="shared" si="174"/>
        <v>0</v>
      </c>
      <c r="V186" s="443">
        <f t="shared" si="168"/>
        <v>158124.22144000101</v>
      </c>
      <c r="W186" s="457">
        <v>12</v>
      </c>
      <c r="X186" s="443">
        <f t="shared" si="169"/>
        <v>13177.0184533334</v>
      </c>
      <c r="Z186" s="878">
        <f t="shared" si="170"/>
        <v>13177.0184533334</v>
      </c>
      <c r="AA186" s="753">
        <v>6689.8760000000002</v>
      </c>
      <c r="AB186" s="753">
        <f t="shared" si="173"/>
        <v>6487.1424533333902</v>
      </c>
    </row>
    <row r="187" spans="1:28" ht="21.95" customHeight="1" x14ac:dyDescent="0.15">
      <c r="A187" s="421">
        <v>171</v>
      </c>
      <c r="B187" s="313" t="s">
        <v>377</v>
      </c>
      <c r="C187" s="753">
        <v>162634.66666666701</v>
      </c>
      <c r="D187" s="423">
        <v>12</v>
      </c>
      <c r="E187" s="424">
        <f t="shared" si="156"/>
        <v>1951616</v>
      </c>
      <c r="F187" s="574"/>
      <c r="G187" s="444">
        <v>135009.28</v>
      </c>
      <c r="H187" s="446"/>
      <c r="I187" s="443">
        <f t="shared" si="157"/>
        <v>1816606.72</v>
      </c>
      <c r="J187" s="443">
        <v>200000</v>
      </c>
      <c r="K187" s="443">
        <v>0.2</v>
      </c>
      <c r="L187" s="443">
        <f t="shared" si="158"/>
        <v>363321.34400000097</v>
      </c>
      <c r="M187" s="443">
        <f t="shared" si="159"/>
        <v>563321.34400000097</v>
      </c>
      <c r="N187" s="443">
        <f t="shared" si="160"/>
        <v>698330.624000001</v>
      </c>
      <c r="O187" s="443">
        <f t="shared" si="161"/>
        <v>1253285.3759999999</v>
      </c>
      <c r="P187" s="443">
        <f t="shared" si="162"/>
        <v>21000</v>
      </c>
      <c r="Q187" s="443">
        <f t="shared" si="163"/>
        <v>33000</v>
      </c>
      <c r="R187" s="443">
        <f t="shared" si="164"/>
        <v>75000</v>
      </c>
      <c r="S187" s="443">
        <f t="shared" si="165"/>
        <v>29124.2214400007</v>
      </c>
      <c r="T187" s="424">
        <f t="shared" si="174"/>
        <v>0</v>
      </c>
      <c r="V187" s="443">
        <f t="shared" si="168"/>
        <v>158124.22144000101</v>
      </c>
      <c r="W187" s="457">
        <v>12</v>
      </c>
      <c r="X187" s="443">
        <f t="shared" si="169"/>
        <v>13177.0184533334</v>
      </c>
      <c r="Z187" s="878">
        <f t="shared" si="170"/>
        <v>13177.0184533334</v>
      </c>
      <c r="AA187" s="753">
        <v>6689.8760000000002</v>
      </c>
      <c r="AB187" s="753">
        <f t="shared" si="173"/>
        <v>6487.1424533333902</v>
      </c>
    </row>
    <row r="188" spans="1:28" ht="26.25" customHeight="1" x14ac:dyDescent="0.15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111</v>
      </c>
      <c r="W188" s="572"/>
      <c r="X188" s="877">
        <f>SUM(X6:X187)</f>
        <v>13695499.5388867</v>
      </c>
      <c r="Y188" s="877"/>
      <c r="Z188" s="879">
        <f>SUM(Z6:Z187)</f>
        <v>13695499.5388867</v>
      </c>
      <c r="AA188" s="879">
        <f>SUM(AA6:AA187)</f>
        <v>10905235.836174799</v>
      </c>
      <c r="AB188" s="880">
        <f>SUM(AB6:AB187)</f>
        <v>2790263.7027118402</v>
      </c>
    </row>
    <row r="189" spans="1:28" ht="18" x14ac:dyDescent="0.2">
      <c r="B189" s="31"/>
      <c r="C189" s="436"/>
      <c r="F189" s="455"/>
      <c r="Z189" s="259"/>
    </row>
    <row r="190" spans="1:28" x14ac:dyDescent="0.15">
      <c r="F190" s="456"/>
      <c r="Z190" s="573"/>
    </row>
    <row r="191" spans="1:28" x14ac:dyDescent="0.15">
      <c r="Z191" s="259"/>
    </row>
    <row r="192" spans="1:28" x14ac:dyDescent="0.15">
      <c r="Z192" s="259"/>
    </row>
    <row r="193" spans="26:26" x14ac:dyDescent="0.15">
      <c r="Z193" s="259"/>
    </row>
    <row r="194" spans="26:26" x14ac:dyDescent="0.15">
      <c r="Z194" s="259"/>
    </row>
    <row r="195" spans="26:26" x14ac:dyDescent="0.15">
      <c r="Z195" s="259"/>
    </row>
    <row r="196" spans="26:26" x14ac:dyDescent="0.15">
      <c r="Z196" s="259"/>
    </row>
    <row r="197" spans="26:26" x14ac:dyDescent="0.15">
      <c r="Z197" s="259"/>
    </row>
    <row r="198" spans="26:26" x14ac:dyDescent="0.15">
      <c r="Z198" s="259"/>
    </row>
    <row r="199" spans="26:26" x14ac:dyDescent="0.15">
      <c r="Z199" s="259"/>
    </row>
    <row r="200" spans="26:26" x14ac:dyDescent="0.15">
      <c r="Z200" s="259"/>
    </row>
    <row r="201" spans="26:26" x14ac:dyDescent="0.15">
      <c r="Z201" s="259"/>
    </row>
    <row r="202" spans="26:26" x14ac:dyDescent="0.15">
      <c r="Z202" s="259"/>
    </row>
    <row r="203" spans="26:26" x14ac:dyDescent="0.15">
      <c r="Z203" s="259"/>
    </row>
    <row r="204" spans="26:26" x14ac:dyDescent="0.15">
      <c r="Z204" s="259"/>
    </row>
    <row r="205" spans="26:26" x14ac:dyDescent="0.15">
      <c r="Z205" s="259"/>
    </row>
    <row r="206" spans="26:26" x14ac:dyDescent="0.15">
      <c r="Z206" s="259"/>
    </row>
    <row r="207" spans="26:26" x14ac:dyDescent="0.15">
      <c r="Z207" s="259"/>
    </row>
    <row r="208" spans="26:26" x14ac:dyDescent="0.15">
      <c r="Z208" s="259"/>
    </row>
    <row r="209" spans="26:26" x14ac:dyDescent="0.15">
      <c r="Z209" s="259"/>
    </row>
    <row r="210" spans="26:26" x14ac:dyDescent="0.15">
      <c r="Z210" s="259"/>
    </row>
    <row r="211" spans="26:26" x14ac:dyDescent="0.15">
      <c r="Z211" s="259"/>
    </row>
    <row r="212" spans="26:26" x14ac:dyDescent="0.15">
      <c r="Z212" s="259"/>
    </row>
    <row r="213" spans="26:26" x14ac:dyDescent="0.15">
      <c r="Z213" s="259"/>
    </row>
    <row r="214" spans="26:26" x14ac:dyDescent="0.15">
      <c r="Z214" s="259"/>
    </row>
    <row r="215" spans="26:26" x14ac:dyDescent="0.15">
      <c r="Z215" s="259"/>
    </row>
    <row r="216" spans="26:26" x14ac:dyDescent="0.15">
      <c r="Z216" s="259"/>
    </row>
    <row r="217" spans="26:26" x14ac:dyDescent="0.15">
      <c r="Z217" s="259"/>
    </row>
    <row r="218" spans="26:26" x14ac:dyDescent="0.15">
      <c r="Z218" s="259"/>
    </row>
    <row r="219" spans="26:26" x14ac:dyDescent="0.15">
      <c r="Z219" s="259"/>
    </row>
    <row r="220" spans="26:26" x14ac:dyDescent="0.15">
      <c r="Z220" s="259"/>
    </row>
    <row r="221" spans="26:26" x14ac:dyDescent="0.15">
      <c r="Z221" s="259"/>
    </row>
    <row r="222" spans="26:26" x14ac:dyDescent="0.15">
      <c r="Z222" s="259"/>
    </row>
    <row r="223" spans="26:26" x14ac:dyDescent="0.15">
      <c r="Z223" s="259"/>
    </row>
    <row r="224" spans="26:26" x14ac:dyDescent="0.15">
      <c r="Z224" s="259"/>
    </row>
    <row r="225" spans="26:26" x14ac:dyDescent="0.15">
      <c r="Z225" s="259"/>
    </row>
    <row r="226" spans="26:26" x14ac:dyDescent="0.15">
      <c r="Z226" s="259"/>
    </row>
    <row r="227" spans="26:26" x14ac:dyDescent="0.15">
      <c r="Z227" s="259"/>
    </row>
    <row r="228" spans="26:26" x14ac:dyDescent="0.15">
      <c r="Z228" s="259"/>
    </row>
    <row r="229" spans="26:26" x14ac:dyDescent="0.15">
      <c r="Z229" s="259"/>
    </row>
    <row r="230" spans="26:26" x14ac:dyDescent="0.15">
      <c r="Z230" s="259"/>
    </row>
    <row r="231" spans="26:26" x14ac:dyDescent="0.15">
      <c r="Z231" s="259"/>
    </row>
    <row r="232" spans="26:26" x14ac:dyDescent="0.15">
      <c r="Z232" s="259"/>
    </row>
    <row r="233" spans="26:26" x14ac:dyDescent="0.15">
      <c r="Z233" s="259"/>
    </row>
    <row r="234" spans="26:26" x14ac:dyDescent="0.15">
      <c r="Z234" s="259"/>
    </row>
    <row r="235" spans="26:26" x14ac:dyDescent="0.15">
      <c r="Z235" s="259"/>
    </row>
    <row r="236" spans="26:26" x14ac:dyDescent="0.15">
      <c r="Z236" s="259"/>
    </row>
    <row r="237" spans="26:26" x14ac:dyDescent="0.15">
      <c r="Z237" s="259"/>
    </row>
    <row r="238" spans="26:26" x14ac:dyDescent="0.15">
      <c r="Z238" s="259"/>
    </row>
    <row r="239" spans="26:26" x14ac:dyDescent="0.15">
      <c r="Z239" s="259"/>
    </row>
    <row r="240" spans="26:26" x14ac:dyDescent="0.15">
      <c r="Z240" s="259"/>
    </row>
    <row r="241" spans="26:26" x14ac:dyDescent="0.15">
      <c r="Z241" s="259"/>
    </row>
    <row r="242" spans="26:26" x14ac:dyDescent="0.15">
      <c r="Z242" s="259"/>
    </row>
    <row r="243" spans="26:26" x14ac:dyDescent="0.15">
      <c r="Z243" s="259"/>
    </row>
    <row r="244" spans="26:26" x14ac:dyDescent="0.15">
      <c r="Z244" s="259"/>
    </row>
    <row r="245" spans="26:26" x14ac:dyDescent="0.15">
      <c r="Z245" s="259"/>
    </row>
    <row r="246" spans="26:26" x14ac:dyDescent="0.15">
      <c r="Z246" s="259"/>
    </row>
    <row r="247" spans="26:26" x14ac:dyDescent="0.15">
      <c r="Z247" s="259"/>
    </row>
    <row r="248" spans="26:26" x14ac:dyDescent="0.15">
      <c r="Z248" s="259"/>
    </row>
    <row r="249" spans="26:26" x14ac:dyDescent="0.15">
      <c r="Z249" s="259"/>
    </row>
    <row r="250" spans="26:26" x14ac:dyDescent="0.15">
      <c r="Z250" s="259"/>
    </row>
    <row r="251" spans="26:26" x14ac:dyDescent="0.15">
      <c r="Z251" s="259"/>
    </row>
    <row r="252" spans="26:26" x14ac:dyDescent="0.15">
      <c r="Z252" s="259"/>
    </row>
    <row r="253" spans="26:26" x14ac:dyDescent="0.15">
      <c r="Z253" s="259"/>
    </row>
    <row r="254" spans="26:26" x14ac:dyDescent="0.15">
      <c r="Z254" s="259"/>
    </row>
    <row r="255" spans="26:26" x14ac:dyDescent="0.15">
      <c r="Z255" s="259"/>
    </row>
    <row r="256" spans="26:26" x14ac:dyDescent="0.15">
      <c r="Z256" s="259"/>
    </row>
    <row r="257" spans="26:26" x14ac:dyDescent="0.15">
      <c r="Z257" s="259"/>
    </row>
    <row r="258" spans="26:26" x14ac:dyDescent="0.15">
      <c r="Z258" s="259"/>
    </row>
    <row r="259" spans="26:26" x14ac:dyDescent="0.15">
      <c r="Z259" s="259"/>
    </row>
    <row r="260" spans="26:26" x14ac:dyDescent="0.15">
      <c r="Z260" s="259"/>
    </row>
    <row r="261" spans="26:26" x14ac:dyDescent="0.15">
      <c r="Z261" s="259"/>
    </row>
    <row r="262" spans="26:26" x14ac:dyDescent="0.15">
      <c r="Z262" s="259"/>
    </row>
    <row r="263" spans="26:26" x14ac:dyDescent="0.15">
      <c r="Z263" s="259"/>
    </row>
    <row r="264" spans="26:26" x14ac:dyDescent="0.15">
      <c r="Z264" s="259"/>
    </row>
    <row r="265" spans="26:26" x14ac:dyDescent="0.15">
      <c r="Z265" s="259"/>
    </row>
    <row r="266" spans="26:26" x14ac:dyDescent="0.15">
      <c r="Z266" s="259"/>
    </row>
    <row r="267" spans="26:26" x14ac:dyDescent="0.15">
      <c r="Z267" s="259"/>
    </row>
    <row r="268" spans="26:26" x14ac:dyDescent="0.15">
      <c r="Z268" s="259"/>
    </row>
    <row r="269" spans="26:26" x14ac:dyDescent="0.15">
      <c r="Z269" s="259"/>
    </row>
    <row r="270" spans="26:26" x14ac:dyDescent="0.15">
      <c r="Z270" s="259"/>
    </row>
    <row r="271" spans="26:26" x14ac:dyDescent="0.15">
      <c r="Z271" s="259"/>
    </row>
    <row r="272" spans="26:26" x14ac:dyDescent="0.15">
      <c r="Z272" s="259"/>
    </row>
    <row r="273" spans="26:26" x14ac:dyDescent="0.15">
      <c r="Z273" s="259"/>
    </row>
    <row r="274" spans="26:26" x14ac:dyDescent="0.15">
      <c r="Z274" s="259"/>
    </row>
    <row r="275" spans="26:26" x14ac:dyDescent="0.15">
      <c r="Z275" s="259"/>
    </row>
    <row r="276" spans="26:26" x14ac:dyDescent="0.15">
      <c r="Z276" s="259"/>
    </row>
    <row r="277" spans="26:26" x14ac:dyDescent="0.15">
      <c r="Z277" s="259"/>
    </row>
    <row r="278" spans="26:26" x14ac:dyDescent="0.15">
      <c r="Z278" s="259"/>
    </row>
    <row r="279" spans="26:26" x14ac:dyDescent="0.15">
      <c r="Z279" s="259"/>
    </row>
    <row r="280" spans="26:26" x14ac:dyDescent="0.15">
      <c r="Z280" s="259"/>
    </row>
    <row r="281" spans="26:26" x14ac:dyDescent="0.15">
      <c r="Z281" s="259"/>
    </row>
    <row r="282" spans="26:26" x14ac:dyDescent="0.15">
      <c r="Z282" s="259"/>
    </row>
    <row r="283" spans="26:26" x14ac:dyDescent="0.15">
      <c r="Z283" s="259"/>
    </row>
    <row r="284" spans="26:26" x14ac:dyDescent="0.15">
      <c r="Z284" s="259"/>
    </row>
    <row r="285" spans="26:26" x14ac:dyDescent="0.15">
      <c r="Z285" s="259"/>
    </row>
    <row r="286" spans="26:26" x14ac:dyDescent="0.15">
      <c r="Z286" s="259"/>
    </row>
    <row r="287" spans="26:26" x14ac:dyDescent="0.15">
      <c r="Z287" s="259"/>
    </row>
    <row r="288" spans="26:26" x14ac:dyDescent="0.15">
      <c r="Z288" s="259"/>
    </row>
    <row r="289" spans="26:26" x14ac:dyDescent="0.15">
      <c r="Z289" s="259"/>
    </row>
    <row r="290" spans="26:26" x14ac:dyDescent="0.15">
      <c r="Z290" s="259"/>
    </row>
    <row r="291" spans="26:26" x14ac:dyDescent="0.15">
      <c r="Z291" s="259"/>
    </row>
    <row r="292" spans="26:26" x14ac:dyDescent="0.15">
      <c r="Z292" s="259"/>
    </row>
    <row r="293" spans="26:26" x14ac:dyDescent="0.15">
      <c r="Z293" s="259"/>
    </row>
    <row r="294" spans="26:26" x14ac:dyDescent="0.15">
      <c r="Z294" s="259"/>
    </row>
    <row r="295" spans="26:26" x14ac:dyDescent="0.15">
      <c r="Z295" s="259"/>
    </row>
    <row r="296" spans="26:26" x14ac:dyDescent="0.15">
      <c r="Z296" s="259"/>
    </row>
    <row r="297" spans="26:26" x14ac:dyDescent="0.15">
      <c r="Z297" s="259"/>
    </row>
    <row r="298" spans="26:26" x14ac:dyDescent="0.15">
      <c r="Z298" s="259"/>
    </row>
    <row r="299" spans="26:26" x14ac:dyDescent="0.15">
      <c r="Z299" s="259"/>
    </row>
    <row r="300" spans="26:26" x14ac:dyDescent="0.15">
      <c r="Z300" s="259"/>
    </row>
    <row r="301" spans="26:26" x14ac:dyDescent="0.15">
      <c r="Z301" s="259"/>
    </row>
    <row r="302" spans="26:26" x14ac:dyDescent="0.15">
      <c r="Z302" s="259"/>
    </row>
    <row r="303" spans="26:26" x14ac:dyDescent="0.15">
      <c r="Z303" s="259"/>
    </row>
    <row r="304" spans="26:26" x14ac:dyDescent="0.15">
      <c r="Z304" s="259"/>
    </row>
    <row r="305" spans="26:26" x14ac:dyDescent="0.15">
      <c r="Z305" s="259"/>
    </row>
    <row r="306" spans="26:26" x14ac:dyDescent="0.15">
      <c r="Z306" s="259"/>
    </row>
    <row r="307" spans="26:26" x14ac:dyDescent="0.15">
      <c r="Z307" s="259"/>
    </row>
    <row r="308" spans="26:26" x14ac:dyDescent="0.15">
      <c r="Z308" s="259"/>
    </row>
    <row r="309" spans="26:26" x14ac:dyDescent="0.15">
      <c r="Z309" s="259"/>
    </row>
    <row r="310" spans="26:26" x14ac:dyDescent="0.15">
      <c r="Z310" s="259"/>
    </row>
    <row r="311" spans="26:26" x14ac:dyDescent="0.15">
      <c r="Z311" s="259"/>
    </row>
    <row r="312" spans="26:26" x14ac:dyDescent="0.15">
      <c r="Z312" s="259"/>
    </row>
    <row r="313" spans="26:26" x14ac:dyDescent="0.15">
      <c r="Z313" s="259"/>
    </row>
    <row r="314" spans="26:26" x14ac:dyDescent="0.15">
      <c r="Z314" s="259"/>
    </row>
    <row r="315" spans="26:26" x14ac:dyDescent="0.15">
      <c r="Z315" s="259"/>
    </row>
    <row r="316" spans="26:26" x14ac:dyDescent="0.15">
      <c r="Z316" s="259"/>
    </row>
    <row r="317" spans="26:26" x14ac:dyDescent="0.15">
      <c r="Z317" s="259"/>
    </row>
    <row r="318" spans="26:26" x14ac:dyDescent="0.15">
      <c r="Z318" s="259"/>
    </row>
    <row r="319" spans="26:26" x14ac:dyDescent="0.15">
      <c r="Z319" s="259"/>
    </row>
    <row r="320" spans="26:26" x14ac:dyDescent="0.15">
      <c r="Z320" s="259"/>
    </row>
    <row r="321" spans="26:26" x14ac:dyDescent="0.15">
      <c r="Z321" s="259"/>
    </row>
    <row r="322" spans="26:26" x14ac:dyDescent="0.15">
      <c r="Z322" s="259"/>
    </row>
    <row r="323" spans="26:26" x14ac:dyDescent="0.15">
      <c r="Z323" s="259"/>
    </row>
    <row r="324" spans="26:26" x14ac:dyDescent="0.15">
      <c r="Z324" s="259"/>
    </row>
    <row r="325" spans="26:26" x14ac:dyDescent="0.15">
      <c r="Z325" s="259"/>
    </row>
    <row r="326" spans="26:26" x14ac:dyDescent="0.15">
      <c r="Z326" s="259"/>
    </row>
    <row r="327" spans="26:26" x14ac:dyDescent="0.15">
      <c r="Z327" s="259"/>
    </row>
    <row r="328" spans="26:26" x14ac:dyDescent="0.15">
      <c r="Z328" s="259"/>
    </row>
    <row r="329" spans="26:26" x14ac:dyDescent="0.15">
      <c r="Z329" s="259"/>
    </row>
    <row r="330" spans="26:26" x14ac:dyDescent="0.15">
      <c r="Z330" s="259"/>
    </row>
    <row r="331" spans="26:26" x14ac:dyDescent="0.15">
      <c r="Z331" s="259"/>
    </row>
    <row r="332" spans="26:26" x14ac:dyDescent="0.15">
      <c r="Z332" s="259"/>
    </row>
    <row r="333" spans="26:26" x14ac:dyDescent="0.15">
      <c r="Z333" s="259"/>
    </row>
    <row r="334" spans="26:26" x14ac:dyDescent="0.15">
      <c r="Z334" s="259"/>
    </row>
    <row r="335" spans="26:26" x14ac:dyDescent="0.15">
      <c r="Z335" s="259"/>
    </row>
    <row r="336" spans="26:26" x14ac:dyDescent="0.15">
      <c r="Z336" s="259"/>
    </row>
    <row r="337" spans="26:26" x14ac:dyDescent="0.15">
      <c r="Z337" s="259"/>
    </row>
    <row r="338" spans="26:26" x14ac:dyDescent="0.15">
      <c r="Z338" s="259"/>
    </row>
    <row r="339" spans="26:26" x14ac:dyDescent="0.15">
      <c r="Z339" s="259"/>
    </row>
    <row r="340" spans="26:26" x14ac:dyDescent="0.15">
      <c r="Z340" s="259"/>
    </row>
    <row r="341" spans="26:26" x14ac:dyDescent="0.15">
      <c r="Z341" s="259"/>
    </row>
    <row r="342" spans="26:26" x14ac:dyDescent="0.15">
      <c r="Z342" s="259"/>
    </row>
    <row r="343" spans="26:26" x14ac:dyDescent="0.15">
      <c r="Z343" s="259"/>
    </row>
    <row r="344" spans="26:26" x14ac:dyDescent="0.15">
      <c r="Z344" s="259"/>
    </row>
    <row r="345" spans="26:26" x14ac:dyDescent="0.15">
      <c r="Z345" s="259"/>
    </row>
    <row r="346" spans="26:26" x14ac:dyDescent="0.15">
      <c r="Z346" s="259"/>
    </row>
    <row r="347" spans="26:26" x14ac:dyDescent="0.15">
      <c r="Z347" s="259"/>
    </row>
    <row r="348" spans="26:26" x14ac:dyDescent="0.15">
      <c r="Z348" s="259"/>
    </row>
    <row r="349" spans="26:26" x14ac:dyDescent="0.15">
      <c r="Z349" s="259"/>
    </row>
    <row r="350" spans="26:26" x14ac:dyDescent="0.15">
      <c r="Z350" s="259"/>
    </row>
    <row r="351" spans="26:26" x14ac:dyDescent="0.15">
      <c r="Z351" s="259"/>
    </row>
    <row r="352" spans="26:26" x14ac:dyDescent="0.15">
      <c r="Z352" s="259"/>
    </row>
    <row r="353" spans="26:26" x14ac:dyDescent="0.15">
      <c r="Z353" s="259"/>
    </row>
    <row r="354" spans="26:26" x14ac:dyDescent="0.15">
      <c r="Z354" s="259"/>
    </row>
    <row r="355" spans="26:26" x14ac:dyDescent="0.15">
      <c r="Z355" s="259"/>
    </row>
    <row r="356" spans="26:26" x14ac:dyDescent="0.15">
      <c r="Z356" s="259"/>
    </row>
    <row r="357" spans="26:26" x14ac:dyDescent="0.15">
      <c r="Z357" s="259"/>
    </row>
    <row r="358" spans="26:26" x14ac:dyDescent="0.15">
      <c r="Z358" s="259"/>
    </row>
    <row r="359" spans="26:26" x14ac:dyDescent="0.15">
      <c r="Z359" s="259"/>
    </row>
    <row r="360" spans="26:26" x14ac:dyDescent="0.15">
      <c r="Z360" s="259"/>
    </row>
    <row r="361" spans="26:26" x14ac:dyDescent="0.15">
      <c r="Z361" s="259"/>
    </row>
    <row r="362" spans="26:26" x14ac:dyDescent="0.15">
      <c r="Z362" s="259"/>
    </row>
    <row r="363" spans="26:26" x14ac:dyDescent="0.15">
      <c r="Z363" s="259"/>
    </row>
    <row r="364" spans="26:26" x14ac:dyDescent="0.15">
      <c r="Z364" s="259"/>
    </row>
    <row r="365" spans="26:26" x14ac:dyDescent="0.15">
      <c r="Z365" s="259"/>
    </row>
    <row r="366" spans="26:26" x14ac:dyDescent="0.15">
      <c r="Z366" s="259"/>
    </row>
    <row r="367" spans="26:26" x14ac:dyDescent="0.15">
      <c r="Z367" s="259"/>
    </row>
    <row r="368" spans="26:26" x14ac:dyDescent="0.15">
      <c r="Z368" s="259"/>
    </row>
    <row r="369" spans="26:26" x14ac:dyDescent="0.15">
      <c r="Z369" s="259"/>
    </row>
    <row r="370" spans="26:26" x14ac:dyDescent="0.15">
      <c r="Z370" s="259"/>
    </row>
    <row r="371" spans="26:26" x14ac:dyDescent="0.15">
      <c r="Z371" s="259"/>
    </row>
    <row r="372" spans="26:26" x14ac:dyDescent="0.15">
      <c r="Z372" s="259"/>
    </row>
    <row r="373" spans="26:26" x14ac:dyDescent="0.15">
      <c r="Z373" s="259"/>
    </row>
    <row r="374" spans="26:26" x14ac:dyDescent="0.15">
      <c r="Z374" s="259"/>
    </row>
    <row r="375" spans="26:26" x14ac:dyDescent="0.15">
      <c r="Z375" s="259"/>
    </row>
    <row r="376" spans="26:26" x14ac:dyDescent="0.15">
      <c r="Z376" s="259"/>
    </row>
    <row r="377" spans="26:26" x14ac:dyDescent="0.15">
      <c r="Z377" s="259"/>
    </row>
    <row r="378" spans="26:26" x14ac:dyDescent="0.15">
      <c r="Z378" s="259"/>
    </row>
    <row r="379" spans="26:26" x14ac:dyDescent="0.15">
      <c r="Z379" s="259"/>
    </row>
    <row r="380" spans="26:26" x14ac:dyDescent="0.15">
      <c r="Z380" s="259"/>
    </row>
    <row r="381" spans="26:26" x14ac:dyDescent="0.15">
      <c r="Z381" s="259"/>
    </row>
    <row r="382" spans="26:26" x14ac:dyDescent="0.15">
      <c r="Z382" s="259"/>
    </row>
    <row r="383" spans="26:26" x14ac:dyDescent="0.15">
      <c r="Z383" s="259"/>
    </row>
    <row r="384" spans="26:26" x14ac:dyDescent="0.15">
      <c r="Z384" s="259"/>
    </row>
    <row r="385" spans="26:26" x14ac:dyDescent="0.15">
      <c r="Z385" s="259"/>
    </row>
    <row r="386" spans="26:26" x14ac:dyDescent="0.15">
      <c r="Z386" s="259"/>
    </row>
    <row r="387" spans="26:26" x14ac:dyDescent="0.15">
      <c r="Z387" s="259"/>
    </row>
    <row r="388" spans="26:26" x14ac:dyDescent="0.15">
      <c r="Z388" s="259"/>
    </row>
    <row r="389" spans="26:26" x14ac:dyDescent="0.15">
      <c r="Z389" s="259"/>
    </row>
    <row r="390" spans="26:26" x14ac:dyDescent="0.15">
      <c r="Z390" s="259"/>
    </row>
    <row r="391" spans="26:26" x14ac:dyDescent="0.15">
      <c r="Z391" s="259"/>
    </row>
    <row r="392" spans="26:26" x14ac:dyDescent="0.15">
      <c r="Z392" s="259"/>
    </row>
    <row r="393" spans="26:26" x14ac:dyDescent="0.15">
      <c r="Z393" s="259"/>
    </row>
    <row r="394" spans="26:26" x14ac:dyDescent="0.15">
      <c r="Z394" s="259"/>
    </row>
    <row r="395" spans="26:26" x14ac:dyDescent="0.15">
      <c r="Z395" s="259"/>
    </row>
    <row r="396" spans="26:26" x14ac:dyDescent="0.15">
      <c r="Z396" s="259"/>
    </row>
    <row r="397" spans="26:26" x14ac:dyDescent="0.15">
      <c r="Z397" s="259"/>
    </row>
    <row r="398" spans="26:26" x14ac:dyDescent="0.15">
      <c r="Z398" s="259"/>
    </row>
    <row r="399" spans="26:26" x14ac:dyDescent="0.15">
      <c r="Z399" s="259"/>
    </row>
    <row r="400" spans="26:26" x14ac:dyDescent="0.15">
      <c r="Z400" s="259"/>
    </row>
    <row r="401" spans="26:26" x14ac:dyDescent="0.15">
      <c r="Z401" s="259"/>
    </row>
    <row r="402" spans="26:26" x14ac:dyDescent="0.15">
      <c r="Z402" s="259"/>
    </row>
    <row r="403" spans="26:26" x14ac:dyDescent="0.15">
      <c r="Z403" s="259"/>
    </row>
    <row r="404" spans="26:26" x14ac:dyDescent="0.15">
      <c r="Z404" s="259"/>
    </row>
    <row r="405" spans="26:26" x14ac:dyDescent="0.15">
      <c r="Z405" s="259"/>
    </row>
    <row r="406" spans="26:26" x14ac:dyDescent="0.15">
      <c r="Z406" s="259"/>
    </row>
    <row r="407" spans="26:26" x14ac:dyDescent="0.15">
      <c r="Z407" s="259"/>
    </row>
    <row r="408" spans="26:26" x14ac:dyDescent="0.15">
      <c r="Z408" s="259"/>
    </row>
    <row r="409" spans="26:26" x14ac:dyDescent="0.15">
      <c r="Z409" s="259"/>
    </row>
    <row r="410" spans="26:26" x14ac:dyDescent="0.15">
      <c r="Z410" s="259"/>
    </row>
    <row r="411" spans="26:26" x14ac:dyDescent="0.15">
      <c r="Z411" s="259"/>
    </row>
    <row r="412" spans="26:26" x14ac:dyDescent="0.15">
      <c r="Z412" s="259"/>
    </row>
    <row r="413" spans="26:26" x14ac:dyDescent="0.15">
      <c r="Z413" s="259"/>
    </row>
    <row r="414" spans="26:26" x14ac:dyDescent="0.15">
      <c r="Z414" s="259"/>
    </row>
    <row r="415" spans="26:26" x14ac:dyDescent="0.15">
      <c r="Z415" s="259"/>
    </row>
    <row r="416" spans="26:26" x14ac:dyDescent="0.15">
      <c r="Z416" s="259"/>
    </row>
    <row r="417" spans="26:26" x14ac:dyDescent="0.15">
      <c r="Z417" s="259"/>
    </row>
    <row r="418" spans="26:26" x14ac:dyDescent="0.15">
      <c r="Z418" s="259"/>
    </row>
    <row r="419" spans="26:26" x14ac:dyDescent="0.15">
      <c r="Z419" s="259"/>
    </row>
    <row r="420" spans="26:26" x14ac:dyDescent="0.15">
      <c r="Z420" s="259"/>
    </row>
    <row r="421" spans="26:26" x14ac:dyDescent="0.15">
      <c r="Z421" s="259"/>
    </row>
    <row r="422" spans="26:26" x14ac:dyDescent="0.15">
      <c r="Z422" s="259"/>
    </row>
    <row r="423" spans="26:26" x14ac:dyDescent="0.15">
      <c r="Z423" s="259"/>
    </row>
    <row r="424" spans="26:26" x14ac:dyDescent="0.15">
      <c r="Z424" s="259"/>
    </row>
    <row r="425" spans="26:26" x14ac:dyDescent="0.15">
      <c r="Z425" s="259"/>
    </row>
    <row r="426" spans="26:26" x14ac:dyDescent="0.15">
      <c r="Z426" s="259"/>
    </row>
    <row r="427" spans="26:26" x14ac:dyDescent="0.15">
      <c r="Z427" s="259"/>
    </row>
    <row r="428" spans="26:26" x14ac:dyDescent="0.15">
      <c r="Z428" s="259"/>
    </row>
    <row r="429" spans="26:26" x14ac:dyDescent="0.15">
      <c r="Z429" s="259"/>
    </row>
    <row r="430" spans="26:26" x14ac:dyDescent="0.15">
      <c r="Z430" s="259"/>
    </row>
    <row r="431" spans="26:26" x14ac:dyDescent="0.15">
      <c r="Z431" s="259"/>
    </row>
    <row r="432" spans="26:26" x14ac:dyDescent="0.15">
      <c r="Z432" s="259"/>
    </row>
    <row r="433" spans="26:26" x14ac:dyDescent="0.15">
      <c r="Z433" s="259"/>
    </row>
    <row r="434" spans="26:26" x14ac:dyDescent="0.15">
      <c r="Z434" s="259"/>
    </row>
    <row r="435" spans="26:26" x14ac:dyDescent="0.15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8"/>
  <sheetViews>
    <sheetView zoomScale="89" zoomScaleNormal="89" zoomScaleSheetLayoutView="50" workbookViewId="0">
      <pane xSplit="3" ySplit="8" topLeftCell="D9" activePane="bottomRight" state="frozen"/>
      <selection pane="bottomLeft"/>
      <selection pane="topRight"/>
      <selection pane="bottomRight" activeCell="J4" sqref="J4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5" width="19.28125" style="1" customWidth="1"/>
    <col min="6" max="6" width="19.28125" style="842" customWidth="1"/>
    <col min="7" max="10" width="19.6875" style="1" customWidth="1"/>
    <col min="11" max="16384" width="9.16796875" style="1"/>
  </cols>
  <sheetData>
    <row r="1" spans="1:10" ht="27" customHeight="1" x14ac:dyDescent="0.3">
      <c r="A1" s="948" t="s">
        <v>0</v>
      </c>
      <c r="B1" s="948"/>
      <c r="C1" s="948"/>
      <c r="D1" s="948"/>
      <c r="E1" s="948"/>
      <c r="F1" s="949"/>
      <c r="G1" s="183"/>
      <c r="H1" s="183"/>
      <c r="I1" s="183"/>
      <c r="J1" s="183"/>
    </row>
    <row r="2" spans="1:10" ht="33.75" customHeight="1" x14ac:dyDescent="0.3">
      <c r="A2" s="843" t="s">
        <v>455</v>
      </c>
      <c r="B2" s="845"/>
      <c r="C2" s="843"/>
      <c r="D2" s="843"/>
      <c r="E2" s="846"/>
      <c r="F2" s="847"/>
      <c r="G2" s="262"/>
      <c r="H2" s="262"/>
      <c r="I2" s="262"/>
      <c r="J2" s="262"/>
    </row>
    <row r="3" spans="1:10" ht="9.75" customHeight="1" x14ac:dyDescent="0.2">
      <c r="A3" s="2"/>
      <c r="B3" s="2"/>
      <c r="C3" s="2"/>
      <c r="D3" s="2"/>
      <c r="E3" s="844" t="e">
        <f>'[1]FEB 08'!E11/'[1]FEB 08'!M11</f>
        <v>#REF!</v>
      </c>
      <c r="F3" s="849"/>
      <c r="G3" s="183"/>
      <c r="H3" s="183"/>
      <c r="I3" s="183"/>
      <c r="J3" s="183"/>
    </row>
    <row r="4" spans="1:10" ht="49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456</v>
      </c>
      <c r="F4" s="850" t="s">
        <v>457</v>
      </c>
      <c r="G4" s="858" t="s">
        <v>464</v>
      </c>
      <c r="H4" s="858" t="s">
        <v>465</v>
      </c>
      <c r="I4" s="858" t="s">
        <v>466</v>
      </c>
      <c r="J4" s="858" t="s">
        <v>468</v>
      </c>
    </row>
    <row r="5" spans="1:10" ht="17.25" customHeight="1" x14ac:dyDescent="0.2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</row>
    <row r="6" spans="1:10" ht="17.25" customHeight="1" x14ac:dyDescent="0.2">
      <c r="A6" s="2"/>
      <c r="B6" s="2"/>
      <c r="C6" s="6"/>
      <c r="D6" s="6"/>
      <c r="E6" s="8" t="s">
        <v>469</v>
      </c>
      <c r="F6" s="852" t="s">
        <v>470</v>
      </c>
      <c r="G6" s="859" t="s">
        <v>477</v>
      </c>
      <c r="H6" s="859" t="s">
        <v>478</v>
      </c>
      <c r="I6" s="859" t="s">
        <v>479</v>
      </c>
      <c r="J6" s="859" t="s">
        <v>481</v>
      </c>
    </row>
    <row r="7" spans="1:10" ht="20.100000000000001" customHeight="1" x14ac:dyDescent="0.2">
      <c r="A7" s="7" t="s">
        <v>21</v>
      </c>
      <c r="B7" s="6" t="s">
        <v>22</v>
      </c>
      <c r="C7" s="6"/>
      <c r="D7" s="6"/>
      <c r="E7" s="8"/>
      <c r="F7" s="852"/>
      <c r="G7" s="859"/>
      <c r="H7" s="859" t="s">
        <v>487</v>
      </c>
      <c r="I7" s="859" t="s">
        <v>488</v>
      </c>
      <c r="J7" s="859" t="s">
        <v>488</v>
      </c>
    </row>
    <row r="8" spans="1:10" ht="20.100000000000001" customHeight="1" x14ac:dyDescent="0.2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860"/>
      <c r="H8" s="860"/>
      <c r="I8" s="860">
        <f t="shared" ref="I8:I38" si="0">H8-G8</f>
        <v>0</v>
      </c>
      <c r="J8" s="860">
        <f t="shared" ref="J8:J38" si="1">H8*12</f>
        <v>0</v>
      </c>
    </row>
    <row r="9" spans="1:10" ht="20.100000000000001" customHeight="1" x14ac:dyDescent="0.2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860"/>
      <c r="H9" s="860"/>
      <c r="I9" s="860">
        <f t="shared" si="0"/>
        <v>0</v>
      </c>
      <c r="J9" s="860">
        <f t="shared" si="1"/>
        <v>0</v>
      </c>
    </row>
    <row r="10" spans="1:10" ht="20.100000000000001" customHeight="1" x14ac:dyDescent="0.2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860"/>
      <c r="H10" s="860"/>
      <c r="I10" s="860">
        <f t="shared" si="0"/>
        <v>0</v>
      </c>
      <c r="J10" s="860">
        <f t="shared" si="1"/>
        <v>0</v>
      </c>
    </row>
    <row r="11" spans="1:10" ht="20.100000000000001" customHeight="1" x14ac:dyDescent="0.2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860">
        <v>10293.3979166667</v>
      </c>
      <c r="H11" s="860">
        <f t="shared" ref="H11:H13" si="2">0.025*F11</f>
        <v>13866.737499999999</v>
      </c>
      <c r="I11" s="860">
        <f t="shared" si="0"/>
        <v>3573.3395833333002</v>
      </c>
      <c r="J11" s="860">
        <f t="shared" si="1"/>
        <v>166400.85</v>
      </c>
    </row>
    <row r="12" spans="1:10" ht="20.100000000000001" customHeight="1" x14ac:dyDescent="0.2">
      <c r="A12" s="8">
        <v>5</v>
      </c>
      <c r="B12" s="9" t="s">
        <v>33</v>
      </c>
      <c r="C12" s="10" t="s">
        <v>34</v>
      </c>
      <c r="D12" s="13" t="s">
        <v>192</v>
      </c>
      <c r="E12" s="70">
        <v>716034</v>
      </c>
      <c r="F12" s="853">
        <f>'[3] FGN 2024 MGT Monthly'!$H$44</f>
        <v>523386.5</v>
      </c>
      <c r="G12" s="860">
        <v>10293.3979166667</v>
      </c>
      <c r="H12" s="860">
        <f t="shared" si="2"/>
        <v>13084.6625</v>
      </c>
      <c r="I12" s="860">
        <f t="shared" si="0"/>
        <v>2791.2645833332999</v>
      </c>
      <c r="J12" s="860">
        <f t="shared" si="1"/>
        <v>157015.95000000001</v>
      </c>
    </row>
    <row r="13" spans="1:10" ht="20.100000000000001" customHeight="1" x14ac:dyDescent="0.2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860">
        <v>7859.6312500000004</v>
      </c>
      <c r="H13" s="860">
        <f t="shared" si="2"/>
        <v>11149.895833333299</v>
      </c>
      <c r="I13" s="860">
        <f t="shared" si="0"/>
        <v>3290.2645833333299</v>
      </c>
      <c r="J13" s="860">
        <f t="shared" si="1"/>
        <v>133798.75</v>
      </c>
    </row>
    <row r="14" spans="1:10" ht="20.100000000000001" customHeight="1" x14ac:dyDescent="0.2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860"/>
      <c r="H14" s="860"/>
      <c r="I14" s="860">
        <f t="shared" si="0"/>
        <v>0</v>
      </c>
      <c r="J14" s="860">
        <f t="shared" si="1"/>
        <v>0</v>
      </c>
    </row>
    <row r="15" spans="1:10" ht="20.100000000000001" customHeight="1" x14ac:dyDescent="0.2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860"/>
      <c r="H15" s="860"/>
      <c r="I15" s="860">
        <f t="shared" si="0"/>
        <v>0</v>
      </c>
      <c r="J15" s="860">
        <f t="shared" si="1"/>
        <v>0</v>
      </c>
    </row>
    <row r="16" spans="1:10" ht="20.100000000000001" customHeight="1" x14ac:dyDescent="0.2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860"/>
      <c r="H16" s="860"/>
      <c r="I16" s="860">
        <f t="shared" si="0"/>
        <v>0</v>
      </c>
      <c r="J16" s="860">
        <f t="shared" si="1"/>
        <v>0</v>
      </c>
    </row>
    <row r="17" spans="1:10" ht="20.100000000000001" customHeight="1" x14ac:dyDescent="0.2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860"/>
      <c r="H17" s="860"/>
      <c r="I17" s="860">
        <f t="shared" si="0"/>
        <v>0</v>
      </c>
      <c r="J17" s="860">
        <f t="shared" si="1"/>
        <v>0</v>
      </c>
    </row>
    <row r="18" spans="1:10" ht="20.100000000000001" customHeight="1" x14ac:dyDescent="0.2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860"/>
      <c r="H18" s="860"/>
      <c r="I18" s="860">
        <f t="shared" si="0"/>
        <v>0</v>
      </c>
      <c r="J18" s="860">
        <f t="shared" si="1"/>
        <v>0</v>
      </c>
    </row>
    <row r="19" spans="1:10" ht="20.100000000000001" customHeight="1" x14ac:dyDescent="0.2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860">
        <v>5607.1770833333303</v>
      </c>
      <c r="H19" s="860">
        <f t="shared" ref="H19:H22" si="3">0.025*F19</f>
        <v>8226.1229166666708</v>
      </c>
      <c r="I19" s="860">
        <f t="shared" si="0"/>
        <v>2618.94583333334</v>
      </c>
      <c r="J19" s="860">
        <f t="shared" si="1"/>
        <v>98713.475000000093</v>
      </c>
    </row>
    <row r="20" spans="1:10" ht="20.100000000000001" customHeight="1" x14ac:dyDescent="0.2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860">
        <v>5967.3062499999996</v>
      </c>
      <c r="H20" s="860">
        <f t="shared" si="3"/>
        <v>7791.8312500000002</v>
      </c>
      <c r="I20" s="860">
        <f t="shared" si="0"/>
        <v>1824.5250000000001</v>
      </c>
      <c r="J20" s="860">
        <f t="shared" si="1"/>
        <v>93501.975000000006</v>
      </c>
    </row>
    <row r="21" spans="1:10" ht="20.100000000000001" customHeight="1" x14ac:dyDescent="0.2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860"/>
      <c r="H21" s="860"/>
      <c r="I21" s="860">
        <f t="shared" si="0"/>
        <v>0</v>
      </c>
      <c r="J21" s="860">
        <f t="shared" si="1"/>
        <v>0</v>
      </c>
    </row>
    <row r="22" spans="1:10" ht="20.100000000000001" customHeight="1" x14ac:dyDescent="0.2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860">
        <v>5257.5625</v>
      </c>
      <c r="H22" s="860">
        <f t="shared" si="3"/>
        <v>7777.3604166666701</v>
      </c>
      <c r="I22" s="860">
        <f t="shared" si="0"/>
        <v>2519.7979166666701</v>
      </c>
      <c r="J22" s="860">
        <f t="shared" si="1"/>
        <v>93328.324999999997</v>
      </c>
    </row>
    <row r="23" spans="1:10" ht="18.75" customHeight="1" x14ac:dyDescent="0.2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860"/>
      <c r="H23" s="860"/>
      <c r="I23" s="860">
        <f t="shared" si="0"/>
        <v>0</v>
      </c>
      <c r="J23" s="860">
        <f t="shared" si="1"/>
        <v>0</v>
      </c>
    </row>
    <row r="24" spans="1:10" ht="20.100000000000001" customHeight="1" x14ac:dyDescent="0.2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860"/>
      <c r="H24" s="860"/>
      <c r="I24" s="860">
        <f t="shared" si="0"/>
        <v>0</v>
      </c>
      <c r="J24" s="860">
        <f t="shared" si="1"/>
        <v>0</v>
      </c>
    </row>
    <row r="25" spans="1:10" ht="21.6" customHeight="1" x14ac:dyDescent="0.2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860"/>
      <c r="H25" s="860"/>
      <c r="I25" s="860">
        <f t="shared" si="0"/>
        <v>0</v>
      </c>
      <c r="J25" s="860">
        <f t="shared" si="1"/>
        <v>0</v>
      </c>
    </row>
    <row r="26" spans="1:10" ht="20.100000000000001" customHeight="1" x14ac:dyDescent="0.2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860"/>
      <c r="H26" s="860"/>
      <c r="I26" s="860">
        <f t="shared" si="0"/>
        <v>0</v>
      </c>
      <c r="J26" s="860">
        <f t="shared" si="1"/>
        <v>0</v>
      </c>
    </row>
    <row r="27" spans="1:10" ht="20.100000000000001" customHeight="1" x14ac:dyDescent="0.2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860"/>
      <c r="H27" s="860"/>
      <c r="I27" s="860">
        <f t="shared" si="0"/>
        <v>0</v>
      </c>
      <c r="J27" s="860">
        <f t="shared" si="1"/>
        <v>0</v>
      </c>
    </row>
    <row r="28" spans="1:10" ht="18.75" customHeight="1" x14ac:dyDescent="0.2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860"/>
      <c r="H28" s="860"/>
      <c r="I28" s="860">
        <f t="shared" si="0"/>
        <v>0</v>
      </c>
      <c r="J28" s="860">
        <f t="shared" si="1"/>
        <v>0</v>
      </c>
    </row>
    <row r="29" spans="1:10" ht="18.75" customHeight="1" x14ac:dyDescent="0.2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860"/>
      <c r="H29" s="860"/>
      <c r="I29" s="860">
        <f t="shared" si="0"/>
        <v>0</v>
      </c>
      <c r="J29" s="860">
        <f t="shared" si="1"/>
        <v>0</v>
      </c>
    </row>
    <row r="30" spans="1:10" ht="20.100000000000001" customHeight="1" x14ac:dyDescent="0.2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860"/>
      <c r="H30" s="860"/>
      <c r="I30" s="860">
        <f t="shared" si="0"/>
        <v>0</v>
      </c>
      <c r="J30" s="860">
        <f t="shared" si="1"/>
        <v>0</v>
      </c>
    </row>
    <row r="31" spans="1:10" ht="18.75" customHeight="1" x14ac:dyDescent="0.2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860"/>
      <c r="H31" s="860"/>
      <c r="I31" s="860">
        <f t="shared" si="0"/>
        <v>0</v>
      </c>
      <c r="J31" s="860">
        <f t="shared" si="1"/>
        <v>0</v>
      </c>
    </row>
    <row r="32" spans="1:10" ht="18.75" customHeight="1" x14ac:dyDescent="0.2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860"/>
      <c r="H32" s="860"/>
      <c r="I32" s="860">
        <f t="shared" si="0"/>
        <v>0</v>
      </c>
      <c r="J32" s="860">
        <f t="shared" si="1"/>
        <v>0</v>
      </c>
    </row>
    <row r="33" spans="1:10" ht="18.75" customHeight="1" x14ac:dyDescent="0.2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860"/>
      <c r="H33" s="860"/>
      <c r="I33" s="860">
        <f t="shared" si="0"/>
        <v>0</v>
      </c>
      <c r="J33" s="860">
        <f t="shared" si="1"/>
        <v>0</v>
      </c>
    </row>
    <row r="34" spans="1:10" ht="18.75" customHeight="1" x14ac:dyDescent="0.2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860">
        <v>3653.5</v>
      </c>
      <c r="H34" s="860">
        <f>0.025*F34</f>
        <v>5690.3937500000002</v>
      </c>
      <c r="I34" s="860">
        <f t="shared" si="0"/>
        <v>2036.89375</v>
      </c>
      <c r="J34" s="860">
        <f t="shared" si="1"/>
        <v>68284.725000000006</v>
      </c>
    </row>
    <row r="35" spans="1:10" ht="18.75" customHeight="1" x14ac:dyDescent="0.2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860"/>
      <c r="H35" s="860"/>
      <c r="I35" s="860">
        <f t="shared" si="0"/>
        <v>0</v>
      </c>
      <c r="J35" s="860">
        <f t="shared" si="1"/>
        <v>0</v>
      </c>
    </row>
    <row r="36" spans="1:10" ht="18.75" customHeight="1" x14ac:dyDescent="0.2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860"/>
      <c r="H36" s="860"/>
      <c r="I36" s="860">
        <f t="shared" si="0"/>
        <v>0</v>
      </c>
      <c r="J36" s="860">
        <f t="shared" si="1"/>
        <v>0</v>
      </c>
    </row>
    <row r="37" spans="1:10" ht="18.75" customHeight="1" x14ac:dyDescent="0.2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860"/>
      <c r="H37" s="860"/>
      <c r="I37" s="860">
        <f t="shared" si="0"/>
        <v>0</v>
      </c>
      <c r="J37" s="860">
        <f t="shared" si="1"/>
        <v>0</v>
      </c>
    </row>
    <row r="38" spans="1:10" ht="18.75" customHeight="1" x14ac:dyDescent="0.2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860"/>
      <c r="H38" s="860"/>
      <c r="I38" s="860">
        <f t="shared" si="0"/>
        <v>0</v>
      </c>
      <c r="J38" s="860">
        <f t="shared" si="1"/>
        <v>0</v>
      </c>
    </row>
    <row r="39" spans="1:10" ht="26.25" customHeight="1" x14ac:dyDescent="0.2">
      <c r="A39" s="8"/>
      <c r="B39" s="18" t="s">
        <v>111</v>
      </c>
      <c r="C39" s="19">
        <v>31</v>
      </c>
      <c r="D39" s="13"/>
      <c r="E39" s="187">
        <f t="shared" ref="E39:J39" si="4">SUM(E8:E38)</f>
        <v>14073003.666999999</v>
      </c>
      <c r="F39" s="854">
        <f t="shared" si="4"/>
        <v>10664632</v>
      </c>
      <c r="G39" s="187">
        <f t="shared" si="4"/>
        <v>48931.972916666702</v>
      </c>
      <c r="H39" s="187">
        <f t="shared" si="4"/>
        <v>67587.004166666695</v>
      </c>
      <c r="I39" s="187">
        <f t="shared" si="4"/>
        <v>18655.031249999902</v>
      </c>
      <c r="J39" s="187">
        <f t="shared" si="4"/>
        <v>811044.05</v>
      </c>
    </row>
    <row r="40" spans="1:10" ht="18.75" customHeight="1" x14ac:dyDescent="0.2">
      <c r="A40" s="8"/>
      <c r="B40" s="20"/>
      <c r="C40" s="2"/>
      <c r="D40" s="13"/>
      <c r="E40" s="187"/>
      <c r="F40" s="854"/>
      <c r="G40" s="860"/>
      <c r="H40" s="860"/>
      <c r="I40" s="860"/>
      <c r="J40" s="860"/>
    </row>
    <row r="41" spans="1:10" ht="18.75" customHeight="1" x14ac:dyDescent="0.2">
      <c r="A41" s="8"/>
      <c r="B41" s="18" t="s">
        <v>112</v>
      </c>
      <c r="C41" s="2"/>
      <c r="D41" s="13"/>
      <c r="E41" s="70"/>
      <c r="F41" s="853"/>
      <c r="G41" s="860"/>
      <c r="H41" s="860"/>
      <c r="I41" s="860"/>
      <c r="J41" s="860"/>
    </row>
    <row r="42" spans="1:10" ht="18.75" customHeight="1" x14ac:dyDescent="0.2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860"/>
      <c r="H42" s="860"/>
      <c r="I42" s="860">
        <f t="shared" ref="I42:I45" si="5">H42-G42</f>
        <v>0</v>
      </c>
      <c r="J42" s="860"/>
    </row>
    <row r="43" spans="1:10" ht="18.75" customHeight="1" x14ac:dyDescent="0.2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860"/>
      <c r="H43" s="860"/>
      <c r="I43" s="860">
        <f t="shared" si="5"/>
        <v>0</v>
      </c>
      <c r="J43" s="860"/>
    </row>
    <row r="44" spans="1:10" ht="18.75" customHeight="1" x14ac:dyDescent="0.2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860"/>
      <c r="H44" s="860"/>
      <c r="I44" s="860">
        <f t="shared" si="5"/>
        <v>0</v>
      </c>
      <c r="J44" s="860"/>
    </row>
    <row r="45" spans="1:10" ht="18.75" customHeight="1" x14ac:dyDescent="0.2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860"/>
      <c r="H45" s="860"/>
      <c r="I45" s="860">
        <f t="shared" si="5"/>
        <v>0</v>
      </c>
      <c r="J45" s="860"/>
    </row>
    <row r="46" spans="1:10" ht="19.5" customHeight="1" x14ac:dyDescent="0.2">
      <c r="A46" s="8"/>
      <c r="B46" s="12"/>
      <c r="C46" s="19">
        <v>4</v>
      </c>
      <c r="D46" s="8"/>
      <c r="E46" s="187">
        <f t="shared" ref="E46:J46" si="6">SUM(E42:E45)</f>
        <v>2308752.4166666698</v>
      </c>
      <c r="F46" s="854">
        <f t="shared" si="6"/>
        <v>1791556.25</v>
      </c>
      <c r="G46" s="187">
        <f t="shared" si="6"/>
        <v>0</v>
      </c>
      <c r="H46" s="187">
        <f t="shared" si="6"/>
        <v>0</v>
      </c>
      <c r="I46" s="187">
        <f t="shared" si="6"/>
        <v>0</v>
      </c>
      <c r="J46" s="187">
        <f t="shared" si="6"/>
        <v>0</v>
      </c>
    </row>
    <row r="47" spans="1:10" ht="20.100000000000001" customHeight="1" x14ac:dyDescent="0.2">
      <c r="A47" s="8"/>
      <c r="B47" s="12"/>
      <c r="C47" s="2"/>
      <c r="D47" s="8"/>
      <c r="E47" s="187"/>
      <c r="F47" s="854"/>
      <c r="G47" s="860"/>
      <c r="H47" s="860"/>
      <c r="I47" s="860"/>
      <c r="J47" s="860"/>
    </row>
    <row r="48" spans="1:10" ht="20.100000000000001" customHeight="1" x14ac:dyDescent="0.2">
      <c r="A48" s="8"/>
      <c r="B48" s="21" t="s">
        <v>125</v>
      </c>
      <c r="C48" s="3"/>
      <c r="D48" s="22"/>
      <c r="E48" s="187"/>
      <c r="F48" s="854"/>
      <c r="G48" s="860"/>
      <c r="H48" s="860"/>
      <c r="I48" s="860"/>
      <c r="J48" s="860"/>
    </row>
    <row r="49" spans="1:10" ht="20.100000000000001" customHeight="1" x14ac:dyDescent="0.2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860"/>
      <c r="H49" s="860"/>
      <c r="I49" s="860">
        <f t="shared" ref="I49:I56" si="7">H49-G49</f>
        <v>0</v>
      </c>
      <c r="J49" s="860"/>
    </row>
    <row r="50" spans="1:10" ht="20.100000000000001" customHeight="1" x14ac:dyDescent="0.2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860"/>
      <c r="H50" s="860"/>
      <c r="I50" s="860">
        <f t="shared" si="7"/>
        <v>0</v>
      </c>
      <c r="J50" s="860"/>
    </row>
    <row r="51" spans="1:10" ht="20.100000000000001" customHeight="1" x14ac:dyDescent="0.2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860">
        <v>8380.2270833333296</v>
      </c>
      <c r="H51" s="860">
        <f>0.025*F51</f>
        <v>11475.262500000001</v>
      </c>
      <c r="I51" s="860">
        <f t="shared" si="7"/>
        <v>3095.0354166666698</v>
      </c>
      <c r="J51" s="860">
        <f>H51*12</f>
        <v>137703.15</v>
      </c>
    </row>
    <row r="52" spans="1:10" ht="20.100000000000001" customHeight="1" x14ac:dyDescent="0.2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860"/>
      <c r="H52" s="860"/>
      <c r="I52" s="860">
        <f t="shared" si="7"/>
        <v>0</v>
      </c>
      <c r="J52" s="860"/>
    </row>
    <row r="53" spans="1:10" ht="20.100000000000001" customHeight="1" x14ac:dyDescent="0.2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860"/>
      <c r="H53" s="860"/>
      <c r="I53" s="860">
        <f t="shared" si="7"/>
        <v>0</v>
      </c>
      <c r="J53" s="860"/>
    </row>
    <row r="54" spans="1:10" ht="20.100000000000001" customHeight="1" x14ac:dyDescent="0.2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860"/>
      <c r="H54" s="860"/>
      <c r="I54" s="860">
        <f t="shared" si="7"/>
        <v>0</v>
      </c>
      <c r="J54" s="860"/>
    </row>
    <row r="55" spans="1:10" ht="20.100000000000001" customHeight="1" x14ac:dyDescent="0.2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860"/>
      <c r="H55" s="860"/>
      <c r="I55" s="860">
        <f t="shared" si="7"/>
        <v>0</v>
      </c>
      <c r="J55" s="860"/>
    </row>
    <row r="56" spans="1:10" ht="20.100000000000001" customHeight="1" x14ac:dyDescent="0.2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860"/>
      <c r="H56" s="860"/>
      <c r="I56" s="860">
        <f t="shared" si="7"/>
        <v>0</v>
      </c>
      <c r="J56" s="860"/>
    </row>
    <row r="57" spans="1:10" ht="25.5" customHeight="1" x14ac:dyDescent="0.5">
      <c r="A57" s="8"/>
      <c r="B57" s="18" t="s">
        <v>111</v>
      </c>
      <c r="C57" s="19">
        <v>8</v>
      </c>
      <c r="D57" s="19"/>
      <c r="E57" s="78">
        <f t="shared" ref="E57:J57" si="8">SUM(E49:E56)</f>
        <v>4037104.0833333302</v>
      </c>
      <c r="F57" s="856">
        <f t="shared" si="8"/>
        <v>3043187.75</v>
      </c>
      <c r="G57" s="78">
        <f t="shared" si="8"/>
        <v>8380.2270833333296</v>
      </c>
      <c r="H57" s="78">
        <f t="shared" si="8"/>
        <v>11475.262500000001</v>
      </c>
      <c r="I57" s="78">
        <f t="shared" si="8"/>
        <v>3095.0354166666698</v>
      </c>
      <c r="J57" s="78">
        <f t="shared" si="8"/>
        <v>137703.15</v>
      </c>
    </row>
    <row r="58" spans="1:10" ht="20.100000000000001" customHeight="1" x14ac:dyDescent="0.2">
      <c r="A58" s="8"/>
      <c r="B58" s="20"/>
      <c r="C58" s="19"/>
      <c r="D58" s="19"/>
      <c r="E58" s="122"/>
      <c r="F58" s="857"/>
      <c r="G58" s="860"/>
      <c r="H58" s="860"/>
      <c r="I58" s="860"/>
      <c r="J58" s="860"/>
    </row>
    <row r="59" spans="1:10" ht="20.100000000000001" customHeight="1" x14ac:dyDescent="0.2">
      <c r="A59" s="8"/>
      <c r="B59" s="18" t="s">
        <v>145</v>
      </c>
      <c r="C59" s="19"/>
      <c r="D59" s="19"/>
      <c r="E59" s="122"/>
      <c r="F59" s="857"/>
      <c r="G59" s="860"/>
      <c r="H59" s="860"/>
      <c r="I59" s="860"/>
      <c r="J59" s="860"/>
    </row>
    <row r="60" spans="1:10" ht="20.100000000000001" customHeight="1" x14ac:dyDescent="0.2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860"/>
      <c r="H60" s="860"/>
      <c r="I60" s="860">
        <f t="shared" ref="I60:I71" si="9">H60-G60</f>
        <v>0</v>
      </c>
      <c r="J60" s="860"/>
    </row>
    <row r="61" spans="1:10" ht="20.100000000000001" customHeight="1" x14ac:dyDescent="0.2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860"/>
      <c r="H61" s="860"/>
      <c r="I61" s="860">
        <f t="shared" si="9"/>
        <v>0</v>
      </c>
      <c r="J61" s="860"/>
    </row>
    <row r="62" spans="1:10" ht="20.100000000000001" customHeight="1" x14ac:dyDescent="0.5">
      <c r="A62" s="8"/>
      <c r="B62" s="18" t="s">
        <v>111</v>
      </c>
      <c r="C62" s="19">
        <v>2</v>
      </c>
      <c r="D62" s="19"/>
      <c r="E62" s="78">
        <f t="shared" ref="E62:J62" si="10">SUM(E60:E61)</f>
        <v>2056395.58333333</v>
      </c>
      <c r="F62" s="856">
        <f t="shared" si="10"/>
        <v>1545787.58333333</v>
      </c>
      <c r="G62" s="78">
        <f t="shared" si="10"/>
        <v>0</v>
      </c>
      <c r="H62" s="78">
        <f t="shared" si="10"/>
        <v>0</v>
      </c>
      <c r="I62" s="78">
        <f t="shared" si="10"/>
        <v>0</v>
      </c>
      <c r="J62" s="78">
        <f t="shared" si="10"/>
        <v>0</v>
      </c>
    </row>
    <row r="63" spans="1:10" ht="20.100000000000001" customHeight="1" x14ac:dyDescent="0.2">
      <c r="A63" s="8"/>
      <c r="B63" s="18"/>
      <c r="C63" s="19"/>
      <c r="D63" s="19"/>
      <c r="E63" s="122"/>
      <c r="F63" s="857"/>
      <c r="G63" s="860"/>
      <c r="H63" s="860"/>
      <c r="I63" s="860"/>
      <c r="J63" s="860"/>
    </row>
    <row r="64" spans="1:10" ht="20.100000000000001" customHeight="1" x14ac:dyDescent="0.2">
      <c r="A64" s="8"/>
      <c r="B64" s="18" t="s">
        <v>151</v>
      </c>
      <c r="C64" s="19"/>
      <c r="D64" s="19"/>
      <c r="E64" s="122"/>
      <c r="F64" s="857"/>
      <c r="G64" s="860"/>
      <c r="H64" s="860"/>
      <c r="I64" s="860"/>
      <c r="J64" s="860"/>
    </row>
    <row r="65" spans="1:10" ht="20.100000000000001" customHeight="1" x14ac:dyDescent="0.2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860">
        <v>10293.3979166667</v>
      </c>
      <c r="H65" s="860">
        <f>0.025*F65</f>
        <v>13866.737499999999</v>
      </c>
      <c r="I65" s="860">
        <f t="shared" si="9"/>
        <v>3573.3395833333002</v>
      </c>
      <c r="J65" s="860">
        <f>H65*12</f>
        <v>166400.85</v>
      </c>
    </row>
    <row r="66" spans="1:10" ht="20.100000000000001" customHeight="1" x14ac:dyDescent="0.2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860"/>
      <c r="H66" s="860"/>
      <c r="I66" s="860">
        <f t="shared" si="9"/>
        <v>0</v>
      </c>
      <c r="J66" s="860"/>
    </row>
    <row r="67" spans="1:10" ht="20.100000000000001" customHeight="1" x14ac:dyDescent="0.2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860"/>
      <c r="H67" s="860"/>
      <c r="I67" s="860">
        <f t="shared" si="9"/>
        <v>0</v>
      </c>
      <c r="J67" s="860"/>
    </row>
    <row r="68" spans="1:10" ht="20.100000000000001" customHeight="1" x14ac:dyDescent="0.2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860"/>
      <c r="H68" s="860"/>
      <c r="I68" s="860">
        <f t="shared" si="9"/>
        <v>0</v>
      </c>
      <c r="J68" s="860"/>
    </row>
    <row r="69" spans="1:10" ht="20.100000000000001" customHeight="1" x14ac:dyDescent="0.2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860"/>
      <c r="H69" s="860"/>
      <c r="I69" s="860">
        <f t="shared" si="9"/>
        <v>0</v>
      </c>
      <c r="J69" s="860"/>
    </row>
    <row r="70" spans="1:10" ht="20.100000000000001" customHeight="1" x14ac:dyDescent="0.2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860"/>
      <c r="H70" s="860"/>
      <c r="I70" s="860">
        <f t="shared" si="9"/>
        <v>0</v>
      </c>
      <c r="J70" s="860"/>
    </row>
    <row r="71" spans="1:10" ht="21.6" customHeight="1" x14ac:dyDescent="0.2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860"/>
      <c r="H71" s="860"/>
      <c r="I71" s="860">
        <f t="shared" si="9"/>
        <v>0</v>
      </c>
      <c r="J71" s="860"/>
    </row>
    <row r="72" spans="1:10" ht="27" customHeight="1" x14ac:dyDescent="0.5">
      <c r="A72" s="8"/>
      <c r="B72" s="18" t="s">
        <v>111</v>
      </c>
      <c r="C72" s="19">
        <v>7</v>
      </c>
      <c r="D72" s="19"/>
      <c r="E72" s="78">
        <f t="shared" ref="E72:J72" si="11">SUM(E65:E71)</f>
        <v>3051668.9166666698</v>
      </c>
      <c r="F72" s="856">
        <f t="shared" si="11"/>
        <v>2335424</v>
      </c>
      <c r="G72" s="78">
        <f t="shared" si="11"/>
        <v>10293.3979166667</v>
      </c>
      <c r="H72" s="78">
        <f t="shared" si="11"/>
        <v>13866.737499999999</v>
      </c>
      <c r="I72" s="78">
        <f t="shared" si="11"/>
        <v>3573.3395833333002</v>
      </c>
      <c r="J72" s="78">
        <f t="shared" si="11"/>
        <v>166400.85</v>
      </c>
    </row>
    <row r="73" spans="1:10" ht="20.100000000000001" customHeight="1" x14ac:dyDescent="0.2">
      <c r="A73" s="8"/>
      <c r="B73" s="20"/>
      <c r="C73" s="19"/>
      <c r="D73" s="19"/>
      <c r="E73" s="122"/>
      <c r="F73" s="857"/>
      <c r="G73" s="860"/>
      <c r="H73" s="860"/>
      <c r="I73" s="860"/>
      <c r="J73" s="860"/>
    </row>
    <row r="74" spans="1:10" ht="20.100000000000001" customHeight="1" x14ac:dyDescent="0.2">
      <c r="A74" s="8"/>
      <c r="B74" s="18" t="s">
        <v>169</v>
      </c>
      <c r="C74" s="19"/>
      <c r="D74" s="19"/>
      <c r="E74" s="122"/>
      <c r="F74" s="857"/>
      <c r="G74" s="860"/>
      <c r="H74" s="860"/>
      <c r="I74" s="860"/>
      <c r="J74" s="860"/>
    </row>
    <row r="75" spans="1:10" ht="20.100000000000001" customHeight="1" x14ac:dyDescent="0.2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860"/>
      <c r="H75" s="860"/>
      <c r="I75" s="860">
        <f t="shared" ref="I75:I80" si="12">H75-G75</f>
        <v>0</v>
      </c>
      <c r="J75" s="860"/>
    </row>
    <row r="76" spans="1:10" ht="20.100000000000001" customHeight="1" x14ac:dyDescent="0.2">
      <c r="A76" s="8">
        <v>2</v>
      </c>
      <c r="B76" s="9" t="s">
        <v>172</v>
      </c>
      <c r="C76" s="2" t="s">
        <v>173</v>
      </c>
      <c r="D76" s="8" t="s">
        <v>49</v>
      </c>
      <c r="E76" s="70">
        <v>582118.08333333302</v>
      </c>
      <c r="F76" s="853">
        <v>445995.83333333302</v>
      </c>
      <c r="G76" s="860"/>
      <c r="H76" s="860"/>
      <c r="I76" s="860">
        <f t="shared" si="12"/>
        <v>0</v>
      </c>
      <c r="J76" s="860"/>
    </row>
    <row r="77" spans="1:10" ht="20.100000000000001" customHeight="1" x14ac:dyDescent="0.2">
      <c r="A77" s="8">
        <v>3</v>
      </c>
      <c r="B77" s="9" t="s">
        <v>174</v>
      </c>
      <c r="C77" s="2" t="s">
        <v>175</v>
      </c>
      <c r="D77" s="13" t="s">
        <v>176</v>
      </c>
      <c r="E77" s="70">
        <v>470498</v>
      </c>
      <c r="F77" s="853">
        <v>357066.66666666698</v>
      </c>
      <c r="G77" s="860">
        <v>6154.3229166666697</v>
      </c>
      <c r="H77" s="860">
        <f>0.025*F77</f>
        <v>8926.6666666666806</v>
      </c>
      <c r="I77" s="860">
        <f t="shared" si="12"/>
        <v>2772.34375000001</v>
      </c>
      <c r="J77" s="860">
        <f>H77*12</f>
        <v>107120</v>
      </c>
    </row>
    <row r="78" spans="1:10" ht="20.100000000000001" customHeight="1" x14ac:dyDescent="0.2">
      <c r="A78" s="8">
        <v>4</v>
      </c>
      <c r="B78" s="9" t="s">
        <v>181</v>
      </c>
      <c r="C78" s="2" t="s">
        <v>182</v>
      </c>
      <c r="D78" s="8" t="s">
        <v>68</v>
      </c>
      <c r="E78" s="70">
        <v>365703.83333333302</v>
      </c>
      <c r="F78" s="853">
        <v>286447.08333333302</v>
      </c>
      <c r="G78" s="860"/>
      <c r="H78" s="860"/>
      <c r="I78" s="860">
        <f t="shared" si="12"/>
        <v>0</v>
      </c>
      <c r="J78" s="860"/>
    </row>
    <row r="79" spans="1:10" ht="20.100000000000001" customHeight="1" x14ac:dyDescent="0.2">
      <c r="A79" s="8">
        <v>5</v>
      </c>
      <c r="B79" s="9" t="s">
        <v>183</v>
      </c>
      <c r="C79" s="2" t="s">
        <v>184</v>
      </c>
      <c r="D79" s="8" t="s">
        <v>87</v>
      </c>
      <c r="E79" s="70">
        <v>263165.33333333302</v>
      </c>
      <c r="F79" s="853">
        <v>222674.58333333299</v>
      </c>
      <c r="G79" s="860"/>
      <c r="H79" s="860"/>
      <c r="I79" s="860">
        <f t="shared" si="12"/>
        <v>0</v>
      </c>
      <c r="J79" s="860"/>
    </row>
    <row r="80" spans="1:10" ht="20.100000000000001" customHeight="1" x14ac:dyDescent="0.2">
      <c r="A80" s="8">
        <v>6</v>
      </c>
      <c r="B80" s="9" t="s">
        <v>185</v>
      </c>
      <c r="C80" s="2" t="s">
        <v>186</v>
      </c>
      <c r="D80" s="8" t="s">
        <v>102</v>
      </c>
      <c r="E80" s="70">
        <v>230631.91666666701</v>
      </c>
      <c r="F80" s="853">
        <v>196364.41666666701</v>
      </c>
      <c r="G80" s="860"/>
      <c r="H80" s="860"/>
      <c r="I80" s="860">
        <f t="shared" si="12"/>
        <v>0</v>
      </c>
      <c r="J80" s="860"/>
    </row>
    <row r="81" spans="1:10" ht="20.100000000000001" customHeight="1" x14ac:dyDescent="0.5">
      <c r="A81" s="8"/>
      <c r="B81" s="18" t="s">
        <v>111</v>
      </c>
      <c r="C81" s="19">
        <v>6</v>
      </c>
      <c r="D81" s="19"/>
      <c r="E81" s="78">
        <f t="shared" ref="E81:J81" si="13">SUM(E75:E80)</f>
        <v>3347837.1666666698</v>
      </c>
      <c r="F81" s="856">
        <f t="shared" si="13"/>
        <v>2595325.66666666</v>
      </c>
      <c r="G81" s="78">
        <f t="shared" si="13"/>
        <v>6154.3229166666697</v>
      </c>
      <c r="H81" s="78">
        <f t="shared" si="13"/>
        <v>8926.6666666666806</v>
      </c>
      <c r="I81" s="78">
        <f t="shared" si="13"/>
        <v>2772.34375000001</v>
      </c>
      <c r="J81" s="78">
        <f t="shared" si="13"/>
        <v>107120</v>
      </c>
    </row>
    <row r="82" spans="1:10" ht="20.100000000000001" customHeight="1" x14ac:dyDescent="0.2">
      <c r="A82" s="8"/>
      <c r="B82" s="18"/>
      <c r="C82" s="19"/>
      <c r="D82" s="19"/>
      <c r="E82" s="122"/>
      <c r="F82" s="857"/>
      <c r="G82" s="860"/>
      <c r="H82" s="860"/>
      <c r="I82" s="860"/>
      <c r="J82" s="860"/>
    </row>
    <row r="83" spans="1:10" ht="20.100000000000001" customHeight="1" x14ac:dyDescent="0.2">
      <c r="A83" s="8"/>
      <c r="B83" s="18" t="s">
        <v>187</v>
      </c>
      <c r="C83" s="23"/>
      <c r="D83" s="19"/>
      <c r="E83" s="122"/>
      <c r="F83" s="857"/>
      <c r="G83" s="860"/>
      <c r="H83" s="860"/>
      <c r="I83" s="860"/>
      <c r="J83" s="860"/>
    </row>
    <row r="84" spans="1:10" ht="20.100000000000001" customHeight="1" x14ac:dyDescent="0.2">
      <c r="A84" s="8">
        <v>1</v>
      </c>
      <c r="B84" s="9" t="s">
        <v>188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860">
        <v>18254.974999999999</v>
      </c>
      <c r="H84" s="860">
        <f>0.025*F84</f>
        <v>25644.208333333299</v>
      </c>
      <c r="I84" s="860">
        <f t="shared" ref="I84:I93" si="14">H84-G84</f>
        <v>7389.2333333332499</v>
      </c>
      <c r="J84" s="860">
        <f>H84*12</f>
        <v>307730.49999999901</v>
      </c>
    </row>
    <row r="85" spans="1:10" ht="20.100000000000001" customHeight="1" x14ac:dyDescent="0.2">
      <c r="A85" s="8">
        <v>2</v>
      </c>
      <c r="B85" s="9" t="s">
        <v>190</v>
      </c>
      <c r="C85" s="2" t="s">
        <v>191</v>
      </c>
      <c r="D85" s="8" t="s">
        <v>192</v>
      </c>
      <c r="E85" s="70">
        <v>716034</v>
      </c>
      <c r="F85" s="853">
        <v>523386.5</v>
      </c>
      <c r="G85" s="860"/>
      <c r="H85" s="860"/>
      <c r="I85" s="860">
        <f t="shared" si="14"/>
        <v>0</v>
      </c>
      <c r="J85" s="860"/>
    </row>
    <row r="86" spans="1:10" ht="20.100000000000001" customHeight="1" x14ac:dyDescent="0.2">
      <c r="A86" s="8">
        <v>3</v>
      </c>
      <c r="B86" s="9" t="s">
        <v>193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860"/>
      <c r="H86" s="860"/>
      <c r="I86" s="860">
        <f t="shared" si="14"/>
        <v>0</v>
      </c>
      <c r="J86" s="860"/>
    </row>
    <row r="87" spans="1:10" ht="21.6" customHeight="1" x14ac:dyDescent="0.2">
      <c r="A87" s="8">
        <v>4</v>
      </c>
      <c r="B87" s="9" t="s">
        <v>194</v>
      </c>
      <c r="C87" s="2" t="s">
        <v>156</v>
      </c>
      <c r="D87" s="13" t="s">
        <v>46</v>
      </c>
      <c r="E87" s="70">
        <v>456622.25</v>
      </c>
      <c r="F87" s="853">
        <v>442746.5</v>
      </c>
      <c r="G87" s="860"/>
      <c r="H87" s="860"/>
      <c r="I87" s="860">
        <f t="shared" si="14"/>
        <v>0</v>
      </c>
      <c r="J87" s="860"/>
    </row>
    <row r="88" spans="1:10" ht="21.6" customHeight="1" x14ac:dyDescent="0.2">
      <c r="A88" s="8">
        <v>5</v>
      </c>
      <c r="B88" s="9" t="s">
        <v>195</v>
      </c>
      <c r="C88" s="2" t="s">
        <v>156</v>
      </c>
      <c r="D88" s="13" t="s">
        <v>46</v>
      </c>
      <c r="E88" s="70">
        <v>456622.25</v>
      </c>
      <c r="F88" s="853">
        <v>442746.5</v>
      </c>
      <c r="G88" s="860"/>
      <c r="H88" s="860"/>
      <c r="I88" s="860">
        <f t="shared" si="14"/>
        <v>0</v>
      </c>
      <c r="J88" s="860"/>
    </row>
    <row r="89" spans="1:10" ht="21.6" customHeight="1" x14ac:dyDescent="0.2">
      <c r="A89" s="8">
        <v>6</v>
      </c>
      <c r="B89" s="9" t="s">
        <v>196</v>
      </c>
      <c r="C89" s="10" t="s">
        <v>156</v>
      </c>
      <c r="D89" s="13" t="s">
        <v>197</v>
      </c>
      <c r="E89" s="70">
        <v>442746.5</v>
      </c>
      <c r="F89" s="853">
        <v>428870.75</v>
      </c>
      <c r="G89" s="860"/>
      <c r="H89" s="860"/>
      <c r="I89" s="860">
        <f t="shared" si="14"/>
        <v>0</v>
      </c>
      <c r="J89" s="860"/>
    </row>
    <row r="90" spans="1:10" ht="21.6" customHeight="1" x14ac:dyDescent="0.2">
      <c r="A90" s="8">
        <v>7</v>
      </c>
      <c r="B90" s="9" t="s">
        <v>198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860"/>
      <c r="H90" s="860"/>
      <c r="I90" s="860">
        <f t="shared" si="14"/>
        <v>0</v>
      </c>
      <c r="J90" s="860"/>
    </row>
    <row r="91" spans="1:10" ht="21.6" customHeight="1" x14ac:dyDescent="0.2">
      <c r="A91" s="8">
        <v>8</v>
      </c>
      <c r="B91" s="9" t="s">
        <v>199</v>
      </c>
      <c r="C91" s="15" t="s">
        <v>158</v>
      </c>
      <c r="D91" s="13" t="s">
        <v>200</v>
      </c>
      <c r="E91" s="70">
        <v>403137.91666666698</v>
      </c>
      <c r="F91" s="853">
        <v>311673.25</v>
      </c>
      <c r="G91" s="860">
        <v>5259.7437499999996</v>
      </c>
      <c r="H91" s="860">
        <f>0.025*F91</f>
        <v>7791.8312500000002</v>
      </c>
      <c r="I91" s="860">
        <f t="shared" si="14"/>
        <v>2532.0875000000001</v>
      </c>
      <c r="J91" s="860">
        <f>H91*12</f>
        <v>93501.975000000006</v>
      </c>
    </row>
    <row r="92" spans="1:10" ht="21.6" customHeight="1" x14ac:dyDescent="0.2">
      <c r="A92" s="8">
        <v>9</v>
      </c>
      <c r="B92" s="9" t="s">
        <v>202</v>
      </c>
      <c r="C92" s="2" t="s">
        <v>203</v>
      </c>
      <c r="D92" s="8" t="s">
        <v>119</v>
      </c>
      <c r="E92" s="186">
        <v>308901.5</v>
      </c>
      <c r="F92" s="853">
        <v>246171.16666666701</v>
      </c>
      <c r="G92" s="860"/>
      <c r="H92" s="860"/>
      <c r="I92" s="860">
        <f t="shared" si="14"/>
        <v>0</v>
      </c>
      <c r="J92" s="860"/>
    </row>
    <row r="93" spans="1:10" ht="21.6" customHeight="1" x14ac:dyDescent="0.2">
      <c r="A93" s="8">
        <v>10</v>
      </c>
      <c r="B93" s="9" t="s">
        <v>204</v>
      </c>
      <c r="C93" s="15" t="s">
        <v>205</v>
      </c>
      <c r="D93" s="13" t="s">
        <v>206</v>
      </c>
      <c r="E93" s="186">
        <v>236804.08333333299</v>
      </c>
      <c r="F93" s="853">
        <v>200549.41666666701</v>
      </c>
      <c r="G93" s="860"/>
      <c r="H93" s="860"/>
      <c r="I93" s="860">
        <f t="shared" si="14"/>
        <v>0</v>
      </c>
      <c r="J93" s="860"/>
    </row>
    <row r="94" spans="1:10" ht="20.100000000000001" customHeight="1" x14ac:dyDescent="0.5">
      <c r="A94" s="8"/>
      <c r="B94" s="18" t="s">
        <v>111</v>
      </c>
      <c r="C94" s="19">
        <v>10</v>
      </c>
      <c r="D94" s="19"/>
      <c r="E94" s="78">
        <f t="shared" ref="E94:J94" si="15">SUM(E84:E93)</f>
        <v>5352203.1666666698</v>
      </c>
      <c r="F94" s="856">
        <f t="shared" si="15"/>
        <v>4362571.1666666605</v>
      </c>
      <c r="G94" s="78">
        <f t="shared" si="15"/>
        <v>23514.71875</v>
      </c>
      <c r="H94" s="78">
        <f t="shared" si="15"/>
        <v>33436.039583333302</v>
      </c>
      <c r="I94" s="78">
        <f t="shared" si="15"/>
        <v>9921.3208333332495</v>
      </c>
      <c r="J94" s="78">
        <f t="shared" si="15"/>
        <v>401232.47499999899</v>
      </c>
    </row>
    <row r="95" spans="1:10" ht="20.100000000000001" customHeight="1" x14ac:dyDescent="0.2">
      <c r="A95" s="8"/>
      <c r="B95" s="20"/>
      <c r="C95" s="19"/>
      <c r="D95" s="19"/>
      <c r="E95" s="122"/>
      <c r="F95" s="857"/>
      <c r="G95" s="860"/>
      <c r="H95" s="860"/>
      <c r="I95" s="860"/>
      <c r="J95" s="860"/>
    </row>
    <row r="96" spans="1:10" ht="20.100000000000001" customHeight="1" x14ac:dyDescent="0.2">
      <c r="A96" s="8"/>
      <c r="B96" s="18" t="s">
        <v>207</v>
      </c>
      <c r="C96" s="19"/>
      <c r="D96" s="19"/>
      <c r="E96" s="122"/>
      <c r="F96" s="857"/>
      <c r="G96" s="860"/>
      <c r="H96" s="860"/>
      <c r="I96" s="860"/>
      <c r="J96" s="860"/>
    </row>
    <row r="97" spans="1:10" ht="20.100000000000001" customHeight="1" x14ac:dyDescent="0.2">
      <c r="A97" s="8">
        <v>1</v>
      </c>
      <c r="B97" s="12" t="s">
        <v>208</v>
      </c>
      <c r="C97" s="2" t="s">
        <v>209</v>
      </c>
      <c r="D97" s="14" t="s">
        <v>210</v>
      </c>
      <c r="E97" s="70">
        <v>1393881.33333333</v>
      </c>
      <c r="F97" s="853">
        <v>1056272.83333333</v>
      </c>
      <c r="G97" s="860">
        <v>18254.974999999999</v>
      </c>
      <c r="H97" s="860">
        <f>0.025*F97</f>
        <v>26406.820833333299</v>
      </c>
      <c r="I97" s="860">
        <f t="shared" ref="I97:I101" si="16">H97-G97</f>
        <v>8151.8458333332501</v>
      </c>
      <c r="J97" s="860">
        <f t="shared" ref="J97:J101" si="17">H97*12</f>
        <v>316881.84999999899</v>
      </c>
    </row>
    <row r="98" spans="1:10" ht="20.100000000000001" customHeight="1" x14ac:dyDescent="0.2">
      <c r="A98" s="8">
        <v>2</v>
      </c>
      <c r="B98" s="9" t="s">
        <v>211</v>
      </c>
      <c r="C98" s="2" t="s">
        <v>212</v>
      </c>
      <c r="D98" s="13" t="s">
        <v>176</v>
      </c>
      <c r="E98" s="70">
        <v>470498</v>
      </c>
      <c r="F98" s="853">
        <v>357066.66666666698</v>
      </c>
      <c r="G98" s="860"/>
      <c r="H98" s="860"/>
      <c r="I98" s="860">
        <f t="shared" si="16"/>
        <v>0</v>
      </c>
      <c r="J98" s="860">
        <f t="shared" si="17"/>
        <v>0</v>
      </c>
    </row>
    <row r="99" spans="1:10" ht="20.100000000000001" customHeight="1" x14ac:dyDescent="0.2">
      <c r="A99" s="8">
        <v>3</v>
      </c>
      <c r="B99" s="9" t="s">
        <v>213</v>
      </c>
      <c r="C99" s="10" t="s">
        <v>214</v>
      </c>
      <c r="D99" s="13" t="s">
        <v>200</v>
      </c>
      <c r="E99" s="70">
        <v>403137.91666666698</v>
      </c>
      <c r="F99" s="853">
        <v>311673.25</v>
      </c>
      <c r="G99" s="860">
        <v>5967.3062499999996</v>
      </c>
      <c r="H99" s="860">
        <f>0.025*F99</f>
        <v>7791.8312500000002</v>
      </c>
      <c r="I99" s="860">
        <f t="shared" si="16"/>
        <v>1824.5250000000001</v>
      </c>
      <c r="J99" s="860">
        <f t="shared" si="17"/>
        <v>93501.975000000006</v>
      </c>
    </row>
    <row r="100" spans="1:10" ht="20.100000000000001" customHeight="1" x14ac:dyDescent="0.2">
      <c r="A100" s="8">
        <v>4</v>
      </c>
      <c r="B100" s="9" t="s">
        <v>217</v>
      </c>
      <c r="C100" s="2" t="s">
        <v>218</v>
      </c>
      <c r="D100" s="13" t="s">
        <v>65</v>
      </c>
      <c r="E100" s="70">
        <v>390086.5</v>
      </c>
      <c r="F100" s="853">
        <v>302878.66666666698</v>
      </c>
      <c r="G100" s="860"/>
      <c r="H100" s="860"/>
      <c r="I100" s="860">
        <f t="shared" si="16"/>
        <v>0</v>
      </c>
      <c r="J100" s="860">
        <f t="shared" si="17"/>
        <v>0</v>
      </c>
    </row>
    <row r="101" spans="1:10" ht="20.100000000000001" customHeight="1" x14ac:dyDescent="0.2">
      <c r="A101" s="8">
        <v>5</v>
      </c>
      <c r="B101" s="9" t="s">
        <v>219</v>
      </c>
      <c r="C101" s="2" t="s">
        <v>220</v>
      </c>
      <c r="D101" s="13" t="s">
        <v>119</v>
      </c>
      <c r="E101" s="186">
        <v>308901.5</v>
      </c>
      <c r="F101" s="853">
        <v>246171.16666666701</v>
      </c>
      <c r="G101" s="860"/>
      <c r="H101" s="860"/>
      <c r="I101" s="860">
        <f t="shared" si="16"/>
        <v>0</v>
      </c>
      <c r="J101" s="860">
        <f t="shared" si="17"/>
        <v>0</v>
      </c>
    </row>
    <row r="102" spans="1:10" ht="20.100000000000001" customHeight="1" x14ac:dyDescent="0.5">
      <c r="A102" s="2"/>
      <c r="B102" s="18" t="s">
        <v>111</v>
      </c>
      <c r="C102" s="19">
        <v>5</v>
      </c>
      <c r="D102" s="24"/>
      <c r="E102" s="78">
        <f t="shared" ref="E102:J102" si="18">SUM(E97:E101)</f>
        <v>2966505.25</v>
      </c>
      <c r="F102" s="856">
        <f t="shared" si="18"/>
        <v>2274062.5833333302</v>
      </c>
      <c r="G102" s="78">
        <f t="shared" si="18"/>
        <v>24222.28125</v>
      </c>
      <c r="H102" s="78">
        <f t="shared" si="18"/>
        <v>34198.652083333298</v>
      </c>
      <c r="I102" s="78">
        <f t="shared" si="18"/>
        <v>9976.3708333332506</v>
      </c>
      <c r="J102" s="78">
        <f t="shared" si="18"/>
        <v>410383.82499999902</v>
      </c>
    </row>
    <row r="103" spans="1:10" ht="20.100000000000001" customHeight="1" x14ac:dyDescent="0.2">
      <c r="A103" s="2"/>
      <c r="B103" s="20"/>
      <c r="C103" s="19"/>
      <c r="D103" s="24"/>
      <c r="E103" s="122"/>
      <c r="F103" s="857"/>
      <c r="G103" s="860"/>
      <c r="H103" s="860"/>
      <c r="I103" s="860"/>
      <c r="J103" s="860"/>
    </row>
    <row r="104" spans="1:10" ht="20.100000000000001" customHeight="1" x14ac:dyDescent="0.2">
      <c r="A104" s="2"/>
      <c r="B104" s="18" t="s">
        <v>221</v>
      </c>
      <c r="C104" s="2"/>
      <c r="D104" s="2"/>
      <c r="E104" s="2"/>
      <c r="F104" s="861"/>
      <c r="G104" s="860"/>
      <c r="H104" s="860"/>
      <c r="I104" s="860"/>
      <c r="J104" s="860"/>
    </row>
    <row r="105" spans="1:10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853">
        <v>1086777.08333333</v>
      </c>
      <c r="G105" s="860">
        <v>0</v>
      </c>
      <c r="H105" s="860"/>
      <c r="I105" s="860">
        <f t="shared" ref="I105:I111" si="19">H105-G105</f>
        <v>0</v>
      </c>
      <c r="J105" s="860"/>
    </row>
    <row r="106" spans="1:10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853">
        <v>554669.5</v>
      </c>
      <c r="G106" s="860">
        <v>10293.3979166667</v>
      </c>
      <c r="H106" s="860">
        <f>0.025*F106</f>
        <v>13866.737499999999</v>
      </c>
      <c r="I106" s="860">
        <f t="shared" si="19"/>
        <v>3573.3395833333002</v>
      </c>
      <c r="J106" s="860">
        <f>H106*12</f>
        <v>166400.85</v>
      </c>
    </row>
    <row r="107" spans="1:10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853">
        <v>337730.83333333302</v>
      </c>
      <c r="G107" s="860">
        <v>5954.6104166666701</v>
      </c>
      <c r="H107" s="860">
        <f>0.025*F107</f>
        <v>8443.2708333333303</v>
      </c>
      <c r="I107" s="860">
        <f t="shared" si="19"/>
        <v>2488.6604166666598</v>
      </c>
      <c r="J107" s="860">
        <f>H107*12</f>
        <v>101319.25</v>
      </c>
    </row>
    <row r="108" spans="1:10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52</v>
      </c>
      <c r="E108" s="70">
        <v>441804.91666666698</v>
      </c>
      <c r="F108" s="853">
        <v>337730.83333333302</v>
      </c>
      <c r="G108" s="860"/>
      <c r="H108" s="860"/>
      <c r="I108" s="860">
        <f t="shared" si="19"/>
        <v>0</v>
      </c>
      <c r="J108" s="860"/>
    </row>
    <row r="109" spans="1:10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232</v>
      </c>
      <c r="E109" s="186">
        <v>255320.58333333299</v>
      </c>
      <c r="F109" s="853">
        <v>213104.41666666701</v>
      </c>
      <c r="G109" s="860"/>
      <c r="H109" s="860"/>
      <c r="I109" s="860">
        <f t="shared" si="19"/>
        <v>0</v>
      </c>
      <c r="J109" s="860"/>
    </row>
    <row r="110" spans="1:10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96</v>
      </c>
      <c r="E110" s="186">
        <v>255849</v>
      </c>
      <c r="F110" s="853">
        <v>212792.16666666701</v>
      </c>
      <c r="G110" s="860"/>
      <c r="H110" s="860"/>
      <c r="I110" s="860">
        <f t="shared" si="19"/>
        <v>0</v>
      </c>
      <c r="J110" s="860"/>
    </row>
    <row r="111" spans="1:10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206</v>
      </c>
      <c r="E111" s="186">
        <v>236804.08333333299</v>
      </c>
      <c r="F111" s="853">
        <v>200549.41666666701</v>
      </c>
      <c r="G111" s="860"/>
      <c r="H111" s="860"/>
      <c r="I111" s="860">
        <f t="shared" si="19"/>
        <v>0</v>
      </c>
      <c r="J111" s="860"/>
    </row>
    <row r="112" spans="1:10" ht="25.5" customHeight="1" x14ac:dyDescent="0.5">
      <c r="A112" s="2"/>
      <c r="B112" s="18" t="s">
        <v>111</v>
      </c>
      <c r="C112" s="19">
        <v>7</v>
      </c>
      <c r="D112" s="2"/>
      <c r="E112" s="189">
        <f t="shared" ref="E112:J112" si="20">SUM(E105:E111)</f>
        <v>3829676.6666666698</v>
      </c>
      <c r="F112" s="862">
        <f t="shared" si="20"/>
        <v>2943354.25</v>
      </c>
      <c r="G112" s="189">
        <f t="shared" si="20"/>
        <v>16248.008333333401</v>
      </c>
      <c r="H112" s="189">
        <f t="shared" si="20"/>
        <v>22310.008333333299</v>
      </c>
      <c r="I112" s="189">
        <f t="shared" si="20"/>
        <v>6061.99999999996</v>
      </c>
      <c r="J112" s="189">
        <f t="shared" si="20"/>
        <v>267720.09999999998</v>
      </c>
    </row>
    <row r="113" spans="1:10" ht="20.100000000000001" customHeight="1" x14ac:dyDescent="0.5">
      <c r="A113" s="2"/>
      <c r="B113" s="18"/>
      <c r="C113" s="19"/>
      <c r="D113" s="2"/>
      <c r="E113" s="189"/>
      <c r="F113" s="862"/>
      <c r="G113" s="860"/>
      <c r="H113" s="860"/>
      <c r="I113" s="860"/>
      <c r="J113" s="860"/>
    </row>
    <row r="114" spans="1:10" ht="20.100000000000001" customHeight="1" x14ac:dyDescent="0.2">
      <c r="A114" s="8"/>
      <c r="B114" s="18" t="s">
        <v>235</v>
      </c>
      <c r="C114" s="19"/>
      <c r="D114" s="19"/>
      <c r="E114" s="122"/>
      <c r="F114" s="857"/>
      <c r="G114" s="860"/>
      <c r="H114" s="860"/>
      <c r="I114" s="860"/>
      <c r="J114" s="860"/>
    </row>
    <row r="115" spans="1:10" ht="18.75" customHeight="1" x14ac:dyDescent="0.2">
      <c r="A115" s="8">
        <v>1</v>
      </c>
      <c r="B115" s="9" t="s">
        <v>236</v>
      </c>
      <c r="C115" s="2" t="s">
        <v>237</v>
      </c>
      <c r="D115" s="13" t="s">
        <v>65</v>
      </c>
      <c r="E115" s="70">
        <v>390086.5</v>
      </c>
      <c r="F115" s="853">
        <v>302878.66666666698</v>
      </c>
      <c r="G115" s="860"/>
      <c r="H115" s="860"/>
      <c r="I115" s="860">
        <f t="shared" ref="I115:I117" si="21">H115-G115</f>
        <v>0</v>
      </c>
      <c r="J115" s="860"/>
    </row>
    <row r="116" spans="1:10" ht="18.75" customHeight="1" x14ac:dyDescent="0.2">
      <c r="A116" s="8">
        <v>2</v>
      </c>
      <c r="B116" s="9" t="s">
        <v>238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860"/>
      <c r="H116" s="860"/>
      <c r="I116" s="860">
        <f t="shared" si="21"/>
        <v>0</v>
      </c>
      <c r="J116" s="860"/>
    </row>
    <row r="117" spans="1:10" ht="20.100000000000001" customHeight="1" x14ac:dyDescent="0.2">
      <c r="A117" s="8">
        <v>3</v>
      </c>
      <c r="B117" s="9" t="s">
        <v>177</v>
      </c>
      <c r="C117" s="10" t="s">
        <v>178</v>
      </c>
      <c r="D117" s="13" t="s">
        <v>159</v>
      </c>
      <c r="E117" s="70">
        <v>390248.91666666698</v>
      </c>
      <c r="F117" s="853">
        <v>302987.41666666698</v>
      </c>
      <c r="G117" s="860">
        <v>5967.3062499999996</v>
      </c>
      <c r="H117" s="860">
        <f>0.025*F117</f>
        <v>7574.6854166666699</v>
      </c>
      <c r="I117" s="860">
        <f t="shared" si="21"/>
        <v>1607.37916666667</v>
      </c>
      <c r="J117" s="860">
        <f>H117*12</f>
        <v>90896.225000000093</v>
      </c>
    </row>
    <row r="118" spans="1:10" ht="24.75" customHeight="1" x14ac:dyDescent="0.5">
      <c r="A118" s="2"/>
      <c r="B118" s="18" t="s">
        <v>111</v>
      </c>
      <c r="C118" s="19">
        <v>3</v>
      </c>
      <c r="D118" s="24"/>
      <c r="E118" s="78">
        <f t="shared" ref="E118:J118" si="22">SUM(E115:E117)</f>
        <v>1158230.58333333</v>
      </c>
      <c r="F118" s="856">
        <f t="shared" si="22"/>
        <v>900529.00000000105</v>
      </c>
      <c r="G118" s="78">
        <f t="shared" si="22"/>
        <v>5967.3062499999996</v>
      </c>
      <c r="H118" s="78">
        <f t="shared" si="22"/>
        <v>7574.6854166666699</v>
      </c>
      <c r="I118" s="78">
        <f t="shared" si="22"/>
        <v>1607.37916666667</v>
      </c>
      <c r="J118" s="78">
        <f t="shared" si="22"/>
        <v>90896.225000000093</v>
      </c>
    </row>
    <row r="119" spans="1:10" ht="24.75" customHeight="1" x14ac:dyDescent="0.5">
      <c r="A119" s="2"/>
      <c r="B119" s="18"/>
      <c r="C119" s="19"/>
      <c r="D119" s="24"/>
      <c r="E119" s="78"/>
      <c r="F119" s="856"/>
      <c r="G119" s="860"/>
      <c r="H119" s="860"/>
      <c r="I119" s="860"/>
      <c r="J119" s="860"/>
    </row>
    <row r="120" spans="1:10" ht="24.75" customHeight="1" x14ac:dyDescent="0.2">
      <c r="A120" s="8"/>
      <c r="B120" s="18" t="s">
        <v>243</v>
      </c>
      <c r="C120" s="19"/>
      <c r="D120" s="19"/>
      <c r="E120" s="122"/>
      <c r="F120" s="857"/>
      <c r="G120" s="860"/>
      <c r="H120" s="860"/>
      <c r="I120" s="860"/>
      <c r="J120" s="860"/>
    </row>
    <row r="121" spans="1:10" ht="24.75" customHeight="1" x14ac:dyDescent="0.2">
      <c r="A121" s="8">
        <v>2</v>
      </c>
      <c r="B121" s="9" t="s">
        <v>246</v>
      </c>
      <c r="C121" s="2" t="s">
        <v>247</v>
      </c>
      <c r="D121" s="8" t="s">
        <v>108</v>
      </c>
      <c r="E121" s="70">
        <v>218287.58333333299</v>
      </c>
      <c r="F121" s="853">
        <v>187994.41666666701</v>
      </c>
      <c r="G121" s="860"/>
      <c r="H121" s="860"/>
      <c r="I121" s="860">
        <f t="shared" ref="I121:I135" si="23">H121-G121</f>
        <v>0</v>
      </c>
      <c r="J121" s="860"/>
    </row>
    <row r="122" spans="1:10" ht="24.75" customHeight="1" x14ac:dyDescent="0.2">
      <c r="A122" s="8">
        <v>3</v>
      </c>
      <c r="B122" s="9" t="s">
        <v>248</v>
      </c>
      <c r="C122" s="2" t="s">
        <v>249</v>
      </c>
      <c r="D122" s="8" t="s">
        <v>108</v>
      </c>
      <c r="E122" s="70">
        <v>218287.58333333299</v>
      </c>
      <c r="F122" s="853">
        <v>187994.41666666701</v>
      </c>
      <c r="G122" s="860"/>
      <c r="H122" s="860"/>
      <c r="I122" s="860">
        <f t="shared" si="23"/>
        <v>0</v>
      </c>
      <c r="J122" s="860"/>
    </row>
    <row r="123" spans="1:10" ht="20.100000000000001" customHeight="1" x14ac:dyDescent="0.5">
      <c r="A123" s="2"/>
      <c r="B123" s="18" t="s">
        <v>111</v>
      </c>
      <c r="C123" s="19">
        <v>3</v>
      </c>
      <c r="D123" s="24"/>
      <c r="E123" s="78">
        <f t="shared" ref="E123:J123" si="24">SUM(E121:E122)</f>
        <v>436575.16666666599</v>
      </c>
      <c r="F123" s="856">
        <f t="shared" si="24"/>
        <v>375988.83333333401</v>
      </c>
      <c r="G123" s="78">
        <f t="shared" si="24"/>
        <v>0</v>
      </c>
      <c r="H123" s="78">
        <f t="shared" si="24"/>
        <v>0</v>
      </c>
      <c r="I123" s="78">
        <f t="shared" si="24"/>
        <v>0</v>
      </c>
      <c r="J123" s="78">
        <f t="shared" si="24"/>
        <v>0</v>
      </c>
    </row>
    <row r="124" spans="1:10" ht="20.100000000000001" customHeight="1" x14ac:dyDescent="0.5">
      <c r="A124" s="2"/>
      <c r="B124" s="18"/>
      <c r="C124" s="19"/>
      <c r="D124" s="24"/>
      <c r="E124" s="78"/>
      <c r="F124" s="856"/>
      <c r="G124" s="860"/>
      <c r="H124" s="860"/>
      <c r="I124" s="860"/>
      <c r="J124" s="860"/>
    </row>
    <row r="125" spans="1:10" ht="20.100000000000001" customHeight="1" x14ac:dyDescent="0.2">
      <c r="A125" s="2"/>
      <c r="B125" s="18" t="s">
        <v>250</v>
      </c>
      <c r="C125" s="19"/>
      <c r="D125" s="19"/>
      <c r="E125" s="122"/>
      <c r="F125" s="857"/>
      <c r="G125" s="860"/>
      <c r="H125" s="860"/>
      <c r="I125" s="860"/>
      <c r="J125" s="860"/>
    </row>
    <row r="126" spans="1:10" ht="20.100000000000001" customHeight="1" x14ac:dyDescent="0.2">
      <c r="A126" s="2">
        <v>1</v>
      </c>
      <c r="B126" s="9" t="s">
        <v>251</v>
      </c>
      <c r="C126" s="10" t="s">
        <v>252</v>
      </c>
      <c r="D126" s="13" t="s">
        <v>115</v>
      </c>
      <c r="E126" s="70">
        <v>1435720</v>
      </c>
      <c r="F126" s="853">
        <v>1086777.08333333</v>
      </c>
      <c r="G126" s="860">
        <v>19384.766666666699</v>
      </c>
      <c r="H126" s="860">
        <f t="shared" ref="H126:H128" si="25">0.025*F126</f>
        <v>27169.427083333299</v>
      </c>
      <c r="I126" s="860">
        <f t="shared" si="23"/>
        <v>7784.6604166665502</v>
      </c>
      <c r="J126" s="860">
        <f t="shared" ref="J126:J135" si="26">H126*12</f>
        <v>326033.12499999901</v>
      </c>
    </row>
    <row r="127" spans="1:10" ht="20.100000000000001" customHeight="1" x14ac:dyDescent="0.2">
      <c r="A127" s="2">
        <v>2</v>
      </c>
      <c r="B127" s="9" t="s">
        <v>253</v>
      </c>
      <c r="C127" s="10" t="s">
        <v>254</v>
      </c>
      <c r="D127" s="13" t="s">
        <v>154</v>
      </c>
      <c r="E127" s="70">
        <v>762373.16666666698</v>
      </c>
      <c r="F127" s="853">
        <v>554669.5</v>
      </c>
      <c r="G127" s="860">
        <v>9980.5666666666693</v>
      </c>
      <c r="H127" s="860">
        <f t="shared" si="25"/>
        <v>13866.737499999999</v>
      </c>
      <c r="I127" s="860">
        <f t="shared" si="23"/>
        <v>3886.1708333333299</v>
      </c>
      <c r="J127" s="860">
        <f t="shared" si="26"/>
        <v>166400.85</v>
      </c>
    </row>
    <row r="128" spans="1:10" ht="20.100000000000001" customHeight="1" x14ac:dyDescent="0.2">
      <c r="A128" s="2">
        <v>3</v>
      </c>
      <c r="B128" s="12" t="s">
        <v>255</v>
      </c>
      <c r="C128" s="10" t="s">
        <v>256</v>
      </c>
      <c r="D128" s="13" t="s">
        <v>192</v>
      </c>
      <c r="E128" s="70">
        <v>716034</v>
      </c>
      <c r="F128" s="853">
        <v>523386.5</v>
      </c>
      <c r="G128" s="860">
        <v>9980.5666666666693</v>
      </c>
      <c r="H128" s="860">
        <f t="shared" si="25"/>
        <v>13084.6625</v>
      </c>
      <c r="I128" s="860">
        <f t="shared" si="23"/>
        <v>3104.0958333333301</v>
      </c>
      <c r="J128" s="860">
        <f t="shared" si="26"/>
        <v>157015.95000000001</v>
      </c>
    </row>
    <row r="129" spans="1:10" ht="20.100000000000001" customHeight="1" x14ac:dyDescent="0.2">
      <c r="A129" s="2">
        <v>4</v>
      </c>
      <c r="B129" s="9" t="s">
        <v>257</v>
      </c>
      <c r="C129" s="10" t="s">
        <v>258</v>
      </c>
      <c r="D129" s="13" t="s">
        <v>41</v>
      </c>
      <c r="E129" s="70">
        <v>484373.75</v>
      </c>
      <c r="F129" s="853">
        <v>366417.5</v>
      </c>
      <c r="G129" s="860">
        <v>0</v>
      </c>
      <c r="H129" s="860"/>
      <c r="I129" s="860">
        <f t="shared" si="23"/>
        <v>0</v>
      </c>
      <c r="J129" s="860">
        <f t="shared" si="26"/>
        <v>0</v>
      </c>
    </row>
    <row r="130" spans="1:10" ht="20.100000000000001" customHeight="1" x14ac:dyDescent="0.2">
      <c r="A130" s="2">
        <v>5</v>
      </c>
      <c r="B130" s="9" t="s">
        <v>259</v>
      </c>
      <c r="C130" s="10" t="s">
        <v>489</v>
      </c>
      <c r="D130" s="13" t="s">
        <v>46</v>
      </c>
      <c r="E130" s="70">
        <v>456622.25</v>
      </c>
      <c r="F130" s="853">
        <v>347715.91666666698</v>
      </c>
      <c r="G130" s="860">
        <v>5967.3062499999996</v>
      </c>
      <c r="H130" s="860">
        <f>0.025*F130</f>
        <v>8692.8979166666704</v>
      </c>
      <c r="I130" s="860">
        <f t="shared" si="23"/>
        <v>2725.5916666666699</v>
      </c>
      <c r="J130" s="860">
        <f t="shared" si="26"/>
        <v>104314.77499999999</v>
      </c>
    </row>
    <row r="131" spans="1:10" ht="20.100000000000001" customHeight="1" x14ac:dyDescent="0.2">
      <c r="A131" s="2">
        <v>6</v>
      </c>
      <c r="B131" s="9" t="s">
        <v>260</v>
      </c>
      <c r="C131" s="10" t="s">
        <v>258</v>
      </c>
      <c r="D131" s="13" t="s">
        <v>176</v>
      </c>
      <c r="E131" s="70">
        <v>470498</v>
      </c>
      <c r="F131" s="853">
        <v>357066.66666666698</v>
      </c>
      <c r="G131" s="860">
        <v>6154.3229166666697</v>
      </c>
      <c r="H131" s="860">
        <f>0.025*F131</f>
        <v>8926.6666666666806</v>
      </c>
      <c r="I131" s="860">
        <f t="shared" si="23"/>
        <v>2772.34375000001</v>
      </c>
      <c r="J131" s="860">
        <f t="shared" si="26"/>
        <v>107120</v>
      </c>
    </row>
    <row r="132" spans="1:10" ht="20.100000000000001" customHeight="1" x14ac:dyDescent="0.2">
      <c r="A132" s="2">
        <v>7</v>
      </c>
      <c r="B132" s="9" t="s">
        <v>263</v>
      </c>
      <c r="C132" s="10" t="s">
        <v>264</v>
      </c>
      <c r="D132" s="8" t="s">
        <v>79</v>
      </c>
      <c r="E132" s="70">
        <v>277798</v>
      </c>
      <c r="F132" s="853">
        <v>227615.75</v>
      </c>
      <c r="G132" s="860"/>
      <c r="H132" s="860"/>
      <c r="I132" s="860">
        <f t="shared" si="23"/>
        <v>0</v>
      </c>
      <c r="J132" s="860">
        <f t="shared" si="26"/>
        <v>0</v>
      </c>
    </row>
    <row r="133" spans="1:10" ht="20.100000000000001" customHeight="1" x14ac:dyDescent="0.2">
      <c r="A133" s="2">
        <v>8</v>
      </c>
      <c r="B133" s="16" t="s">
        <v>265</v>
      </c>
      <c r="C133" s="10" t="s">
        <v>266</v>
      </c>
      <c r="D133" s="13" t="s">
        <v>102</v>
      </c>
      <c r="E133" s="70">
        <v>230631.91666666701</v>
      </c>
      <c r="F133" s="853">
        <v>196364.41666666701</v>
      </c>
      <c r="G133" s="860">
        <v>0</v>
      </c>
      <c r="H133" s="860"/>
      <c r="I133" s="860">
        <f t="shared" si="23"/>
        <v>0</v>
      </c>
      <c r="J133" s="860">
        <f t="shared" si="26"/>
        <v>0</v>
      </c>
    </row>
    <row r="134" spans="1:10" ht="20.100000000000001" customHeight="1" x14ac:dyDescent="0.2">
      <c r="A134" s="2">
        <v>9</v>
      </c>
      <c r="B134" s="16" t="s">
        <v>267</v>
      </c>
      <c r="C134" s="10" t="s">
        <v>262</v>
      </c>
      <c r="D134" s="13" t="s">
        <v>102</v>
      </c>
      <c r="E134" s="70">
        <v>230631.91666666701</v>
      </c>
      <c r="F134" s="853">
        <v>196364.41666666701</v>
      </c>
      <c r="G134" s="860">
        <v>0</v>
      </c>
      <c r="H134" s="860"/>
      <c r="I134" s="860">
        <f t="shared" si="23"/>
        <v>0</v>
      </c>
      <c r="J134" s="860">
        <f t="shared" si="26"/>
        <v>0</v>
      </c>
    </row>
    <row r="135" spans="1:10" ht="20.100000000000001" customHeight="1" x14ac:dyDescent="0.2">
      <c r="A135" s="2">
        <v>10</v>
      </c>
      <c r="B135" s="16" t="s">
        <v>268</v>
      </c>
      <c r="C135" s="10" t="s">
        <v>266</v>
      </c>
      <c r="D135" s="13" t="s">
        <v>105</v>
      </c>
      <c r="E135" s="70">
        <v>224459.75</v>
      </c>
      <c r="F135" s="853">
        <v>192179.41666666701</v>
      </c>
      <c r="G135" s="860"/>
      <c r="H135" s="860"/>
      <c r="I135" s="860">
        <f t="shared" si="23"/>
        <v>0</v>
      </c>
      <c r="J135" s="860">
        <f t="shared" si="26"/>
        <v>0</v>
      </c>
    </row>
    <row r="136" spans="1:10" ht="28.5" customHeight="1" x14ac:dyDescent="0.2">
      <c r="A136" s="2"/>
      <c r="B136" s="18" t="s">
        <v>111</v>
      </c>
      <c r="C136" s="24" t="s">
        <v>490</v>
      </c>
      <c r="D136" s="13"/>
      <c r="E136" s="122">
        <f t="shared" ref="E136:J136" si="27">SUM(E126:E135)</f>
        <v>5289142.75</v>
      </c>
      <c r="F136" s="857">
        <f t="shared" si="27"/>
        <v>4048557.1666666698</v>
      </c>
      <c r="G136" s="187">
        <f t="shared" si="27"/>
        <v>51467.529166666704</v>
      </c>
      <c r="H136" s="187">
        <f t="shared" si="27"/>
        <v>71740.391666666605</v>
      </c>
      <c r="I136" s="187">
        <f t="shared" si="27"/>
        <v>20272.862499999901</v>
      </c>
      <c r="J136" s="187">
        <f t="shared" si="27"/>
        <v>860884.69999999902</v>
      </c>
    </row>
    <row r="137" spans="1:10" ht="20.100000000000001" customHeight="1" x14ac:dyDescent="0.2">
      <c r="A137" s="2"/>
      <c r="B137" s="20"/>
      <c r="C137" s="24"/>
      <c r="D137" s="13"/>
      <c r="E137" s="122"/>
      <c r="F137" s="857"/>
      <c r="G137" s="860"/>
      <c r="H137" s="860"/>
      <c r="I137" s="860"/>
      <c r="J137" s="860"/>
    </row>
    <row r="138" spans="1:10" ht="20.100000000000001" customHeight="1" x14ac:dyDescent="0.2">
      <c r="A138" s="2"/>
      <c r="B138" s="18" t="s">
        <v>270</v>
      </c>
      <c r="C138" s="10"/>
      <c r="D138" s="13"/>
      <c r="E138" s="70"/>
      <c r="F138" s="853"/>
      <c r="G138" s="860"/>
      <c r="H138" s="860"/>
      <c r="I138" s="860"/>
      <c r="J138" s="860"/>
    </row>
    <row r="139" spans="1:10" ht="20.100000000000001" customHeight="1" x14ac:dyDescent="0.2">
      <c r="A139" s="25">
        <v>1</v>
      </c>
      <c r="B139" s="12" t="s">
        <v>271</v>
      </c>
      <c r="C139" s="2" t="s">
        <v>272</v>
      </c>
      <c r="D139" s="8" t="s">
        <v>273</v>
      </c>
      <c r="E139" s="70">
        <f>'[4]Annual &amp; Monthly'!$H$44</f>
        <v>1352042.66666667</v>
      </c>
      <c r="F139" s="853">
        <v>1025768.33333333</v>
      </c>
      <c r="G139" s="860">
        <v>18254.974999999999</v>
      </c>
      <c r="H139" s="860">
        <f t="shared" ref="H139:H143" si="28">0.025*F139</f>
        <v>25644.208333333299</v>
      </c>
      <c r="I139" s="860">
        <f t="shared" ref="I139:I198" si="29">H139-G139</f>
        <v>7389.2333333332499</v>
      </c>
      <c r="J139" s="860">
        <f t="shared" ref="J139:J198" si="30">H139*12</f>
        <v>307730.49999999901</v>
      </c>
    </row>
    <row r="140" spans="1:10" ht="20.100000000000001" customHeight="1" x14ac:dyDescent="0.2">
      <c r="A140" s="25">
        <v>2</v>
      </c>
      <c r="B140" s="12" t="s">
        <v>274</v>
      </c>
      <c r="C140" s="2" t="s">
        <v>275</v>
      </c>
      <c r="D140" s="14" t="s">
        <v>154</v>
      </c>
      <c r="E140" s="70">
        <v>762373.16666666698</v>
      </c>
      <c r="F140" s="853">
        <v>554669.5</v>
      </c>
      <c r="G140" s="860">
        <v>10293.3979166667</v>
      </c>
      <c r="H140" s="860">
        <f t="shared" si="28"/>
        <v>13866.737499999999</v>
      </c>
      <c r="I140" s="860">
        <f t="shared" si="29"/>
        <v>3573.3395833333002</v>
      </c>
      <c r="J140" s="860">
        <f t="shared" si="30"/>
        <v>166400.85</v>
      </c>
    </row>
    <row r="141" spans="1:10" ht="20.100000000000001" customHeight="1" x14ac:dyDescent="0.2">
      <c r="A141" s="25">
        <v>3</v>
      </c>
      <c r="B141" s="9" t="s">
        <v>276</v>
      </c>
      <c r="C141" s="10" t="s">
        <v>277</v>
      </c>
      <c r="D141" s="13" t="s">
        <v>49</v>
      </c>
      <c r="E141" s="70">
        <v>582118.08333333302</v>
      </c>
      <c r="F141" s="853">
        <v>432981.08333333302</v>
      </c>
      <c r="G141" s="860">
        <v>8380.2270833333296</v>
      </c>
      <c r="H141" s="860">
        <f t="shared" si="28"/>
        <v>10824.5270833333</v>
      </c>
      <c r="I141" s="860">
        <f t="shared" si="29"/>
        <v>2444.3000000000002</v>
      </c>
      <c r="J141" s="860">
        <f t="shared" si="30"/>
        <v>129894.325</v>
      </c>
    </row>
    <row r="142" spans="1:10" ht="20.100000000000001" customHeight="1" x14ac:dyDescent="0.2">
      <c r="A142" s="25">
        <v>4</v>
      </c>
      <c r="B142" s="9" t="s">
        <v>278</v>
      </c>
      <c r="C142" s="2" t="s">
        <v>279</v>
      </c>
      <c r="D142" s="13" t="s">
        <v>49</v>
      </c>
      <c r="E142" s="70">
        <v>582119.08333333302</v>
      </c>
      <c r="F142" s="853">
        <v>432981.08333333302</v>
      </c>
      <c r="G142" s="860">
        <v>8381.2270833333296</v>
      </c>
      <c r="H142" s="860">
        <f t="shared" si="28"/>
        <v>10824.5270833333</v>
      </c>
      <c r="I142" s="860">
        <f t="shared" si="29"/>
        <v>2443.3000000000002</v>
      </c>
      <c r="J142" s="860">
        <f t="shared" si="30"/>
        <v>129894.325</v>
      </c>
    </row>
    <row r="143" spans="1:10" ht="20.100000000000001" customHeight="1" x14ac:dyDescent="0.2">
      <c r="A143" s="25">
        <v>5</v>
      </c>
      <c r="B143" s="9" t="s">
        <v>280</v>
      </c>
      <c r="C143" s="2" t="s">
        <v>279</v>
      </c>
      <c r="D143" s="13" t="s">
        <v>49</v>
      </c>
      <c r="E143" s="70">
        <v>582120.08333333302</v>
      </c>
      <c r="F143" s="853">
        <v>432981.08333333302</v>
      </c>
      <c r="G143" s="860">
        <v>8382.2270833333296</v>
      </c>
      <c r="H143" s="860">
        <f t="shared" si="28"/>
        <v>10824.5270833333</v>
      </c>
      <c r="I143" s="860">
        <f t="shared" si="29"/>
        <v>2442.3000000000002</v>
      </c>
      <c r="J143" s="860">
        <f t="shared" si="30"/>
        <v>129894.325</v>
      </c>
    </row>
    <row r="144" spans="1:10" ht="20.100000000000001" customHeight="1" x14ac:dyDescent="0.2">
      <c r="A144" s="25">
        <v>6</v>
      </c>
      <c r="B144" s="9" t="s">
        <v>281</v>
      </c>
      <c r="C144" s="10" t="s">
        <v>214</v>
      </c>
      <c r="D144" s="13" t="s">
        <v>159</v>
      </c>
      <c r="E144" s="70">
        <v>390248.91666666698</v>
      </c>
      <c r="F144" s="853">
        <v>311673.25</v>
      </c>
      <c r="G144" s="860">
        <v>0</v>
      </c>
      <c r="H144" s="860"/>
      <c r="I144" s="860">
        <f t="shared" si="29"/>
        <v>0</v>
      </c>
      <c r="J144" s="860">
        <f t="shared" si="30"/>
        <v>0</v>
      </c>
    </row>
    <row r="145" spans="1:10" ht="20.100000000000001" customHeight="1" x14ac:dyDescent="0.2">
      <c r="A145" s="25">
        <v>7</v>
      </c>
      <c r="B145" s="9" t="s">
        <v>282</v>
      </c>
      <c r="C145" s="2" t="s">
        <v>491</v>
      </c>
      <c r="D145" s="13" t="s">
        <v>159</v>
      </c>
      <c r="E145" s="70">
        <v>390248.91666666698</v>
      </c>
      <c r="F145" s="853">
        <v>302987.41666666698</v>
      </c>
      <c r="G145" s="860">
        <v>0</v>
      </c>
      <c r="H145" s="860"/>
      <c r="I145" s="860">
        <f t="shared" si="29"/>
        <v>0</v>
      </c>
      <c r="J145" s="860">
        <f t="shared" si="30"/>
        <v>0</v>
      </c>
    </row>
    <row r="146" spans="1:10" ht="20.100000000000001" customHeight="1" x14ac:dyDescent="0.2">
      <c r="A146" s="25">
        <v>8</v>
      </c>
      <c r="B146" s="9" t="s">
        <v>284</v>
      </c>
      <c r="C146" s="10" t="s">
        <v>285</v>
      </c>
      <c r="D146" s="13" t="s">
        <v>65</v>
      </c>
      <c r="E146" s="70">
        <v>390086.5</v>
      </c>
      <c r="F146" s="853">
        <v>302878.66666666698</v>
      </c>
      <c r="G146" s="860">
        <v>0</v>
      </c>
      <c r="H146" s="860"/>
      <c r="I146" s="860">
        <f t="shared" si="29"/>
        <v>0</v>
      </c>
      <c r="J146" s="860">
        <f t="shared" si="30"/>
        <v>0</v>
      </c>
    </row>
    <row r="147" spans="1:10" ht="20.100000000000001" customHeight="1" x14ac:dyDescent="0.2">
      <c r="A147" s="25">
        <v>9</v>
      </c>
      <c r="B147" s="9" t="s">
        <v>286</v>
      </c>
      <c r="C147" s="10" t="s">
        <v>287</v>
      </c>
      <c r="D147" s="13" t="s">
        <v>162</v>
      </c>
      <c r="E147" s="70">
        <v>377895.16666666698</v>
      </c>
      <c r="F147" s="853">
        <v>294662.91666666698</v>
      </c>
      <c r="G147" s="860">
        <v>4928.9333333333298</v>
      </c>
      <c r="H147" s="860">
        <f>0.025*F147</f>
        <v>7366.5729166666797</v>
      </c>
      <c r="I147" s="860">
        <f t="shared" si="29"/>
        <v>2437.6395833333499</v>
      </c>
      <c r="J147" s="860">
        <f t="shared" si="30"/>
        <v>88398.875000000102</v>
      </c>
    </row>
    <row r="148" spans="1:10" ht="20.100000000000001" customHeight="1" x14ac:dyDescent="0.2">
      <c r="A148" s="25">
        <v>10</v>
      </c>
      <c r="B148" s="16" t="s">
        <v>288</v>
      </c>
      <c r="C148" s="2" t="s">
        <v>289</v>
      </c>
      <c r="D148" s="13" t="s">
        <v>68</v>
      </c>
      <c r="E148" s="186">
        <v>365703.83333333302</v>
      </c>
      <c r="F148" s="853">
        <v>286447.08333333302</v>
      </c>
      <c r="G148" s="860">
        <v>0</v>
      </c>
      <c r="H148" s="860"/>
      <c r="I148" s="860">
        <f t="shared" si="29"/>
        <v>0</v>
      </c>
      <c r="J148" s="860">
        <f t="shared" si="30"/>
        <v>0</v>
      </c>
    </row>
    <row r="149" spans="1:10" ht="20.100000000000001" customHeight="1" x14ac:dyDescent="0.2">
      <c r="A149" s="25">
        <v>11</v>
      </c>
      <c r="B149" s="9" t="s">
        <v>290</v>
      </c>
      <c r="C149" s="2" t="s">
        <v>289</v>
      </c>
      <c r="D149" s="13" t="s">
        <v>137</v>
      </c>
      <c r="E149" s="186">
        <v>353512.5</v>
      </c>
      <c r="F149" s="853">
        <v>278231.25</v>
      </c>
      <c r="G149" s="860">
        <v>0</v>
      </c>
      <c r="H149" s="860"/>
      <c r="I149" s="860">
        <f t="shared" si="29"/>
        <v>0</v>
      </c>
      <c r="J149" s="860">
        <f t="shared" si="30"/>
        <v>0</v>
      </c>
    </row>
    <row r="150" spans="1:10" ht="20.100000000000001" customHeight="1" x14ac:dyDescent="0.2">
      <c r="A150" s="25">
        <v>12</v>
      </c>
      <c r="B150" s="9" t="s">
        <v>291</v>
      </c>
      <c r="C150" s="2" t="s">
        <v>289</v>
      </c>
      <c r="D150" s="13" t="s">
        <v>137</v>
      </c>
      <c r="E150" s="186">
        <v>353512.5</v>
      </c>
      <c r="F150" s="853">
        <v>278231.25</v>
      </c>
      <c r="G150" s="860">
        <v>4928.9333333333298</v>
      </c>
      <c r="H150" s="860">
        <f>0.025*F150</f>
        <v>6955.78125</v>
      </c>
      <c r="I150" s="860">
        <f t="shared" si="29"/>
        <v>2026.84791666667</v>
      </c>
      <c r="J150" s="860">
        <f t="shared" si="30"/>
        <v>83469.375</v>
      </c>
    </row>
    <row r="151" spans="1:10" ht="20.100000000000001" customHeight="1" x14ac:dyDescent="0.2">
      <c r="A151" s="25">
        <v>13</v>
      </c>
      <c r="B151" s="9" t="s">
        <v>293</v>
      </c>
      <c r="C151" s="2" t="s">
        <v>289</v>
      </c>
      <c r="D151" s="13" t="s">
        <v>68</v>
      </c>
      <c r="E151" s="186">
        <v>365703.83333333302</v>
      </c>
      <c r="F151" s="853">
        <v>286447.08333333302</v>
      </c>
      <c r="G151" s="860">
        <v>0</v>
      </c>
      <c r="H151" s="860"/>
      <c r="I151" s="860">
        <f t="shared" si="29"/>
        <v>0</v>
      </c>
      <c r="J151" s="860">
        <f t="shared" si="30"/>
        <v>0</v>
      </c>
    </row>
    <row r="152" spans="1:10" ht="20.100000000000001" customHeight="1" x14ac:dyDescent="0.2">
      <c r="A152" s="25">
        <v>14</v>
      </c>
      <c r="B152" s="9" t="s">
        <v>294</v>
      </c>
      <c r="C152" s="10" t="s">
        <v>295</v>
      </c>
      <c r="D152" s="13" t="s">
        <v>119</v>
      </c>
      <c r="E152" s="186">
        <v>308901.5</v>
      </c>
      <c r="F152" s="853">
        <v>246171.16666666701</v>
      </c>
      <c r="G152" s="860">
        <v>0</v>
      </c>
      <c r="H152" s="860"/>
      <c r="I152" s="860">
        <f t="shared" si="29"/>
        <v>0</v>
      </c>
      <c r="J152" s="860">
        <f t="shared" si="30"/>
        <v>0</v>
      </c>
    </row>
    <row r="153" spans="1:10" ht="20.100000000000001" customHeight="1" x14ac:dyDescent="0.2">
      <c r="A153" s="25">
        <v>15</v>
      </c>
      <c r="B153" s="9" t="s">
        <v>296</v>
      </c>
      <c r="C153" s="10" t="s">
        <v>297</v>
      </c>
      <c r="D153" s="8" t="s">
        <v>84</v>
      </c>
      <c r="E153" s="70">
        <v>270481.66666666698</v>
      </c>
      <c r="F153" s="853">
        <v>222674.58333333299</v>
      </c>
      <c r="G153" s="860">
        <v>0</v>
      </c>
      <c r="H153" s="860"/>
      <c r="I153" s="860">
        <f t="shared" si="29"/>
        <v>0</v>
      </c>
      <c r="J153" s="860">
        <f t="shared" si="30"/>
        <v>0</v>
      </c>
    </row>
    <row r="154" spans="1:10" ht="20.100000000000001" customHeight="1" x14ac:dyDescent="0.2">
      <c r="A154" s="25">
        <v>16</v>
      </c>
      <c r="B154" s="9" t="s">
        <v>298</v>
      </c>
      <c r="C154" s="10" t="s">
        <v>299</v>
      </c>
      <c r="D154" s="13" t="s">
        <v>300</v>
      </c>
      <c r="E154" s="186">
        <v>316837.41666666698</v>
      </c>
      <c r="F154" s="853">
        <v>308901.5</v>
      </c>
      <c r="G154" s="860">
        <v>0</v>
      </c>
      <c r="H154" s="860"/>
      <c r="I154" s="860">
        <f t="shared" si="29"/>
        <v>0</v>
      </c>
      <c r="J154" s="860">
        <f t="shared" si="30"/>
        <v>0</v>
      </c>
    </row>
    <row r="155" spans="1:10" ht="20.100000000000001" customHeight="1" x14ac:dyDescent="0.2">
      <c r="A155" s="25">
        <v>17</v>
      </c>
      <c r="B155" s="9" t="s">
        <v>301</v>
      </c>
      <c r="C155" s="10" t="s">
        <v>302</v>
      </c>
      <c r="D155" s="13" t="s">
        <v>79</v>
      </c>
      <c r="E155" s="186">
        <v>277798</v>
      </c>
      <c r="F155" s="853">
        <v>227615.75</v>
      </c>
      <c r="G155" s="860">
        <v>0</v>
      </c>
      <c r="H155" s="860"/>
      <c r="I155" s="860">
        <f t="shared" si="29"/>
        <v>0</v>
      </c>
      <c r="J155" s="860">
        <f t="shared" si="30"/>
        <v>0</v>
      </c>
    </row>
    <row r="156" spans="1:10" ht="20.100000000000001" customHeight="1" x14ac:dyDescent="0.2">
      <c r="A156" s="25">
        <v>18</v>
      </c>
      <c r="B156" s="9" t="s">
        <v>303</v>
      </c>
      <c r="C156" s="10" t="s">
        <v>304</v>
      </c>
      <c r="D156" s="13" t="s">
        <v>300</v>
      </c>
      <c r="E156" s="186">
        <v>316837.41666666698</v>
      </c>
      <c r="F156" s="853">
        <v>308901.5</v>
      </c>
      <c r="G156" s="860">
        <v>4123.4208333333299</v>
      </c>
      <c r="H156" s="860">
        <f>0.025*F156</f>
        <v>7722.5375000000004</v>
      </c>
      <c r="I156" s="860">
        <f t="shared" si="29"/>
        <v>3599.11666666667</v>
      </c>
      <c r="J156" s="860">
        <f t="shared" si="30"/>
        <v>92670.45</v>
      </c>
    </row>
    <row r="157" spans="1:10" ht="20.100000000000001" customHeight="1" x14ac:dyDescent="0.2">
      <c r="A157" s="25">
        <v>19</v>
      </c>
      <c r="B157" s="9" t="s">
        <v>305</v>
      </c>
      <c r="C157" s="10" t="s">
        <v>306</v>
      </c>
      <c r="D157" s="13" t="s">
        <v>79</v>
      </c>
      <c r="E157" s="186">
        <v>277798</v>
      </c>
      <c r="F157" s="853">
        <v>227615.75</v>
      </c>
      <c r="G157" s="860">
        <v>0</v>
      </c>
      <c r="H157" s="860"/>
      <c r="I157" s="860">
        <f t="shared" si="29"/>
        <v>0</v>
      </c>
      <c r="J157" s="860">
        <f t="shared" si="30"/>
        <v>0</v>
      </c>
    </row>
    <row r="158" spans="1:10" ht="20.100000000000001" customHeight="1" x14ac:dyDescent="0.2">
      <c r="A158" s="25">
        <v>20</v>
      </c>
      <c r="B158" s="16" t="s">
        <v>307</v>
      </c>
      <c r="C158" s="10" t="s">
        <v>308</v>
      </c>
      <c r="D158" s="13" t="s">
        <v>87</v>
      </c>
      <c r="E158" s="186">
        <v>263165.33333333302</v>
      </c>
      <c r="F158" s="853">
        <v>217733.41666666701</v>
      </c>
      <c r="G158" s="860">
        <v>0</v>
      </c>
      <c r="H158" s="860"/>
      <c r="I158" s="860">
        <f t="shared" si="29"/>
        <v>0</v>
      </c>
      <c r="J158" s="860">
        <f t="shared" si="30"/>
        <v>0</v>
      </c>
    </row>
    <row r="159" spans="1:10" ht="20.100000000000001" customHeight="1" x14ac:dyDescent="0.2">
      <c r="A159" s="25">
        <v>21</v>
      </c>
      <c r="B159" s="16" t="s">
        <v>309</v>
      </c>
      <c r="C159" s="10" t="s">
        <v>308</v>
      </c>
      <c r="D159" s="13" t="s">
        <v>87</v>
      </c>
      <c r="E159" s="186">
        <v>263165.33333333302</v>
      </c>
      <c r="F159" s="853">
        <v>217733.41666666701</v>
      </c>
      <c r="G159" s="860">
        <v>0</v>
      </c>
      <c r="H159" s="860"/>
      <c r="I159" s="860">
        <f t="shared" si="29"/>
        <v>0</v>
      </c>
      <c r="J159" s="860">
        <f t="shared" si="30"/>
        <v>0</v>
      </c>
    </row>
    <row r="160" spans="1:10" ht="20.100000000000001" customHeight="1" x14ac:dyDescent="0.2">
      <c r="A160" s="25">
        <v>22</v>
      </c>
      <c r="B160" s="16" t="s">
        <v>312</v>
      </c>
      <c r="C160" s="10" t="s">
        <v>313</v>
      </c>
      <c r="D160" s="13" t="s">
        <v>102</v>
      </c>
      <c r="E160" s="70">
        <v>230631.91666666701</v>
      </c>
      <c r="F160" s="853">
        <v>196364.41666666701</v>
      </c>
      <c r="G160" s="860">
        <v>0</v>
      </c>
      <c r="H160" s="860"/>
      <c r="I160" s="860">
        <f t="shared" si="29"/>
        <v>0</v>
      </c>
      <c r="J160" s="860">
        <f t="shared" si="30"/>
        <v>0</v>
      </c>
    </row>
    <row r="161" spans="1:10" ht="20.100000000000001" customHeight="1" x14ac:dyDescent="0.2">
      <c r="A161" s="25">
        <v>23</v>
      </c>
      <c r="B161" s="16" t="s">
        <v>314</v>
      </c>
      <c r="C161" s="10" t="s">
        <v>315</v>
      </c>
      <c r="D161" s="13" t="s">
        <v>102</v>
      </c>
      <c r="E161" s="70">
        <v>230631.91666666701</v>
      </c>
      <c r="F161" s="853">
        <v>196364.41666666701</v>
      </c>
      <c r="G161" s="860">
        <v>0</v>
      </c>
      <c r="H161" s="860"/>
      <c r="I161" s="860">
        <f t="shared" si="29"/>
        <v>0</v>
      </c>
      <c r="J161" s="860">
        <f t="shared" si="30"/>
        <v>0</v>
      </c>
    </row>
    <row r="162" spans="1:10" ht="20.100000000000001" customHeight="1" x14ac:dyDescent="0.2">
      <c r="A162" s="25">
        <v>24</v>
      </c>
      <c r="B162" s="16" t="s">
        <v>316</v>
      </c>
      <c r="C162" s="10" t="s">
        <v>317</v>
      </c>
      <c r="D162" s="13" t="s">
        <v>102</v>
      </c>
      <c r="E162" s="70">
        <v>230631.91666666701</v>
      </c>
      <c r="F162" s="853">
        <v>196364.41666666701</v>
      </c>
      <c r="G162" s="860">
        <v>0</v>
      </c>
      <c r="H162" s="860"/>
      <c r="I162" s="860">
        <f t="shared" si="29"/>
        <v>0</v>
      </c>
      <c r="J162" s="860">
        <f t="shared" si="30"/>
        <v>0</v>
      </c>
    </row>
    <row r="163" spans="1:10" ht="20.100000000000001" customHeight="1" x14ac:dyDescent="0.2">
      <c r="A163" s="25">
        <v>25</v>
      </c>
      <c r="B163" s="16" t="s">
        <v>318</v>
      </c>
      <c r="C163" s="10" t="s">
        <v>319</v>
      </c>
      <c r="D163" s="13" t="s">
        <v>206</v>
      </c>
      <c r="E163" s="70">
        <v>236804.08333333299</v>
      </c>
      <c r="F163" s="853">
        <v>200549.41666666701</v>
      </c>
      <c r="G163" s="860">
        <v>0</v>
      </c>
      <c r="H163" s="860"/>
      <c r="I163" s="860">
        <f t="shared" si="29"/>
        <v>0</v>
      </c>
      <c r="J163" s="860">
        <f t="shared" si="30"/>
        <v>0</v>
      </c>
    </row>
    <row r="164" spans="1:10" ht="20.100000000000001" customHeight="1" x14ac:dyDescent="0.2">
      <c r="A164" s="25">
        <v>26</v>
      </c>
      <c r="B164" s="16" t="s">
        <v>320</v>
      </c>
      <c r="C164" s="10" t="s">
        <v>315</v>
      </c>
      <c r="D164" s="13" t="s">
        <v>102</v>
      </c>
      <c r="E164" s="70">
        <v>230631.91666666701</v>
      </c>
      <c r="F164" s="853">
        <v>196364.41666666701</v>
      </c>
      <c r="G164" s="860">
        <v>0</v>
      </c>
      <c r="H164" s="860"/>
      <c r="I164" s="860">
        <f t="shared" si="29"/>
        <v>0</v>
      </c>
      <c r="J164" s="860">
        <f t="shared" si="30"/>
        <v>0</v>
      </c>
    </row>
    <row r="165" spans="1:10" ht="20.100000000000001" customHeight="1" x14ac:dyDescent="0.2">
      <c r="A165" s="25">
        <v>27</v>
      </c>
      <c r="B165" s="16" t="s">
        <v>321</v>
      </c>
      <c r="C165" s="10" t="s">
        <v>322</v>
      </c>
      <c r="D165" s="13" t="s">
        <v>105</v>
      </c>
      <c r="E165" s="630">
        <v>224459.75</v>
      </c>
      <c r="F165" s="853">
        <v>192179.41666666701</v>
      </c>
      <c r="G165" s="860"/>
      <c r="H165" s="860"/>
      <c r="I165" s="860">
        <f t="shared" si="29"/>
        <v>0</v>
      </c>
      <c r="J165" s="860">
        <f t="shared" si="30"/>
        <v>0</v>
      </c>
    </row>
    <row r="166" spans="1:10" ht="20.100000000000001" customHeight="1" x14ac:dyDescent="0.2">
      <c r="A166" s="25">
        <v>28</v>
      </c>
      <c r="B166" s="16" t="s">
        <v>323</v>
      </c>
      <c r="C166" s="10" t="s">
        <v>322</v>
      </c>
      <c r="D166" s="13" t="s">
        <v>105</v>
      </c>
      <c r="E166" s="630">
        <v>224459.75</v>
      </c>
      <c r="F166" s="853">
        <v>192179.41666666701</v>
      </c>
      <c r="G166" s="860"/>
      <c r="H166" s="860"/>
      <c r="I166" s="860">
        <f t="shared" si="29"/>
        <v>0</v>
      </c>
      <c r="J166" s="860">
        <f t="shared" si="30"/>
        <v>0</v>
      </c>
    </row>
    <row r="167" spans="1:10" ht="20.100000000000001" customHeight="1" x14ac:dyDescent="0.2">
      <c r="A167" s="25">
        <v>29</v>
      </c>
      <c r="B167" s="9" t="s">
        <v>329</v>
      </c>
      <c r="C167" s="10" t="s">
        <v>330</v>
      </c>
      <c r="D167" s="13" t="s">
        <v>331</v>
      </c>
      <c r="E167" s="192">
        <v>173859.5</v>
      </c>
      <c r="F167" s="865">
        <v>159288.58333333299</v>
      </c>
      <c r="G167" s="860">
        <v>2313.5749999999998</v>
      </c>
      <c r="H167" s="860">
        <f>0.025*F167</f>
        <v>3982.2145833333302</v>
      </c>
      <c r="I167" s="860">
        <f t="shared" si="29"/>
        <v>1668.6395833333299</v>
      </c>
      <c r="J167" s="860">
        <f t="shared" si="30"/>
        <v>47786.574999999903</v>
      </c>
    </row>
    <row r="168" spans="1:10" ht="20.100000000000001" customHeight="1" x14ac:dyDescent="0.2">
      <c r="A168" s="25">
        <v>30</v>
      </c>
      <c r="B168" s="9" t="s">
        <v>332</v>
      </c>
      <c r="C168" s="10" t="s">
        <v>330</v>
      </c>
      <c r="D168" s="13" t="s">
        <v>331</v>
      </c>
      <c r="E168" s="192">
        <v>173859.5</v>
      </c>
      <c r="F168" s="865">
        <v>159288.58333333299</v>
      </c>
      <c r="G168" s="860">
        <v>0</v>
      </c>
      <c r="H168" s="860"/>
      <c r="I168" s="860">
        <f t="shared" si="29"/>
        <v>0</v>
      </c>
      <c r="J168" s="860">
        <f t="shared" si="30"/>
        <v>0</v>
      </c>
    </row>
    <row r="169" spans="1:10" ht="20.100000000000001" customHeight="1" x14ac:dyDescent="0.2">
      <c r="A169" s="25">
        <v>31</v>
      </c>
      <c r="B169" s="9" t="s">
        <v>333</v>
      </c>
      <c r="C169" s="10" t="s">
        <v>330</v>
      </c>
      <c r="D169" s="13" t="s">
        <v>331</v>
      </c>
      <c r="E169" s="192">
        <v>173859.5</v>
      </c>
      <c r="F169" s="865">
        <v>159288.58333333299</v>
      </c>
      <c r="G169" s="860">
        <v>0</v>
      </c>
      <c r="H169" s="860"/>
      <c r="I169" s="860">
        <f t="shared" si="29"/>
        <v>0</v>
      </c>
      <c r="J169" s="860">
        <f t="shared" si="30"/>
        <v>0</v>
      </c>
    </row>
    <row r="170" spans="1:10" ht="20.100000000000001" customHeight="1" x14ac:dyDescent="0.2">
      <c r="A170" s="25">
        <v>32</v>
      </c>
      <c r="B170" s="9" t="s">
        <v>334</v>
      </c>
      <c r="C170" s="10" t="s">
        <v>330</v>
      </c>
      <c r="D170" s="13" t="s">
        <v>331</v>
      </c>
      <c r="E170" s="192">
        <v>173859.5</v>
      </c>
      <c r="F170" s="865">
        <v>159288.58333333299</v>
      </c>
      <c r="G170" s="860">
        <v>2313.5749999999998</v>
      </c>
      <c r="H170" s="860">
        <v>3982.2145833333302</v>
      </c>
      <c r="I170" s="860">
        <f t="shared" si="29"/>
        <v>1668.6395833333299</v>
      </c>
      <c r="J170" s="860">
        <f t="shared" si="30"/>
        <v>47786.574999999997</v>
      </c>
    </row>
    <row r="171" spans="1:10" ht="20.100000000000001" customHeight="1" x14ac:dyDescent="0.2">
      <c r="A171" s="25">
        <v>33</v>
      </c>
      <c r="B171" s="9" t="s">
        <v>335</v>
      </c>
      <c r="C171" s="10" t="s">
        <v>330</v>
      </c>
      <c r="D171" s="13" t="s">
        <v>331</v>
      </c>
      <c r="E171" s="192">
        <v>173859.5</v>
      </c>
      <c r="F171" s="865">
        <v>159288.58333333299</v>
      </c>
      <c r="G171" s="860"/>
      <c r="H171" s="860"/>
      <c r="I171" s="860">
        <f t="shared" si="29"/>
        <v>0</v>
      </c>
      <c r="J171" s="860">
        <f t="shared" si="30"/>
        <v>0</v>
      </c>
    </row>
    <row r="172" spans="1:10" ht="20.100000000000001" customHeight="1" x14ac:dyDescent="0.2">
      <c r="A172" s="25">
        <v>34</v>
      </c>
      <c r="B172" s="9" t="s">
        <v>336</v>
      </c>
      <c r="C172" s="10" t="s">
        <v>330</v>
      </c>
      <c r="D172" s="13" t="s">
        <v>337</v>
      </c>
      <c r="E172" s="192">
        <v>168598.16666666701</v>
      </c>
      <c r="F172" s="865">
        <v>155678.66666666701</v>
      </c>
      <c r="G172" s="860"/>
      <c r="H172" s="860"/>
      <c r="I172" s="860">
        <f t="shared" si="29"/>
        <v>0</v>
      </c>
      <c r="J172" s="860">
        <f t="shared" si="30"/>
        <v>0</v>
      </c>
    </row>
    <row r="173" spans="1:10" ht="20.100000000000001" customHeight="1" x14ac:dyDescent="0.2">
      <c r="A173" s="25">
        <v>35</v>
      </c>
      <c r="B173" s="9" t="s">
        <v>338</v>
      </c>
      <c r="C173" s="10" t="s">
        <v>330</v>
      </c>
      <c r="D173" s="13" t="s">
        <v>337</v>
      </c>
      <c r="E173" s="192">
        <v>168598.16666666701</v>
      </c>
      <c r="F173" s="865">
        <v>155678.66666666701</v>
      </c>
      <c r="G173" s="860"/>
      <c r="H173" s="860"/>
      <c r="I173" s="860">
        <f t="shared" si="29"/>
        <v>0</v>
      </c>
      <c r="J173" s="860">
        <f t="shared" si="30"/>
        <v>0</v>
      </c>
    </row>
    <row r="174" spans="1:10" ht="20.100000000000001" customHeight="1" x14ac:dyDescent="0.2">
      <c r="A174" s="25">
        <v>36</v>
      </c>
      <c r="B174" s="12" t="s">
        <v>339</v>
      </c>
      <c r="C174" s="10" t="s">
        <v>330</v>
      </c>
      <c r="D174" s="13" t="s">
        <v>337</v>
      </c>
      <c r="E174" s="192">
        <v>168598.16666666701</v>
      </c>
      <c r="F174" s="865">
        <v>155678.66666666701</v>
      </c>
      <c r="G174" s="860"/>
      <c r="H174" s="860"/>
      <c r="I174" s="860">
        <f t="shared" si="29"/>
        <v>0</v>
      </c>
      <c r="J174" s="860">
        <f t="shared" si="30"/>
        <v>0</v>
      </c>
    </row>
    <row r="175" spans="1:10" ht="20.100000000000001" customHeight="1" x14ac:dyDescent="0.2">
      <c r="A175" s="25">
        <v>37</v>
      </c>
      <c r="B175" s="9" t="s">
        <v>340</v>
      </c>
      <c r="C175" s="10" t="s">
        <v>330</v>
      </c>
      <c r="D175" s="13" t="s">
        <v>337</v>
      </c>
      <c r="E175" s="192">
        <v>168598.16666666701</v>
      </c>
      <c r="F175" s="865">
        <v>155678.66666666701</v>
      </c>
      <c r="G175" s="860"/>
      <c r="H175" s="860"/>
      <c r="I175" s="860">
        <f t="shared" si="29"/>
        <v>0</v>
      </c>
      <c r="J175" s="860">
        <f t="shared" si="30"/>
        <v>0</v>
      </c>
    </row>
    <row r="176" spans="1:10" ht="20.100000000000001" customHeight="1" x14ac:dyDescent="0.2">
      <c r="A176" s="25">
        <v>38</v>
      </c>
      <c r="B176" s="16" t="s">
        <v>341</v>
      </c>
      <c r="C176" s="10" t="s">
        <v>330</v>
      </c>
      <c r="D176" s="13" t="s">
        <v>337</v>
      </c>
      <c r="E176" s="192">
        <v>168598.16666666701</v>
      </c>
      <c r="F176" s="865">
        <v>155678.66666666701</v>
      </c>
      <c r="G176" s="860"/>
      <c r="H176" s="860"/>
      <c r="I176" s="860">
        <f t="shared" si="29"/>
        <v>0</v>
      </c>
      <c r="J176" s="860">
        <f t="shared" si="30"/>
        <v>0</v>
      </c>
    </row>
    <row r="177" spans="1:10" ht="20.100000000000001" customHeight="1" x14ac:dyDescent="0.2">
      <c r="A177" s="25">
        <v>39</v>
      </c>
      <c r="B177" s="16" t="s">
        <v>342</v>
      </c>
      <c r="C177" s="10" t="s">
        <v>330</v>
      </c>
      <c r="D177" s="13" t="s">
        <v>337</v>
      </c>
      <c r="E177" s="192">
        <v>168598.16666666701</v>
      </c>
      <c r="F177" s="865">
        <v>155678.66666666701</v>
      </c>
      <c r="G177" s="860"/>
      <c r="H177" s="860"/>
      <c r="I177" s="860">
        <f t="shared" si="29"/>
        <v>0</v>
      </c>
      <c r="J177" s="860">
        <f t="shared" si="30"/>
        <v>0</v>
      </c>
    </row>
    <row r="178" spans="1:10" ht="20.100000000000001" customHeight="1" x14ac:dyDescent="0.2">
      <c r="A178" s="25">
        <v>40</v>
      </c>
      <c r="B178" s="9" t="s">
        <v>343</v>
      </c>
      <c r="C178" s="10" t="s">
        <v>344</v>
      </c>
      <c r="D178" s="13" t="s">
        <v>345</v>
      </c>
      <c r="E178" s="70">
        <v>158075.5</v>
      </c>
      <c r="F178" s="865">
        <v>148459</v>
      </c>
      <c r="G178" s="860"/>
      <c r="H178" s="860"/>
      <c r="I178" s="860">
        <f t="shared" si="29"/>
        <v>0</v>
      </c>
      <c r="J178" s="860">
        <f t="shared" si="30"/>
        <v>0</v>
      </c>
    </row>
    <row r="179" spans="1:10" ht="20.100000000000001" customHeight="1" x14ac:dyDescent="0.2">
      <c r="A179" s="25">
        <v>41</v>
      </c>
      <c r="B179" s="9" t="s">
        <v>346</v>
      </c>
      <c r="C179" s="10" t="s">
        <v>344</v>
      </c>
      <c r="D179" s="13" t="s">
        <v>345</v>
      </c>
      <c r="E179" s="70">
        <v>158075.5</v>
      </c>
      <c r="F179" s="865">
        <v>148459</v>
      </c>
      <c r="G179" s="860"/>
      <c r="H179" s="860"/>
      <c r="I179" s="860">
        <f t="shared" si="29"/>
        <v>0</v>
      </c>
      <c r="J179" s="860">
        <f t="shared" si="30"/>
        <v>0</v>
      </c>
    </row>
    <row r="180" spans="1:10" ht="20.100000000000001" customHeight="1" x14ac:dyDescent="0.2">
      <c r="A180" s="25">
        <v>42</v>
      </c>
      <c r="B180" s="16" t="s">
        <v>347</v>
      </c>
      <c r="C180" s="10" t="s">
        <v>344</v>
      </c>
      <c r="D180" s="13" t="s">
        <v>348</v>
      </c>
      <c r="E180" s="70">
        <v>163336.83333333299</v>
      </c>
      <c r="F180" s="865">
        <v>152068.83333333299</v>
      </c>
      <c r="G180" s="860"/>
      <c r="H180" s="860"/>
      <c r="I180" s="860">
        <f t="shared" si="29"/>
        <v>0</v>
      </c>
      <c r="J180" s="860">
        <f t="shared" si="30"/>
        <v>0</v>
      </c>
    </row>
    <row r="181" spans="1:10" ht="20.100000000000001" customHeight="1" x14ac:dyDescent="0.2">
      <c r="A181" s="25">
        <v>43</v>
      </c>
      <c r="B181" s="9" t="s">
        <v>349</v>
      </c>
      <c r="C181" s="10" t="s">
        <v>350</v>
      </c>
      <c r="D181" s="13" t="s">
        <v>351</v>
      </c>
      <c r="E181" s="70">
        <v>152814.16666666701</v>
      </c>
      <c r="F181" s="865">
        <v>144849.08333333299</v>
      </c>
      <c r="G181" s="860"/>
      <c r="H181" s="860"/>
      <c r="I181" s="860">
        <f t="shared" si="29"/>
        <v>0</v>
      </c>
      <c r="J181" s="860">
        <f t="shared" si="30"/>
        <v>0</v>
      </c>
    </row>
    <row r="182" spans="1:10" ht="20.100000000000001" customHeight="1" x14ac:dyDescent="0.2">
      <c r="A182" s="25">
        <v>44</v>
      </c>
      <c r="B182" s="9" t="s">
        <v>352</v>
      </c>
      <c r="C182" s="10" t="s">
        <v>353</v>
      </c>
      <c r="D182" s="13" t="s">
        <v>492</v>
      </c>
      <c r="E182" s="70">
        <v>94145.75</v>
      </c>
      <c r="F182" s="865">
        <v>101053.25</v>
      </c>
      <c r="G182" s="860"/>
      <c r="H182" s="860"/>
      <c r="I182" s="860">
        <f t="shared" si="29"/>
        <v>0</v>
      </c>
      <c r="J182" s="860">
        <f t="shared" si="30"/>
        <v>0</v>
      </c>
    </row>
    <row r="183" spans="1:10" ht="20.100000000000001" customHeight="1" x14ac:dyDescent="0.2">
      <c r="A183" s="25">
        <v>45</v>
      </c>
      <c r="B183" s="9" t="s">
        <v>355</v>
      </c>
      <c r="C183" s="10" t="s">
        <v>353</v>
      </c>
      <c r="D183" s="13" t="s">
        <v>492</v>
      </c>
      <c r="E183" s="70">
        <v>94145.75</v>
      </c>
      <c r="F183" s="865">
        <v>101053.25</v>
      </c>
      <c r="G183" s="860"/>
      <c r="H183" s="860"/>
      <c r="I183" s="860">
        <f t="shared" si="29"/>
        <v>0</v>
      </c>
      <c r="J183" s="860">
        <f t="shared" si="30"/>
        <v>0</v>
      </c>
    </row>
    <row r="184" spans="1:10" ht="20.100000000000001" customHeight="1" x14ac:dyDescent="0.2">
      <c r="A184" s="25">
        <v>46</v>
      </c>
      <c r="B184" s="9" t="s">
        <v>356</v>
      </c>
      <c r="C184" s="10" t="s">
        <v>353</v>
      </c>
      <c r="D184" s="13" t="s">
        <v>492</v>
      </c>
      <c r="E184" s="70">
        <v>94145.75</v>
      </c>
      <c r="F184" s="865">
        <v>101053.25</v>
      </c>
      <c r="G184" s="860"/>
      <c r="H184" s="860"/>
      <c r="I184" s="860">
        <f t="shared" si="29"/>
        <v>0</v>
      </c>
      <c r="J184" s="860">
        <f t="shared" si="30"/>
        <v>0</v>
      </c>
    </row>
    <row r="185" spans="1:10" ht="20.100000000000001" customHeight="1" x14ac:dyDescent="0.2">
      <c r="A185" s="25">
        <v>47</v>
      </c>
      <c r="B185" s="9" t="s">
        <v>357</v>
      </c>
      <c r="C185" s="10" t="s">
        <v>353</v>
      </c>
      <c r="D185" s="13" t="s">
        <v>492</v>
      </c>
      <c r="E185" s="70">
        <v>94145.75</v>
      </c>
      <c r="F185" s="865">
        <v>101053.25</v>
      </c>
      <c r="G185" s="860"/>
      <c r="H185" s="860"/>
      <c r="I185" s="860">
        <f t="shared" si="29"/>
        <v>0</v>
      </c>
      <c r="J185" s="860">
        <f t="shared" si="30"/>
        <v>0</v>
      </c>
    </row>
    <row r="186" spans="1:10" ht="20.100000000000001" customHeight="1" x14ac:dyDescent="0.2">
      <c r="A186" s="25">
        <v>48</v>
      </c>
      <c r="B186" s="9" t="s">
        <v>358</v>
      </c>
      <c r="C186" s="10" t="s">
        <v>353</v>
      </c>
      <c r="D186" s="13" t="s">
        <v>492</v>
      </c>
      <c r="E186" s="70">
        <v>94145.75</v>
      </c>
      <c r="F186" s="865">
        <v>101053.25</v>
      </c>
      <c r="G186" s="860"/>
      <c r="H186" s="860"/>
      <c r="I186" s="860">
        <f t="shared" si="29"/>
        <v>0</v>
      </c>
      <c r="J186" s="860">
        <f t="shared" si="30"/>
        <v>0</v>
      </c>
    </row>
    <row r="187" spans="1:10" ht="20.100000000000001" customHeight="1" x14ac:dyDescent="0.2">
      <c r="A187" s="25">
        <v>49</v>
      </c>
      <c r="B187" s="16" t="s">
        <v>359</v>
      </c>
      <c r="C187" s="10" t="s">
        <v>353</v>
      </c>
      <c r="D187" s="13" t="s">
        <v>492</v>
      </c>
      <c r="E187" s="70">
        <v>94145.75</v>
      </c>
      <c r="F187" s="865">
        <v>101053.25</v>
      </c>
      <c r="G187" s="860"/>
      <c r="H187" s="860"/>
      <c r="I187" s="860">
        <f t="shared" si="29"/>
        <v>0</v>
      </c>
      <c r="J187" s="860">
        <f t="shared" si="30"/>
        <v>0</v>
      </c>
    </row>
    <row r="188" spans="1:10" ht="20.100000000000001" customHeight="1" x14ac:dyDescent="0.2">
      <c r="A188" s="25">
        <v>50</v>
      </c>
      <c r="B188" s="16" t="s">
        <v>360</v>
      </c>
      <c r="C188" s="10" t="s">
        <v>353</v>
      </c>
      <c r="D188" s="13" t="s">
        <v>492</v>
      </c>
      <c r="E188" s="70">
        <v>94145.75</v>
      </c>
      <c r="F188" s="865">
        <v>101053.25</v>
      </c>
      <c r="G188" s="860"/>
      <c r="H188" s="860"/>
      <c r="I188" s="860">
        <f t="shared" si="29"/>
        <v>0</v>
      </c>
      <c r="J188" s="860">
        <f t="shared" si="30"/>
        <v>0</v>
      </c>
    </row>
    <row r="189" spans="1:10" ht="20.100000000000001" customHeight="1" x14ac:dyDescent="0.2">
      <c r="A189" s="25">
        <v>51</v>
      </c>
      <c r="B189" s="9" t="s">
        <v>493</v>
      </c>
      <c r="C189" s="10" t="s">
        <v>350</v>
      </c>
      <c r="D189" s="13" t="s">
        <v>492</v>
      </c>
      <c r="E189" s="70">
        <v>94145.75</v>
      </c>
      <c r="F189" s="865">
        <v>101053.25</v>
      </c>
      <c r="G189" s="860"/>
      <c r="H189" s="860"/>
      <c r="I189" s="860">
        <f t="shared" si="29"/>
        <v>0</v>
      </c>
      <c r="J189" s="860">
        <f t="shared" si="30"/>
        <v>0</v>
      </c>
    </row>
    <row r="190" spans="1:10" ht="20.100000000000001" customHeight="1" x14ac:dyDescent="0.2">
      <c r="A190" s="25">
        <v>52</v>
      </c>
      <c r="B190" s="9" t="s">
        <v>361</v>
      </c>
      <c r="C190" s="10" t="s">
        <v>350</v>
      </c>
      <c r="D190" s="13" t="s">
        <v>492</v>
      </c>
      <c r="E190" s="70">
        <v>94145.75</v>
      </c>
      <c r="F190" s="865">
        <v>101053.25</v>
      </c>
      <c r="G190" s="860"/>
      <c r="H190" s="860"/>
      <c r="I190" s="860">
        <f t="shared" si="29"/>
        <v>0</v>
      </c>
      <c r="J190" s="860">
        <f t="shared" si="30"/>
        <v>0</v>
      </c>
    </row>
    <row r="191" spans="1:10" ht="20.100000000000001" customHeight="1" x14ac:dyDescent="0.2">
      <c r="A191" s="25">
        <v>53</v>
      </c>
      <c r="B191" s="16" t="s">
        <v>362</v>
      </c>
      <c r="C191" s="10" t="s">
        <v>363</v>
      </c>
      <c r="D191" s="13" t="s">
        <v>364</v>
      </c>
      <c r="E191" s="70">
        <v>91598</v>
      </c>
      <c r="F191" s="865">
        <v>99486.916666666701</v>
      </c>
      <c r="G191" s="860"/>
      <c r="H191" s="860"/>
      <c r="I191" s="860">
        <f t="shared" si="29"/>
        <v>0</v>
      </c>
      <c r="J191" s="860">
        <f t="shared" si="30"/>
        <v>0</v>
      </c>
    </row>
    <row r="192" spans="1:10" ht="20.100000000000001" customHeight="1" x14ac:dyDescent="0.2">
      <c r="A192" s="25">
        <v>54</v>
      </c>
      <c r="B192" s="16" t="s">
        <v>365</v>
      </c>
      <c r="C192" s="10" t="s">
        <v>363</v>
      </c>
      <c r="D192" s="13" t="s">
        <v>366</v>
      </c>
      <c r="E192" s="70">
        <v>86502.5</v>
      </c>
      <c r="F192" s="865">
        <v>96354.25</v>
      </c>
      <c r="G192" s="860"/>
      <c r="H192" s="860"/>
      <c r="I192" s="860">
        <f t="shared" si="29"/>
        <v>0</v>
      </c>
      <c r="J192" s="860">
        <f t="shared" si="30"/>
        <v>0</v>
      </c>
    </row>
    <row r="193" spans="1:10" ht="20.100000000000001" customHeight="1" x14ac:dyDescent="0.2">
      <c r="A193" s="25">
        <v>55</v>
      </c>
      <c r="B193" s="16" t="s">
        <v>367</v>
      </c>
      <c r="C193" s="10" t="s">
        <v>363</v>
      </c>
      <c r="D193" s="13" t="s">
        <v>368</v>
      </c>
      <c r="E193" s="70">
        <v>83933</v>
      </c>
      <c r="F193" s="865">
        <v>94788.166666666701</v>
      </c>
      <c r="G193" s="860"/>
      <c r="H193" s="860"/>
      <c r="I193" s="860">
        <f t="shared" si="29"/>
        <v>0</v>
      </c>
      <c r="J193" s="860">
        <f t="shared" si="30"/>
        <v>0</v>
      </c>
    </row>
    <row r="194" spans="1:10" ht="20.100000000000001" customHeight="1" x14ac:dyDescent="0.2">
      <c r="A194" s="25">
        <v>56</v>
      </c>
      <c r="B194" s="16" t="s">
        <v>369</v>
      </c>
      <c r="C194" s="10" t="s">
        <v>370</v>
      </c>
      <c r="D194" s="13" t="s">
        <v>371</v>
      </c>
      <c r="E194" s="70">
        <v>78733.833333333299</v>
      </c>
      <c r="F194" s="853">
        <v>91578.25</v>
      </c>
      <c r="G194" s="860"/>
      <c r="H194" s="860"/>
      <c r="I194" s="860">
        <f t="shared" si="29"/>
        <v>0</v>
      </c>
      <c r="J194" s="860">
        <f t="shared" si="30"/>
        <v>0</v>
      </c>
    </row>
    <row r="195" spans="1:10" ht="20.100000000000001" customHeight="1" x14ac:dyDescent="0.2">
      <c r="A195" s="25">
        <v>57</v>
      </c>
      <c r="B195" s="16" t="s">
        <v>372</v>
      </c>
      <c r="C195" s="10" t="s">
        <v>370</v>
      </c>
      <c r="D195" s="13" t="s">
        <v>371</v>
      </c>
      <c r="E195" s="70">
        <v>78733.833333333299</v>
      </c>
      <c r="F195" s="853">
        <v>91578.25</v>
      </c>
      <c r="G195" s="860"/>
      <c r="H195" s="860"/>
      <c r="I195" s="860">
        <f t="shared" si="29"/>
        <v>0</v>
      </c>
      <c r="J195" s="860">
        <f t="shared" si="30"/>
        <v>0</v>
      </c>
    </row>
    <row r="196" spans="1:10" ht="20.100000000000001" customHeight="1" x14ac:dyDescent="0.2">
      <c r="A196" s="25">
        <v>58</v>
      </c>
      <c r="B196" s="16" t="s">
        <v>373</v>
      </c>
      <c r="C196" s="10" t="s">
        <v>370</v>
      </c>
      <c r="D196" s="13" t="s">
        <v>371</v>
      </c>
      <c r="E196" s="70">
        <v>78733.833333333299</v>
      </c>
      <c r="F196" s="853">
        <v>91578.25</v>
      </c>
      <c r="G196" s="860"/>
      <c r="H196" s="860"/>
      <c r="I196" s="860">
        <f t="shared" si="29"/>
        <v>0</v>
      </c>
      <c r="J196" s="860">
        <f t="shared" si="30"/>
        <v>0</v>
      </c>
    </row>
    <row r="197" spans="1:10" ht="20.100000000000001" customHeight="1" x14ac:dyDescent="0.2">
      <c r="A197" s="25">
        <v>59</v>
      </c>
      <c r="B197" s="16" t="s">
        <v>374</v>
      </c>
      <c r="C197" s="10" t="s">
        <v>375</v>
      </c>
      <c r="D197" s="13" t="s">
        <v>376</v>
      </c>
      <c r="E197" s="70">
        <v>89050.25</v>
      </c>
      <c r="F197" s="853">
        <v>97920.666666666701</v>
      </c>
      <c r="G197" s="860"/>
      <c r="H197" s="860"/>
      <c r="I197" s="860">
        <f t="shared" si="29"/>
        <v>0</v>
      </c>
      <c r="J197" s="860">
        <f t="shared" si="30"/>
        <v>0</v>
      </c>
    </row>
    <row r="198" spans="1:10" ht="20.100000000000001" customHeight="1" x14ac:dyDescent="0.2">
      <c r="A198" s="25">
        <v>60</v>
      </c>
      <c r="B198" s="16" t="s">
        <v>377</v>
      </c>
      <c r="C198" s="10" t="s">
        <v>375</v>
      </c>
      <c r="D198" s="13" t="s">
        <v>376</v>
      </c>
      <c r="E198" s="70">
        <v>89050.25</v>
      </c>
      <c r="F198" s="853">
        <v>97920.666666666701</v>
      </c>
      <c r="G198" s="860"/>
      <c r="H198" s="860"/>
      <c r="I198" s="860">
        <f t="shared" si="29"/>
        <v>0</v>
      </c>
      <c r="J198" s="860">
        <f t="shared" si="30"/>
        <v>0</v>
      </c>
    </row>
    <row r="199" spans="1:10" ht="30.75" customHeight="1" x14ac:dyDescent="0.5">
      <c r="A199" s="25"/>
      <c r="B199" s="6" t="s">
        <v>111</v>
      </c>
      <c r="C199" s="26" t="s">
        <v>494</v>
      </c>
      <c r="D199" s="27"/>
      <c r="E199" s="78">
        <f t="shared" ref="E199:J199" si="31">SUM(E139:E198)</f>
        <v>14787756.9166667</v>
      </c>
      <c r="F199" s="856">
        <f t="shared" si="31"/>
        <v>12563688.5</v>
      </c>
      <c r="G199" s="78">
        <f t="shared" si="31"/>
        <v>72300.491666666698</v>
      </c>
      <c r="H199" s="78">
        <f t="shared" si="31"/>
        <v>101993.847916667</v>
      </c>
      <c r="I199" s="78">
        <f t="shared" si="31"/>
        <v>29693.356249999899</v>
      </c>
      <c r="J199" s="78">
        <f t="shared" si="31"/>
        <v>1223926.175</v>
      </c>
    </row>
    <row r="200" spans="1:10" ht="30" customHeight="1" x14ac:dyDescent="0.2">
      <c r="A200" s="2"/>
      <c r="B200" s="28" t="s">
        <v>495</v>
      </c>
      <c r="C200" s="29">
        <f>C39+C46+C57+C62+C72+C81+C94+C102+C112+C123+C136+C199</f>
        <v>153</v>
      </c>
      <c r="D200" s="30"/>
      <c r="E200" s="193">
        <f t="shared" ref="E200:J200" si="32">E199+E136+E123+E118+E112+E102+E94+E81+E72+E62+E57+E46+E39</f>
        <v>62694852.333666697</v>
      </c>
      <c r="F200" s="867">
        <f t="shared" si="32"/>
        <v>49444664.75</v>
      </c>
      <c r="G200" s="193">
        <f t="shared" si="32"/>
        <v>267480.25624999998</v>
      </c>
      <c r="H200" s="193">
        <f t="shared" si="32"/>
        <v>373109.29583333299</v>
      </c>
      <c r="I200" s="868">
        <f t="shared" si="32"/>
        <v>105629.039583333</v>
      </c>
      <c r="J200" s="193">
        <f t="shared" si="32"/>
        <v>4477311.55</v>
      </c>
    </row>
    <row r="201" spans="1:10" ht="35.25" customHeight="1" x14ac:dyDescent="0.2">
      <c r="A201" s="2"/>
      <c r="B201" s="28" t="s">
        <v>496</v>
      </c>
      <c r="C201" s="29">
        <v>22</v>
      </c>
      <c r="D201" s="30"/>
      <c r="E201" s="193">
        <v>6563729.25</v>
      </c>
      <c r="F201" s="193">
        <v>5346094.8333333302</v>
      </c>
      <c r="G201" s="193"/>
    </row>
    <row r="202" spans="1:10" ht="30" customHeight="1" x14ac:dyDescent="0.2">
      <c r="A202" s="2"/>
      <c r="B202" s="28" t="s">
        <v>497</v>
      </c>
      <c r="C202" s="29">
        <f>SUM(C200:C201)</f>
        <v>175</v>
      </c>
      <c r="D202" s="30"/>
      <c r="E202" s="193">
        <f t="shared" ref="E202:J202" si="33">E200+E201</f>
        <v>69258581.583666697</v>
      </c>
      <c r="F202" s="193">
        <f t="shared" si="33"/>
        <v>54790759.583333299</v>
      </c>
      <c r="G202" s="193">
        <f t="shared" si="33"/>
        <v>267480.25624999998</v>
      </c>
      <c r="H202" s="193">
        <f t="shared" si="33"/>
        <v>373109.29583333299</v>
      </c>
      <c r="I202" s="193">
        <f t="shared" si="33"/>
        <v>105629.039583333</v>
      </c>
      <c r="J202" s="193">
        <f t="shared" si="33"/>
        <v>4477311.55</v>
      </c>
    </row>
    <row r="203" spans="1:10" ht="20.100000000000001" customHeight="1" x14ac:dyDescent="0.2">
      <c r="F203" s="1"/>
      <c r="G203" s="11"/>
      <c r="H203" s="11"/>
      <c r="I203" s="11"/>
      <c r="J203" s="11"/>
    </row>
    <row r="204" spans="1:10" ht="20.100000000000001" customHeight="1" x14ac:dyDescent="0.2">
      <c r="F204" s="1"/>
    </row>
    <row r="205" spans="1:10" ht="20.100000000000001" customHeight="1" x14ac:dyDescent="0.2">
      <c r="F205" s="1"/>
    </row>
    <row r="206" spans="1:10" ht="20.100000000000001" customHeight="1" x14ac:dyDescent="0.2">
      <c r="F206" s="1"/>
    </row>
    <row r="207" spans="1:10" ht="20.100000000000001" customHeight="1" x14ac:dyDescent="0.2">
      <c r="F207" s="1"/>
    </row>
    <row r="208" spans="1:10" ht="20.100000000000001" customHeight="1" x14ac:dyDescent="0.2">
      <c r="F208" s="1"/>
    </row>
    <row r="209" spans="6:6" ht="20.100000000000001" customHeight="1" x14ac:dyDescent="0.2">
      <c r="F209" s="1"/>
    </row>
    <row r="210" spans="6:6" ht="20.100000000000001" customHeight="1" x14ac:dyDescent="0.2">
      <c r="F210" s="1"/>
    </row>
    <row r="211" spans="6:6" ht="20.100000000000001" customHeight="1" x14ac:dyDescent="0.2">
      <c r="F211" s="1"/>
    </row>
    <row r="212" spans="6:6" ht="20.100000000000001" customHeight="1" x14ac:dyDescent="0.2">
      <c r="F212" s="1"/>
    </row>
    <row r="213" spans="6:6" ht="20.100000000000001" customHeight="1" x14ac:dyDescent="0.2">
      <c r="F213" s="1"/>
    </row>
    <row r="214" spans="6:6" ht="20.100000000000001" customHeight="1" x14ac:dyDescent="0.2">
      <c r="F214" s="1"/>
    </row>
    <row r="215" spans="6:6" ht="20.100000000000001" customHeight="1" x14ac:dyDescent="0.2">
      <c r="F215" s="1"/>
    </row>
    <row r="216" spans="6:6" ht="20.100000000000001" customHeight="1" x14ac:dyDescent="0.2">
      <c r="F216" s="1"/>
    </row>
    <row r="217" spans="6:6" ht="20.100000000000001" customHeight="1" x14ac:dyDescent="0.2">
      <c r="F217" s="1"/>
    </row>
    <row r="218" spans="6:6" ht="20.100000000000001" customHeight="1" x14ac:dyDescent="0.2">
      <c r="F218" s="1"/>
    </row>
    <row r="219" spans="6:6" ht="20.100000000000001" customHeight="1" x14ac:dyDescent="0.2">
      <c r="F219" s="1"/>
    </row>
    <row r="220" spans="6:6" ht="20.100000000000001" customHeight="1" x14ac:dyDescent="0.2">
      <c r="F220" s="1"/>
    </row>
    <row r="221" spans="6:6" ht="20.100000000000001" customHeight="1" x14ac:dyDescent="0.2">
      <c r="F221" s="1"/>
    </row>
    <row r="222" spans="6:6" ht="20.100000000000001" customHeight="1" x14ac:dyDescent="0.2">
      <c r="F222" s="1"/>
    </row>
    <row r="223" spans="6:6" ht="20.100000000000001" customHeight="1" x14ac:dyDescent="0.2">
      <c r="F223" s="1"/>
    </row>
    <row r="224" spans="6:6" ht="20.100000000000001" customHeight="1" x14ac:dyDescent="0.2">
      <c r="F224" s="1"/>
    </row>
    <row r="225" spans="6:6" ht="20.100000000000001" customHeight="1" x14ac:dyDescent="0.2">
      <c r="F225" s="1"/>
    </row>
    <row r="226" spans="6:6" ht="20.100000000000001" customHeight="1" x14ac:dyDescent="0.2">
      <c r="F226" s="1"/>
    </row>
    <row r="227" spans="6:6" ht="20.100000000000001" customHeight="1" x14ac:dyDescent="0.2">
      <c r="F227" s="1"/>
    </row>
    <row r="228" spans="6:6" ht="20.100000000000001" customHeight="1" x14ac:dyDescent="0.2">
      <c r="F228" s="1"/>
    </row>
    <row r="229" spans="6:6" ht="20.100000000000001" customHeight="1" x14ac:dyDescent="0.2">
      <c r="F229" s="1"/>
    </row>
    <row r="230" spans="6:6" ht="20.100000000000001" customHeight="1" x14ac:dyDescent="0.2">
      <c r="F230" s="1"/>
    </row>
    <row r="231" spans="6:6" ht="20.100000000000001" customHeight="1" x14ac:dyDescent="0.2">
      <c r="F231" s="1"/>
    </row>
    <row r="232" spans="6:6" ht="20.100000000000001" customHeight="1" x14ac:dyDescent="0.2">
      <c r="F232" s="1"/>
    </row>
    <row r="233" spans="6:6" ht="20.100000000000001" customHeight="1" x14ac:dyDescent="0.2">
      <c r="F233" s="1"/>
    </row>
    <row r="234" spans="6:6" ht="20.100000000000001" customHeight="1" x14ac:dyDescent="0.2">
      <c r="F234" s="1"/>
    </row>
    <row r="235" spans="6:6" ht="20.100000000000001" customHeight="1" x14ac:dyDescent="0.2">
      <c r="F235" s="1"/>
    </row>
    <row r="236" spans="6:6" ht="20.100000000000001" customHeight="1" x14ac:dyDescent="0.2">
      <c r="F236" s="1"/>
    </row>
    <row r="237" spans="6:6" ht="20.100000000000001" customHeight="1" x14ac:dyDescent="0.2">
      <c r="F237" s="1"/>
    </row>
    <row r="238" spans="6:6" ht="20.100000000000001" customHeight="1" x14ac:dyDescent="0.2">
      <c r="F238" s="1"/>
    </row>
    <row r="239" spans="6:6" ht="20.100000000000001" customHeight="1" x14ac:dyDescent="0.2">
      <c r="F239" s="1"/>
    </row>
    <row r="240" spans="6:6" ht="20.100000000000001" customHeight="1" x14ac:dyDescent="0.2">
      <c r="F240" s="1"/>
    </row>
    <row r="241" spans="6:6" ht="20.100000000000001" customHeight="1" x14ac:dyDescent="0.2">
      <c r="F241" s="1"/>
    </row>
    <row r="242" spans="6:6" ht="20.100000000000001" customHeight="1" x14ac:dyDescent="0.2">
      <c r="F242" s="1"/>
    </row>
    <row r="243" spans="6:6" ht="20.100000000000001" customHeight="1" x14ac:dyDescent="0.2">
      <c r="F243" s="1"/>
    </row>
    <row r="244" spans="6:6" ht="20.100000000000001" customHeight="1" x14ac:dyDescent="0.2">
      <c r="F244" s="1"/>
    </row>
    <row r="245" spans="6:6" ht="20.100000000000001" customHeight="1" x14ac:dyDescent="0.2">
      <c r="F245" s="1"/>
    </row>
    <row r="246" spans="6:6" ht="20.100000000000001" customHeight="1" x14ac:dyDescent="0.2">
      <c r="F246" s="1"/>
    </row>
    <row r="247" spans="6:6" ht="20.100000000000001" customHeight="1" x14ac:dyDescent="0.2">
      <c r="F247" s="1"/>
    </row>
    <row r="248" spans="6:6" ht="20.100000000000001" customHeight="1" x14ac:dyDescent="0.2">
      <c r="F248" s="1"/>
    </row>
    <row r="249" spans="6:6" ht="20.100000000000001" customHeight="1" x14ac:dyDescent="0.2">
      <c r="F249" s="1"/>
    </row>
    <row r="250" spans="6:6" ht="20.100000000000001" customHeight="1" x14ac:dyDescent="0.2">
      <c r="F250" s="1"/>
    </row>
    <row r="251" spans="6:6" ht="20.100000000000001" customHeight="1" x14ac:dyDescent="0.2">
      <c r="F251" s="1"/>
    </row>
    <row r="252" spans="6:6" ht="20.100000000000001" customHeight="1" x14ac:dyDescent="0.2">
      <c r="F252" s="1"/>
    </row>
    <row r="253" spans="6:6" ht="20.100000000000001" customHeight="1" x14ac:dyDescent="0.2">
      <c r="F253" s="1"/>
    </row>
    <row r="254" spans="6:6" ht="20.100000000000001" customHeight="1" x14ac:dyDescent="0.2">
      <c r="F254" s="1"/>
    </row>
    <row r="255" spans="6:6" ht="20.100000000000001" customHeight="1" x14ac:dyDescent="0.2">
      <c r="F255" s="1"/>
    </row>
    <row r="256" spans="6:6" ht="20.100000000000001" customHeight="1" x14ac:dyDescent="0.2">
      <c r="F256" s="1"/>
    </row>
    <row r="257" spans="6:6" ht="20.100000000000001" customHeight="1" x14ac:dyDescent="0.2">
      <c r="F257" s="1"/>
    </row>
    <row r="258" spans="6:6" ht="20.100000000000001" customHeight="1" x14ac:dyDescent="0.2">
      <c r="F258" s="1"/>
    </row>
    <row r="259" spans="6:6" ht="20.100000000000001" customHeight="1" x14ac:dyDescent="0.2">
      <c r="F259" s="1"/>
    </row>
    <row r="260" spans="6:6" ht="20.100000000000001" customHeight="1" x14ac:dyDescent="0.2">
      <c r="F260" s="1"/>
    </row>
    <row r="261" spans="6:6" ht="20.100000000000001" customHeight="1" x14ac:dyDescent="0.2">
      <c r="F261" s="1"/>
    </row>
    <row r="262" spans="6:6" ht="20.100000000000001" customHeight="1" x14ac:dyDescent="0.2">
      <c r="F262" s="1"/>
    </row>
    <row r="263" spans="6:6" ht="20.100000000000001" customHeight="1" x14ac:dyDescent="0.2">
      <c r="F263" s="1"/>
    </row>
    <row r="264" spans="6:6" ht="20.100000000000001" customHeight="1" x14ac:dyDescent="0.2">
      <c r="F264" s="1"/>
    </row>
    <row r="265" spans="6:6" ht="20.100000000000001" customHeight="1" x14ac:dyDescent="0.2">
      <c r="F265" s="1"/>
    </row>
    <row r="266" spans="6:6" ht="20.100000000000001" customHeight="1" x14ac:dyDescent="0.2">
      <c r="F266" s="1"/>
    </row>
    <row r="267" spans="6:6" ht="20.100000000000001" customHeight="1" x14ac:dyDescent="0.2">
      <c r="F267" s="1"/>
    </row>
    <row r="268" spans="6:6" ht="20.100000000000001" customHeight="1" x14ac:dyDescent="0.2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9" man="1"/>
    <brk id="81" max="9" man="1"/>
    <brk id="124" max="9" man="1"/>
    <brk id="161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435"/>
  <sheetViews>
    <sheetView topLeftCell="A4" workbookViewId="0">
      <selection activeCell="AB114" sqref="AB114"/>
    </sheetView>
  </sheetViews>
  <sheetFormatPr defaultColWidth="9.16796875" defaultRowHeight="13.5" x14ac:dyDescent="0.15"/>
  <cols>
    <col min="1" max="1" width="6.875" style="259" customWidth="1"/>
    <col min="2" max="2" width="34.2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870" customWidth="1"/>
    <col min="27" max="27" width="16.31640625" style="755" customWidth="1"/>
    <col min="28" max="28" width="14.6953125" style="259" customWidth="1"/>
    <col min="29" max="29" width="27.375" style="259" customWidth="1"/>
    <col min="30" max="16384" width="9.16796875" style="259"/>
  </cols>
  <sheetData>
    <row r="1" spans="1:31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871"/>
    </row>
    <row r="2" spans="1:31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871"/>
    </row>
    <row r="3" spans="1:31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871"/>
    </row>
    <row r="4" spans="1:31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872" t="s">
        <v>521</v>
      </c>
      <c r="AA4" s="420" t="s">
        <v>522</v>
      </c>
      <c r="AB4" s="434" t="s">
        <v>523</v>
      </c>
    </row>
    <row r="5" spans="1:31" ht="14.25" x14ac:dyDescent="0.15">
      <c r="A5" s="421">
        <v>1</v>
      </c>
      <c r="B5" s="6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873"/>
      <c r="AA5" s="753"/>
      <c r="AB5" s="874"/>
      <c r="AC5" s="436"/>
      <c r="AD5" s="436"/>
      <c r="AE5" s="436"/>
    </row>
    <row r="6" spans="1:31" ht="14.25" x14ac:dyDescent="0.15">
      <c r="A6" s="421">
        <v>3</v>
      </c>
      <c r="B6" s="597" t="s">
        <v>23</v>
      </c>
      <c r="C6" s="422">
        <v>2246372.0833333302</v>
      </c>
      <c r="D6" s="423">
        <v>12</v>
      </c>
      <c r="E6" s="424">
        <f t="shared" ref="E6:E36" si="0">C6*D6</f>
        <v>26956465</v>
      </c>
      <c r="F6" s="424"/>
      <c r="G6" s="424">
        <v>0</v>
      </c>
      <c r="H6" s="424"/>
      <c r="I6" s="424">
        <f t="shared" ref="I6:I36" si="1">E6-F6-G6-H6</f>
        <v>26956465</v>
      </c>
      <c r="J6" s="424">
        <v>200000</v>
      </c>
      <c r="K6" s="424">
        <v>0.2</v>
      </c>
      <c r="L6" s="424">
        <f t="shared" ref="L6:L36" si="2">I6*K6</f>
        <v>5391292.9999999898</v>
      </c>
      <c r="M6" s="424">
        <f t="shared" ref="M6:M36" si="3">J6+L6</f>
        <v>5591292.9999999898</v>
      </c>
      <c r="N6" s="424">
        <f t="shared" ref="N6:N36" si="4">F6+G6+H6+M6</f>
        <v>5591292.9999999898</v>
      </c>
      <c r="O6" s="424">
        <f t="shared" ref="O6:O36" si="5">E6-N6</f>
        <v>21365172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34" si="11">24%*(O6-3200000)</f>
        <v>4359641.27999999</v>
      </c>
      <c r="V6" s="424">
        <f t="shared" ref="V6:V36" si="12">P6+Q6+R6+S6+T6+U6</f>
        <v>4919641.27999999</v>
      </c>
      <c r="W6" s="431">
        <v>12</v>
      </c>
      <c r="X6" s="424">
        <f t="shared" ref="X6:X36" si="13">V6/W6</f>
        <v>409970.10666666599</v>
      </c>
      <c r="Y6" s="424"/>
      <c r="Z6" s="873">
        <f t="shared" ref="Z6:Z36" si="14">X6</f>
        <v>409970.10666666599</v>
      </c>
      <c r="AA6" s="753">
        <v>350184.01073066698</v>
      </c>
      <c r="AB6" s="753">
        <f t="shared" ref="AB6:AB36" si="15">Z6-AA6</f>
        <v>59786.095935999103</v>
      </c>
      <c r="AC6" s="436"/>
      <c r="AD6" s="436"/>
      <c r="AE6" s="436"/>
    </row>
    <row r="7" spans="1:31" ht="14.25" x14ac:dyDescent="0.15">
      <c r="A7" s="421">
        <v>4</v>
      </c>
      <c r="B7" s="597" t="s">
        <v>26</v>
      </c>
      <c r="C7" s="422">
        <v>1095306.75</v>
      </c>
      <c r="D7" s="423">
        <v>12</v>
      </c>
      <c r="E7" s="424">
        <f t="shared" si="0"/>
        <v>13143681</v>
      </c>
      <c r="F7" s="424"/>
      <c r="G7" s="424">
        <v>869094.48</v>
      </c>
      <c r="H7" s="424"/>
      <c r="I7" s="424">
        <f t="shared" si="1"/>
        <v>12274586.52</v>
      </c>
      <c r="J7" s="424">
        <v>200000</v>
      </c>
      <c r="K7" s="424">
        <v>0.2</v>
      </c>
      <c r="L7" s="424">
        <f t="shared" si="2"/>
        <v>2454917.304</v>
      </c>
      <c r="M7" s="424">
        <f t="shared" si="3"/>
        <v>2654917.304</v>
      </c>
      <c r="N7" s="424">
        <f t="shared" si="4"/>
        <v>3524011.784</v>
      </c>
      <c r="O7" s="424">
        <f t="shared" si="5"/>
        <v>9619669.216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1540720.6118399999</v>
      </c>
      <c r="V7" s="424">
        <f t="shared" si="12"/>
        <v>2100720.6118399999</v>
      </c>
      <c r="W7" s="431">
        <v>12</v>
      </c>
      <c r="X7" s="424">
        <f t="shared" si="13"/>
        <v>175060.05098666699</v>
      </c>
      <c r="Y7" s="424"/>
      <c r="Z7" s="873">
        <f t="shared" si="14"/>
        <v>175060.05098666699</v>
      </c>
      <c r="AA7" s="753">
        <v>149812.26282666699</v>
      </c>
      <c r="AB7" s="753">
        <f t="shared" si="15"/>
        <v>25247.788159999702</v>
      </c>
      <c r="AC7" s="436"/>
      <c r="AD7" s="436"/>
      <c r="AE7" s="436"/>
    </row>
    <row r="8" spans="1:31" ht="14.25" x14ac:dyDescent="0.15">
      <c r="A8" s="421">
        <v>5</v>
      </c>
      <c r="B8" s="593" t="s">
        <v>29</v>
      </c>
      <c r="C8" s="422">
        <v>1295306.75</v>
      </c>
      <c r="D8" s="423">
        <v>12</v>
      </c>
      <c r="E8" s="424">
        <f t="shared" si="0"/>
        <v>15543681</v>
      </c>
      <c r="F8" s="424"/>
      <c r="G8" s="424">
        <v>0</v>
      </c>
      <c r="H8" s="424"/>
      <c r="I8" s="424">
        <f t="shared" si="1"/>
        <v>15543681</v>
      </c>
      <c r="J8" s="424">
        <v>200000</v>
      </c>
      <c r="K8" s="424">
        <v>0.2</v>
      </c>
      <c r="L8" s="424">
        <f t="shared" si="2"/>
        <v>3108736.2</v>
      </c>
      <c r="M8" s="424">
        <f t="shared" si="3"/>
        <v>3308736.2</v>
      </c>
      <c r="N8" s="424">
        <f t="shared" si="4"/>
        <v>3308736.2</v>
      </c>
      <c r="O8" s="424">
        <f t="shared" si="5"/>
        <v>12234944.800000001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2168386.7519999999</v>
      </c>
      <c r="V8" s="424">
        <f t="shared" si="12"/>
        <v>2728386.7519999999</v>
      </c>
      <c r="W8" s="431">
        <v>12</v>
      </c>
      <c r="X8" s="424">
        <f t="shared" si="13"/>
        <v>227365.56266666701</v>
      </c>
      <c r="Y8" s="424"/>
      <c r="Z8" s="873">
        <f t="shared" si="14"/>
        <v>227365.56266666701</v>
      </c>
      <c r="AA8" s="753">
        <v>199922.31466666699</v>
      </c>
      <c r="AB8" s="753">
        <f t="shared" si="15"/>
        <v>27443.247999999701</v>
      </c>
      <c r="AC8" s="436"/>
      <c r="AD8" s="436"/>
      <c r="AE8" s="436"/>
    </row>
    <row r="9" spans="1:31" ht="14.25" x14ac:dyDescent="0.15">
      <c r="A9" s="421">
        <v>6</v>
      </c>
      <c r="B9" s="597" t="s">
        <v>31</v>
      </c>
      <c r="C9" s="422">
        <v>1085306.75</v>
      </c>
      <c r="D9" s="423">
        <v>12</v>
      </c>
      <c r="E9" s="424">
        <f t="shared" si="0"/>
        <v>13023681</v>
      </c>
      <c r="F9" s="424">
        <v>166400.85</v>
      </c>
      <c r="G9" s="424">
        <v>869094.48</v>
      </c>
      <c r="H9" s="424"/>
      <c r="I9" s="424">
        <f t="shared" si="1"/>
        <v>11988185.67</v>
      </c>
      <c r="J9" s="424">
        <v>200000</v>
      </c>
      <c r="K9" s="424">
        <v>0.2</v>
      </c>
      <c r="L9" s="424">
        <f t="shared" si="2"/>
        <v>2397637.1340000001</v>
      </c>
      <c r="M9" s="424">
        <f t="shared" si="3"/>
        <v>2597637.1340000001</v>
      </c>
      <c r="N9" s="424">
        <f t="shared" si="4"/>
        <v>3633132.4640000002</v>
      </c>
      <c r="O9" s="424">
        <f t="shared" si="5"/>
        <v>9390548.5360000003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1485731.64864</v>
      </c>
      <c r="V9" s="424">
        <f t="shared" si="12"/>
        <v>2045731.64864</v>
      </c>
      <c r="W9" s="431">
        <v>12</v>
      </c>
      <c r="X9" s="424">
        <f t="shared" si="13"/>
        <v>170477.63738666699</v>
      </c>
      <c r="Y9" s="424"/>
      <c r="Z9" s="873">
        <f t="shared" si="14"/>
        <v>170477.63738666699</v>
      </c>
      <c r="AA9" s="753">
        <v>147687.52761066699</v>
      </c>
      <c r="AB9" s="753">
        <f t="shared" si="15"/>
        <v>22790.109775999699</v>
      </c>
      <c r="AC9" s="436"/>
      <c r="AD9" s="436"/>
      <c r="AE9" s="436"/>
    </row>
    <row r="10" spans="1:31" ht="14.25" x14ac:dyDescent="0.15">
      <c r="A10" s="421">
        <v>7</v>
      </c>
      <c r="B10" s="597" t="s">
        <v>33</v>
      </c>
      <c r="C10" s="430">
        <v>992711.08333333302</v>
      </c>
      <c r="D10" s="423">
        <v>12</v>
      </c>
      <c r="E10" s="424">
        <f t="shared" si="0"/>
        <v>11912533</v>
      </c>
      <c r="F10" s="424">
        <v>157015.95000000001</v>
      </c>
      <c r="G10" s="424">
        <v>818602.64</v>
      </c>
      <c r="H10" s="424"/>
      <c r="I10" s="424">
        <f t="shared" si="1"/>
        <v>10936914.41</v>
      </c>
      <c r="J10" s="424">
        <v>200000</v>
      </c>
      <c r="K10" s="424">
        <v>0.2</v>
      </c>
      <c r="L10" s="424">
        <f t="shared" si="2"/>
        <v>2187382.8820000002</v>
      </c>
      <c r="M10" s="424">
        <f t="shared" si="3"/>
        <v>2387382.8820000002</v>
      </c>
      <c r="N10" s="424">
        <f t="shared" si="4"/>
        <v>3363001.4720000001</v>
      </c>
      <c r="O10" s="424">
        <f t="shared" si="5"/>
        <v>8549531.5280000009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1283887.56672</v>
      </c>
      <c r="V10" s="424">
        <f t="shared" si="12"/>
        <v>1843887.56672</v>
      </c>
      <c r="W10" s="431">
        <v>12</v>
      </c>
      <c r="X10" s="424">
        <f t="shared" si="13"/>
        <v>153657.297226667</v>
      </c>
      <c r="Y10" s="424"/>
      <c r="Z10" s="873">
        <f t="shared" si="14"/>
        <v>153657.297226667</v>
      </c>
      <c r="AA10" s="753">
        <v>129694.695226667</v>
      </c>
      <c r="AB10" s="753">
        <f t="shared" si="15"/>
        <v>23962.601999999599</v>
      </c>
      <c r="AC10" s="436"/>
      <c r="AD10" s="436"/>
      <c r="AE10" s="436"/>
    </row>
    <row r="11" spans="1:31" ht="14.25" x14ac:dyDescent="0.15">
      <c r="A11" s="421">
        <v>8</v>
      </c>
      <c r="B11" s="597" t="s">
        <v>36</v>
      </c>
      <c r="C11" s="422">
        <v>1082595.5</v>
      </c>
      <c r="D11" s="423">
        <v>12</v>
      </c>
      <c r="E11" s="424">
        <f t="shared" si="0"/>
        <v>12991146</v>
      </c>
      <c r="F11" s="424">
        <v>133798.75</v>
      </c>
      <c r="G11" s="424">
        <v>693691.68</v>
      </c>
      <c r="H11" s="424"/>
      <c r="I11" s="424">
        <f t="shared" si="1"/>
        <v>12163655.57</v>
      </c>
      <c r="J11" s="424">
        <v>200000</v>
      </c>
      <c r="K11" s="424">
        <v>0.2</v>
      </c>
      <c r="L11" s="424">
        <f t="shared" si="2"/>
        <v>2432731.1140000001</v>
      </c>
      <c r="M11" s="424">
        <f t="shared" si="3"/>
        <v>2632731.1140000001</v>
      </c>
      <c r="N11" s="424">
        <f t="shared" si="4"/>
        <v>3460221.5440000002</v>
      </c>
      <c r="O11" s="424">
        <f t="shared" si="5"/>
        <v>9530924.4560000002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1519421.86944</v>
      </c>
      <c r="V11" s="424">
        <f t="shared" si="12"/>
        <v>2079421.86944</v>
      </c>
      <c r="W11" s="431">
        <v>12</v>
      </c>
      <c r="X11" s="424">
        <f t="shared" si="13"/>
        <v>173285.15578666699</v>
      </c>
      <c r="Y11" s="424"/>
      <c r="Z11" s="873">
        <f t="shared" si="14"/>
        <v>173285.15578666699</v>
      </c>
      <c r="AA11" s="753">
        <v>150463.10967466701</v>
      </c>
      <c r="AB11" s="753">
        <f t="shared" si="15"/>
        <v>22822.046111999702</v>
      </c>
      <c r="AC11" s="436"/>
      <c r="AD11" s="436"/>
      <c r="AE11" s="436"/>
    </row>
    <row r="12" spans="1:31" ht="14.25" x14ac:dyDescent="0.15">
      <c r="A12" s="421">
        <v>9</v>
      </c>
      <c r="B12" s="597" t="s">
        <v>39</v>
      </c>
      <c r="C12" s="422">
        <v>659657</v>
      </c>
      <c r="D12" s="423">
        <v>12</v>
      </c>
      <c r="E12" s="424">
        <f t="shared" si="0"/>
        <v>7915884</v>
      </c>
      <c r="F12" s="424"/>
      <c r="G12" s="424">
        <v>566070.72</v>
      </c>
      <c r="H12" s="424"/>
      <c r="I12" s="424">
        <f t="shared" si="1"/>
        <v>7349813.2800000003</v>
      </c>
      <c r="J12" s="424">
        <v>200000</v>
      </c>
      <c r="K12" s="424">
        <v>0.2</v>
      </c>
      <c r="L12" s="424">
        <f t="shared" si="2"/>
        <v>1469962.656</v>
      </c>
      <c r="M12" s="424">
        <f t="shared" si="3"/>
        <v>1669962.656</v>
      </c>
      <c r="N12" s="424">
        <f t="shared" si="4"/>
        <v>2236033.3760000002</v>
      </c>
      <c r="O12" s="424">
        <f t="shared" si="5"/>
        <v>5679850.6239999998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595164.14975999994</v>
      </c>
      <c r="V12" s="424">
        <f t="shared" si="12"/>
        <v>1155164.1497599999</v>
      </c>
      <c r="W12" s="431">
        <v>12</v>
      </c>
      <c r="X12" s="424">
        <f t="shared" si="13"/>
        <v>96263.679146666705</v>
      </c>
      <c r="Y12" s="424"/>
      <c r="Z12" s="873">
        <f t="shared" si="14"/>
        <v>96263.679146666705</v>
      </c>
      <c r="AA12" s="753">
        <v>77666.445866666705</v>
      </c>
      <c r="AB12" s="753">
        <f t="shared" si="15"/>
        <v>18597.23328</v>
      </c>
      <c r="AC12" s="436"/>
      <c r="AD12" s="436"/>
      <c r="AE12" s="436"/>
    </row>
    <row r="13" spans="1:31" ht="14.25" x14ac:dyDescent="0.15">
      <c r="A13" s="421">
        <v>10</v>
      </c>
      <c r="B13" s="593" t="s">
        <v>42</v>
      </c>
      <c r="C13" s="422">
        <v>1032595.5</v>
      </c>
      <c r="D13" s="423">
        <v>12</v>
      </c>
      <c r="E13" s="424">
        <f t="shared" si="0"/>
        <v>12391146</v>
      </c>
      <c r="F13" s="424"/>
      <c r="G13" s="424">
        <v>693691.68</v>
      </c>
      <c r="H13" s="424"/>
      <c r="I13" s="424">
        <f t="shared" si="1"/>
        <v>11697454.32</v>
      </c>
      <c r="J13" s="424">
        <v>200000</v>
      </c>
      <c r="K13" s="424">
        <v>0.2</v>
      </c>
      <c r="L13" s="424">
        <f t="shared" si="2"/>
        <v>2339490.8640000001</v>
      </c>
      <c r="M13" s="424">
        <f t="shared" si="3"/>
        <v>2539490.8640000001</v>
      </c>
      <c r="N13" s="424">
        <f t="shared" si="4"/>
        <v>3233182.5440000002</v>
      </c>
      <c r="O13" s="424">
        <f t="shared" si="5"/>
        <v>9157963.4560000002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1429911.2294399999</v>
      </c>
      <c r="V13" s="424">
        <f t="shared" si="12"/>
        <v>1989911.2294399999</v>
      </c>
      <c r="W13" s="431">
        <v>12</v>
      </c>
      <c r="X13" s="424">
        <f t="shared" si="13"/>
        <v>165825.93578666699</v>
      </c>
      <c r="Y13" s="424"/>
      <c r="Z13" s="873">
        <f t="shared" si="14"/>
        <v>165825.93578666699</v>
      </c>
      <c r="AA13" s="753">
        <v>141011.988957867</v>
      </c>
      <c r="AB13" s="753">
        <f t="shared" si="15"/>
        <v>24813.946828799701</v>
      </c>
      <c r="AC13" s="436"/>
      <c r="AD13" s="436"/>
      <c r="AE13" s="436"/>
    </row>
    <row r="14" spans="1:31" ht="14.25" x14ac:dyDescent="0.15">
      <c r="A14" s="421">
        <v>11</v>
      </c>
      <c r="B14" s="597" t="s">
        <v>44</v>
      </c>
      <c r="C14" s="422">
        <v>948165.25</v>
      </c>
      <c r="D14" s="423">
        <v>12</v>
      </c>
      <c r="E14" s="424">
        <f t="shared" si="0"/>
        <v>11377983</v>
      </c>
      <c r="F14" s="424"/>
      <c r="G14" s="424">
        <v>535838.64</v>
      </c>
      <c r="H14" s="424"/>
      <c r="I14" s="424">
        <f t="shared" si="1"/>
        <v>10842144.359999999</v>
      </c>
      <c r="J14" s="424">
        <v>200000</v>
      </c>
      <c r="K14" s="424">
        <v>0.2</v>
      </c>
      <c r="L14" s="424">
        <f t="shared" si="2"/>
        <v>2168428.872</v>
      </c>
      <c r="M14" s="424">
        <f t="shared" si="3"/>
        <v>2368428.872</v>
      </c>
      <c r="N14" s="424">
        <f t="shared" si="4"/>
        <v>2904267.5120000001</v>
      </c>
      <c r="O14" s="424">
        <f t="shared" si="5"/>
        <v>8473715.4879999999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1265691.7171199999</v>
      </c>
      <c r="V14" s="424">
        <f t="shared" si="12"/>
        <v>1825691.7171199999</v>
      </c>
      <c r="W14" s="431">
        <v>12</v>
      </c>
      <c r="X14" s="424">
        <f t="shared" si="13"/>
        <v>152140.97642666701</v>
      </c>
      <c r="Y14" s="424"/>
      <c r="Z14" s="873">
        <f t="shared" si="14"/>
        <v>152140.97642666701</v>
      </c>
      <c r="AA14" s="753">
        <v>131753.40842666701</v>
      </c>
      <c r="AB14" s="753">
        <f t="shared" si="15"/>
        <v>20387.567999999701</v>
      </c>
      <c r="AC14" s="436"/>
      <c r="AD14" s="436"/>
      <c r="AE14" s="436"/>
    </row>
    <row r="15" spans="1:31" ht="14.25" x14ac:dyDescent="0.15">
      <c r="A15" s="421">
        <v>12</v>
      </c>
      <c r="B15" s="597" t="s">
        <v>47</v>
      </c>
      <c r="C15" s="422">
        <v>830713.91666666605</v>
      </c>
      <c r="D15" s="423">
        <v>12</v>
      </c>
      <c r="E15" s="424">
        <f t="shared" si="0"/>
        <v>9968566.9999999907</v>
      </c>
      <c r="F15" s="424"/>
      <c r="G15" s="425">
        <v>672685.36</v>
      </c>
      <c r="H15" s="424"/>
      <c r="I15" s="424">
        <f t="shared" si="1"/>
        <v>9295881.6399999894</v>
      </c>
      <c r="J15" s="424">
        <v>200000</v>
      </c>
      <c r="K15" s="424">
        <v>0.2</v>
      </c>
      <c r="L15" s="424">
        <f t="shared" si="2"/>
        <v>1859176.328</v>
      </c>
      <c r="M15" s="424">
        <f t="shared" si="3"/>
        <v>2059176.328</v>
      </c>
      <c r="N15" s="424">
        <f t="shared" si="4"/>
        <v>2731861.6880000001</v>
      </c>
      <c r="O15" s="424">
        <f t="shared" si="5"/>
        <v>7236705.3119999897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968809.27487999795</v>
      </c>
      <c r="V15" s="424">
        <f t="shared" si="12"/>
        <v>1528809.2748799999</v>
      </c>
      <c r="W15" s="431">
        <v>12</v>
      </c>
      <c r="X15" s="424">
        <f t="shared" si="13"/>
        <v>127400.772906667</v>
      </c>
      <c r="Y15" s="424"/>
      <c r="Z15" s="873">
        <f t="shared" si="14"/>
        <v>127400.772906667</v>
      </c>
      <c r="AA15" s="753">
        <v>106452</v>
      </c>
      <c r="AB15" s="753">
        <f t="shared" si="15"/>
        <v>20948.772906666502</v>
      </c>
      <c r="AC15" s="436"/>
      <c r="AD15" s="436"/>
      <c r="AE15" s="436"/>
    </row>
    <row r="16" spans="1:31" ht="14.25" x14ac:dyDescent="0.15">
      <c r="A16" s="421">
        <v>13</v>
      </c>
      <c r="B16" s="597" t="s">
        <v>50</v>
      </c>
      <c r="C16" s="422">
        <v>661351.33333333302</v>
      </c>
      <c r="D16" s="423">
        <v>12</v>
      </c>
      <c r="E16" s="424">
        <f t="shared" si="0"/>
        <v>7936216</v>
      </c>
      <c r="F16" s="424"/>
      <c r="G16" s="424">
        <v>519697.27999999898</v>
      </c>
      <c r="H16" s="424"/>
      <c r="I16" s="424">
        <f t="shared" si="1"/>
        <v>7416518.7199999997</v>
      </c>
      <c r="J16" s="424">
        <v>200000</v>
      </c>
      <c r="K16" s="424">
        <v>0.2</v>
      </c>
      <c r="L16" s="424">
        <f t="shared" si="2"/>
        <v>1483303.7439999999</v>
      </c>
      <c r="M16" s="424">
        <f t="shared" si="3"/>
        <v>1683303.7439999999</v>
      </c>
      <c r="N16" s="424">
        <f t="shared" si="4"/>
        <v>2203001.0240000002</v>
      </c>
      <c r="O16" s="424">
        <f t="shared" si="5"/>
        <v>5733214.9759999998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607971.59423999896</v>
      </c>
      <c r="V16" s="424">
        <f t="shared" si="12"/>
        <v>1167971.59424</v>
      </c>
      <c r="W16" s="431">
        <v>12</v>
      </c>
      <c r="X16" s="424">
        <f t="shared" si="13"/>
        <v>97330.966186666599</v>
      </c>
      <c r="Y16" s="424"/>
      <c r="Z16" s="873">
        <f t="shared" si="14"/>
        <v>97330.966186666599</v>
      </c>
      <c r="AA16" s="753">
        <v>77470.374186666697</v>
      </c>
      <c r="AB16" s="753">
        <f t="shared" si="15"/>
        <v>19860.591999999899</v>
      </c>
      <c r="AC16" s="436"/>
      <c r="AD16" s="436"/>
      <c r="AE16" s="436"/>
    </row>
    <row r="17" spans="1:31" ht="14.25" x14ac:dyDescent="0.15">
      <c r="A17" s="421">
        <v>14</v>
      </c>
      <c r="B17" s="313" t="s">
        <v>53</v>
      </c>
      <c r="C17" s="422">
        <v>846725.08333333395</v>
      </c>
      <c r="D17" s="423">
        <v>12</v>
      </c>
      <c r="E17" s="424">
        <f t="shared" si="0"/>
        <v>10160701</v>
      </c>
      <c r="F17" s="424">
        <v>98713.475000000093</v>
      </c>
      <c r="G17" s="424">
        <v>505656.08</v>
      </c>
      <c r="H17" s="424"/>
      <c r="I17" s="424">
        <f t="shared" si="1"/>
        <v>9556331.4450000096</v>
      </c>
      <c r="J17" s="424">
        <v>200000</v>
      </c>
      <c r="K17" s="424">
        <v>0.2</v>
      </c>
      <c r="L17" s="424">
        <f t="shared" si="2"/>
        <v>1911266.2890000001</v>
      </c>
      <c r="M17" s="424">
        <f t="shared" si="3"/>
        <v>2111266.2889999999</v>
      </c>
      <c r="N17" s="424">
        <f t="shared" si="4"/>
        <v>2715635.844</v>
      </c>
      <c r="O17" s="424">
        <f t="shared" si="5"/>
        <v>7445065.1560000097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1018815.63744</v>
      </c>
      <c r="V17" s="424">
        <f t="shared" si="12"/>
        <v>1578815.63744</v>
      </c>
      <c r="W17" s="431">
        <v>12</v>
      </c>
      <c r="X17" s="424">
        <f t="shared" si="13"/>
        <v>131567.969786667</v>
      </c>
      <c r="Y17" s="424"/>
      <c r="Z17" s="873">
        <f t="shared" si="14"/>
        <v>131567.969786667</v>
      </c>
      <c r="AA17" s="753">
        <v>113474.903466667</v>
      </c>
      <c r="AB17" s="753">
        <f t="shared" si="15"/>
        <v>18093.066319999802</v>
      </c>
      <c r="AC17" s="436"/>
      <c r="AD17" s="436"/>
      <c r="AE17" s="436"/>
    </row>
    <row r="18" spans="1:31" ht="14.25" x14ac:dyDescent="0.15">
      <c r="A18" s="421">
        <v>15</v>
      </c>
      <c r="B18" s="313" t="s">
        <v>56</v>
      </c>
      <c r="C18" s="422">
        <v>567472.75</v>
      </c>
      <c r="D18" s="423">
        <v>12</v>
      </c>
      <c r="E18" s="424">
        <f t="shared" si="0"/>
        <v>6809673</v>
      </c>
      <c r="F18" s="424">
        <v>93501.975000000006</v>
      </c>
      <c r="G18" s="424">
        <v>477573.84</v>
      </c>
      <c r="H18" s="424"/>
      <c r="I18" s="424">
        <f t="shared" si="1"/>
        <v>6238597.1849999996</v>
      </c>
      <c r="J18" s="424">
        <v>200000</v>
      </c>
      <c r="K18" s="424">
        <v>0.2</v>
      </c>
      <c r="L18" s="424">
        <f t="shared" si="2"/>
        <v>1247719.4369999999</v>
      </c>
      <c r="M18" s="424">
        <f t="shared" si="3"/>
        <v>1447719.4369999999</v>
      </c>
      <c r="N18" s="424">
        <f t="shared" si="4"/>
        <v>2018795.2520000001</v>
      </c>
      <c r="O18" s="424">
        <f t="shared" si="5"/>
        <v>4790877.7479999997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381810.65951999999</v>
      </c>
      <c r="V18" s="424">
        <f t="shared" si="12"/>
        <v>941810.65951999999</v>
      </c>
      <c r="W18" s="431">
        <v>12</v>
      </c>
      <c r="X18" s="424">
        <f t="shared" si="13"/>
        <v>78484.221626666695</v>
      </c>
      <c r="Y18" s="424"/>
      <c r="Z18" s="873">
        <f t="shared" si="14"/>
        <v>78484.221626666695</v>
      </c>
      <c r="AA18" s="753">
        <v>61040.235306666596</v>
      </c>
      <c r="AB18" s="753">
        <f t="shared" si="15"/>
        <v>17443.986320000098</v>
      </c>
      <c r="AC18" s="436"/>
      <c r="AD18" s="436"/>
      <c r="AE18" s="436"/>
    </row>
    <row r="19" spans="1:31" ht="14.25" x14ac:dyDescent="0.15">
      <c r="A19" s="421">
        <v>16</v>
      </c>
      <c r="B19" s="313" t="s">
        <v>59</v>
      </c>
      <c r="C19" s="422">
        <v>617472.75</v>
      </c>
      <c r="D19" s="423">
        <v>12</v>
      </c>
      <c r="E19" s="424">
        <f t="shared" si="0"/>
        <v>7409673</v>
      </c>
      <c r="F19" s="424">
        <v>0</v>
      </c>
      <c r="G19" s="424">
        <v>477573.84</v>
      </c>
      <c r="H19" s="424"/>
      <c r="I19" s="424">
        <f t="shared" si="1"/>
        <v>6932099.1600000001</v>
      </c>
      <c r="J19" s="424">
        <v>200000</v>
      </c>
      <c r="K19" s="424">
        <v>0.2</v>
      </c>
      <c r="L19" s="424">
        <f t="shared" si="2"/>
        <v>1386419.8319999999</v>
      </c>
      <c r="M19" s="424">
        <f t="shared" si="3"/>
        <v>1586419.8319999999</v>
      </c>
      <c r="N19" s="424">
        <f t="shared" si="4"/>
        <v>2063993.672</v>
      </c>
      <c r="O19" s="424">
        <f t="shared" si="5"/>
        <v>5345679.3279999997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514963.03872000001</v>
      </c>
      <c r="V19" s="424">
        <f t="shared" si="12"/>
        <v>1074963.0387200001</v>
      </c>
      <c r="W19" s="431">
        <v>12</v>
      </c>
      <c r="X19" s="424">
        <f t="shared" si="13"/>
        <v>89580.253226666697</v>
      </c>
      <c r="Y19" s="424"/>
      <c r="Z19" s="873">
        <f t="shared" si="14"/>
        <v>89580.253226666697</v>
      </c>
      <c r="AA19" s="753">
        <v>70640.235306666698</v>
      </c>
      <c r="AB19" s="753">
        <f t="shared" si="15"/>
        <v>18940.017919999998</v>
      </c>
      <c r="AC19" s="436"/>
      <c r="AD19" s="436"/>
      <c r="AE19" s="436"/>
    </row>
    <row r="20" spans="1:31" ht="14.25" x14ac:dyDescent="0.15">
      <c r="A20" s="421">
        <v>17</v>
      </c>
      <c r="B20" s="597" t="s">
        <v>60</v>
      </c>
      <c r="C20" s="422">
        <v>806497.16666666698</v>
      </c>
      <c r="D20" s="423">
        <v>12</v>
      </c>
      <c r="E20" s="424">
        <f t="shared" si="0"/>
        <v>9677966</v>
      </c>
      <c r="F20" s="424">
        <v>93328.324999999997</v>
      </c>
      <c r="G20" s="424">
        <v>476637.28</v>
      </c>
      <c r="H20" s="424"/>
      <c r="I20" s="424">
        <f t="shared" si="1"/>
        <v>9108000.3950000107</v>
      </c>
      <c r="J20" s="424">
        <v>200000</v>
      </c>
      <c r="K20" s="424">
        <v>0.2</v>
      </c>
      <c r="L20" s="424">
        <f t="shared" si="2"/>
        <v>1821600.0789999999</v>
      </c>
      <c r="M20" s="424">
        <f t="shared" si="3"/>
        <v>2021600.0789999999</v>
      </c>
      <c r="N20" s="424">
        <f t="shared" si="4"/>
        <v>2591565.6839999999</v>
      </c>
      <c r="O20" s="424">
        <f t="shared" si="5"/>
        <v>7086400.3159999996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932736.07584000099</v>
      </c>
      <c r="V20" s="424">
        <f t="shared" si="12"/>
        <v>1492736.0758400001</v>
      </c>
      <c r="W20" s="431">
        <v>12</v>
      </c>
      <c r="X20" s="424">
        <f t="shared" si="13"/>
        <v>124394.67298666701</v>
      </c>
      <c r="Y20" s="424"/>
      <c r="Z20" s="873">
        <f t="shared" si="14"/>
        <v>124394.67298666701</v>
      </c>
      <c r="AA20" s="753">
        <v>106297.15</v>
      </c>
      <c r="AB20" s="753">
        <f t="shared" si="15"/>
        <v>18097.5229866667</v>
      </c>
      <c r="AC20" s="436"/>
      <c r="AD20" s="436"/>
      <c r="AE20" s="436"/>
    </row>
    <row r="21" spans="1:31" ht="14.25" x14ac:dyDescent="0.15">
      <c r="A21" s="421">
        <v>18</v>
      </c>
      <c r="B21" s="597" t="s">
        <v>63</v>
      </c>
      <c r="C21" s="422">
        <v>692662.66666666698</v>
      </c>
      <c r="D21" s="423">
        <v>12</v>
      </c>
      <c r="E21" s="424">
        <f t="shared" si="0"/>
        <v>8311952</v>
      </c>
      <c r="F21" s="424"/>
      <c r="G21" s="424">
        <v>463356.16000000102</v>
      </c>
      <c r="H21" s="424"/>
      <c r="I21" s="424">
        <f t="shared" si="1"/>
        <v>7848595.8399999999</v>
      </c>
      <c r="J21" s="424">
        <v>200000</v>
      </c>
      <c r="K21" s="424">
        <v>0.2</v>
      </c>
      <c r="L21" s="424">
        <f t="shared" si="2"/>
        <v>1569719.1680000001</v>
      </c>
      <c r="M21" s="424">
        <f t="shared" si="3"/>
        <v>1769719.1680000001</v>
      </c>
      <c r="N21" s="424">
        <f t="shared" si="4"/>
        <v>2233075.3280000002</v>
      </c>
      <c r="O21" s="424">
        <f t="shared" si="5"/>
        <v>6078876.6720000003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690930.40127999999</v>
      </c>
      <c r="V21" s="424">
        <f t="shared" si="12"/>
        <v>1250930.4012800001</v>
      </c>
      <c r="W21" s="431">
        <v>12</v>
      </c>
      <c r="X21" s="424">
        <f t="shared" si="13"/>
        <v>104244.20010666701</v>
      </c>
      <c r="Y21" s="424"/>
      <c r="Z21" s="873">
        <f t="shared" si="14"/>
        <v>104244.20010666701</v>
      </c>
      <c r="AA21" s="753">
        <v>82601.204906666695</v>
      </c>
      <c r="AB21" s="753">
        <f t="shared" si="15"/>
        <v>21642.995200000001</v>
      </c>
      <c r="AC21" s="436"/>
      <c r="AD21" s="436"/>
      <c r="AE21" s="436"/>
    </row>
    <row r="22" spans="1:31" ht="14.25" x14ac:dyDescent="0.15">
      <c r="A22" s="421">
        <v>19</v>
      </c>
      <c r="B22" s="593" t="s">
        <v>66</v>
      </c>
      <c r="C22" s="422">
        <v>754993.58333333302</v>
      </c>
      <c r="D22" s="423">
        <v>12</v>
      </c>
      <c r="E22" s="424">
        <f t="shared" si="0"/>
        <v>9059923</v>
      </c>
      <c r="F22" s="424"/>
      <c r="G22" s="424">
        <v>436793.83999999898</v>
      </c>
      <c r="H22" s="424"/>
      <c r="I22" s="424">
        <f t="shared" si="1"/>
        <v>8623129.1600000001</v>
      </c>
      <c r="J22" s="424">
        <v>200000</v>
      </c>
      <c r="K22" s="424">
        <v>0.2</v>
      </c>
      <c r="L22" s="424">
        <f t="shared" si="2"/>
        <v>1724625.8319999999</v>
      </c>
      <c r="M22" s="424">
        <f t="shared" si="3"/>
        <v>1924625.8319999999</v>
      </c>
      <c r="N22" s="424">
        <f t="shared" si="4"/>
        <v>2361419.6719999998</v>
      </c>
      <c r="O22" s="424">
        <f t="shared" si="5"/>
        <v>6698503.3279999997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839640.79871999903</v>
      </c>
      <c r="V22" s="424">
        <f t="shared" si="12"/>
        <v>1399640.7987200001</v>
      </c>
      <c r="W22" s="431">
        <v>12</v>
      </c>
      <c r="X22" s="424">
        <f t="shared" si="13"/>
        <v>116636.733226667</v>
      </c>
      <c r="Y22" s="424"/>
      <c r="Z22" s="873">
        <f t="shared" si="14"/>
        <v>116636.733226667</v>
      </c>
      <c r="AA22" s="753">
        <v>98711.114666666705</v>
      </c>
      <c r="AB22" s="753">
        <f t="shared" si="15"/>
        <v>17925.618559999901</v>
      </c>
      <c r="AC22" s="436"/>
      <c r="AD22" s="436"/>
      <c r="AE22" s="436"/>
    </row>
    <row r="23" spans="1:31" ht="14.25" x14ac:dyDescent="0.15">
      <c r="A23" s="421">
        <v>20</v>
      </c>
      <c r="B23" s="597" t="s">
        <v>69</v>
      </c>
      <c r="C23" s="422">
        <v>564993.58333333302</v>
      </c>
      <c r="D23" s="423">
        <v>12</v>
      </c>
      <c r="E23" s="424">
        <f t="shared" si="0"/>
        <v>6779923</v>
      </c>
      <c r="F23" s="424"/>
      <c r="G23" s="424">
        <v>436793.83999999898</v>
      </c>
      <c r="H23" s="424"/>
      <c r="I23" s="424">
        <f t="shared" si="1"/>
        <v>6343129.1600000001</v>
      </c>
      <c r="J23" s="424">
        <v>200000</v>
      </c>
      <c r="K23" s="424">
        <v>0.2</v>
      </c>
      <c r="L23" s="424">
        <f t="shared" si="2"/>
        <v>1268625.8319999999</v>
      </c>
      <c r="M23" s="424">
        <f t="shared" si="3"/>
        <v>1468625.8319999999</v>
      </c>
      <c r="N23" s="424">
        <f t="shared" si="4"/>
        <v>1905419.672</v>
      </c>
      <c r="O23" s="424">
        <f t="shared" si="5"/>
        <v>4874503.3279999997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401880.79871999897</v>
      </c>
      <c r="V23" s="424">
        <f t="shared" si="12"/>
        <v>961880.79871999903</v>
      </c>
      <c r="W23" s="431">
        <v>12</v>
      </c>
      <c r="X23" s="424">
        <f t="shared" si="13"/>
        <v>80156.733226666605</v>
      </c>
      <c r="Y23" s="424"/>
      <c r="Z23" s="873">
        <f t="shared" si="14"/>
        <v>80156.733226666605</v>
      </c>
      <c r="AA23" s="753">
        <v>62231.114666666697</v>
      </c>
      <c r="AB23" s="753">
        <f t="shared" si="15"/>
        <v>17925.618559999901</v>
      </c>
      <c r="AC23" s="436"/>
      <c r="AD23" s="436"/>
      <c r="AE23" s="436"/>
    </row>
    <row r="24" spans="1:31" ht="14.25" x14ac:dyDescent="0.15">
      <c r="A24" s="421">
        <v>21</v>
      </c>
      <c r="B24" s="593" t="s">
        <v>71</v>
      </c>
      <c r="C24" s="422">
        <v>641140.66666666605</v>
      </c>
      <c r="D24" s="423">
        <v>12</v>
      </c>
      <c r="E24" s="424">
        <f t="shared" si="0"/>
        <v>7693687.9999999898</v>
      </c>
      <c r="F24" s="424"/>
      <c r="G24" s="424">
        <v>365895.04</v>
      </c>
      <c r="H24" s="424"/>
      <c r="I24" s="424">
        <f t="shared" si="1"/>
        <v>7327792.9599999897</v>
      </c>
      <c r="J24" s="424">
        <v>200000</v>
      </c>
      <c r="K24" s="424">
        <v>0.2</v>
      </c>
      <c r="L24" s="424">
        <f t="shared" si="2"/>
        <v>1465558.5919999999</v>
      </c>
      <c r="M24" s="424">
        <f t="shared" si="3"/>
        <v>1665558.5919999999</v>
      </c>
      <c r="N24" s="424">
        <f t="shared" si="4"/>
        <v>2031453.632</v>
      </c>
      <c r="O24" s="424">
        <f t="shared" si="5"/>
        <v>5662234.3679999895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336000</v>
      </c>
      <c r="U24" s="424">
        <f t="shared" si="11"/>
        <v>590936.24831999897</v>
      </c>
      <c r="V24" s="424">
        <f t="shared" si="12"/>
        <v>1150936.24832</v>
      </c>
      <c r="W24" s="431">
        <v>12</v>
      </c>
      <c r="X24" s="424">
        <f t="shared" si="13"/>
        <v>95911.354026666595</v>
      </c>
      <c r="Y24" s="424"/>
      <c r="Z24" s="873">
        <f t="shared" si="14"/>
        <v>95911.354026666595</v>
      </c>
      <c r="AA24" s="753">
        <v>80347.426986666702</v>
      </c>
      <c r="AB24" s="753">
        <f t="shared" si="15"/>
        <v>15563.9270399998</v>
      </c>
      <c r="AC24" s="436"/>
      <c r="AD24" s="436"/>
      <c r="AE24" s="436"/>
    </row>
    <row r="25" spans="1:31" ht="14.25" x14ac:dyDescent="0.15">
      <c r="A25" s="421">
        <v>22</v>
      </c>
      <c r="B25" s="593" t="s">
        <v>74</v>
      </c>
      <c r="C25" s="422">
        <v>441140.66666666599</v>
      </c>
      <c r="D25" s="423">
        <v>12</v>
      </c>
      <c r="E25" s="424">
        <f t="shared" si="0"/>
        <v>5293687.9999999898</v>
      </c>
      <c r="F25" s="424"/>
      <c r="G25" s="424">
        <v>365895.04</v>
      </c>
      <c r="H25" s="424"/>
      <c r="I25" s="424">
        <f t="shared" si="1"/>
        <v>4927792.9599999897</v>
      </c>
      <c r="J25" s="424">
        <v>200000</v>
      </c>
      <c r="K25" s="424">
        <v>0.2</v>
      </c>
      <c r="L25" s="424">
        <f t="shared" si="2"/>
        <v>985558.59199999797</v>
      </c>
      <c r="M25" s="424">
        <f t="shared" si="3"/>
        <v>1185558.5919999999</v>
      </c>
      <c r="N25" s="424">
        <f t="shared" si="4"/>
        <v>1551453.632</v>
      </c>
      <c r="O25" s="424">
        <f t="shared" si="5"/>
        <v>3742234.36799999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336000</v>
      </c>
      <c r="U25" s="424">
        <f t="shared" si="11"/>
        <v>130136.24831999801</v>
      </c>
      <c r="V25" s="424">
        <f t="shared" si="12"/>
        <v>690136.24831999803</v>
      </c>
      <c r="W25" s="431">
        <v>12</v>
      </c>
      <c r="X25" s="424">
        <f t="shared" si="13"/>
        <v>57511.3540266665</v>
      </c>
      <c r="Y25" s="424"/>
      <c r="Z25" s="873">
        <f t="shared" si="14"/>
        <v>57511.3540266665</v>
      </c>
      <c r="AA25" s="753">
        <v>42537.331946666702</v>
      </c>
      <c r="AB25" s="753">
        <f t="shared" si="15"/>
        <v>14974.022079999801</v>
      </c>
      <c r="AC25" s="436"/>
      <c r="AD25" s="436"/>
      <c r="AE25" s="436"/>
    </row>
    <row r="26" spans="1:31" ht="14.25" x14ac:dyDescent="0.15">
      <c r="A26" s="421">
        <v>23</v>
      </c>
      <c r="B26" s="71" t="s">
        <v>77</v>
      </c>
      <c r="C26" s="422">
        <v>415320.66666666698</v>
      </c>
      <c r="D26" s="423">
        <v>12</v>
      </c>
      <c r="E26" s="424">
        <f t="shared" si="0"/>
        <v>4983848</v>
      </c>
      <c r="F26" s="424"/>
      <c r="G26" s="424">
        <v>341107.84000000102</v>
      </c>
      <c r="H26" s="424"/>
      <c r="I26" s="424">
        <f t="shared" si="1"/>
        <v>4642740.16</v>
      </c>
      <c r="J26" s="424">
        <v>200000</v>
      </c>
      <c r="K26" s="424">
        <v>0.2</v>
      </c>
      <c r="L26" s="424">
        <f t="shared" si="2"/>
        <v>928548.03200000105</v>
      </c>
      <c r="M26" s="424">
        <f t="shared" si="3"/>
        <v>1128548.0319999999</v>
      </c>
      <c r="N26" s="424">
        <f t="shared" si="4"/>
        <v>1469655.872</v>
      </c>
      <c r="O26" s="424">
        <f t="shared" si="5"/>
        <v>3514192.128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336000</v>
      </c>
      <c r="U26" s="424">
        <f t="shared" si="11"/>
        <v>75406.110720000594</v>
      </c>
      <c r="V26" s="424">
        <f t="shared" si="12"/>
        <v>635406.11072000104</v>
      </c>
      <c r="W26" s="431">
        <v>12</v>
      </c>
      <c r="X26" s="424">
        <f t="shared" si="13"/>
        <v>52950.509226666698</v>
      </c>
      <c r="Y26" s="424"/>
      <c r="Z26" s="873">
        <f t="shared" si="14"/>
        <v>52950.509226666698</v>
      </c>
      <c r="AA26" s="753">
        <v>39052.313066666698</v>
      </c>
      <c r="AB26" s="753">
        <f t="shared" si="15"/>
        <v>13898.19616</v>
      </c>
      <c r="AC26" s="436"/>
      <c r="AD26" s="436"/>
      <c r="AE26" s="436"/>
    </row>
    <row r="27" spans="1:31" ht="14.25" x14ac:dyDescent="0.15">
      <c r="A27" s="421">
        <v>24</v>
      </c>
      <c r="B27" s="313" t="s">
        <v>80</v>
      </c>
      <c r="C27" s="422">
        <v>415320.66666666698</v>
      </c>
      <c r="D27" s="423">
        <v>12</v>
      </c>
      <c r="E27" s="424">
        <f t="shared" si="0"/>
        <v>4983848</v>
      </c>
      <c r="F27" s="424"/>
      <c r="G27" s="424">
        <v>341107.84000000102</v>
      </c>
      <c r="H27" s="424"/>
      <c r="I27" s="424">
        <f t="shared" si="1"/>
        <v>4642740.16</v>
      </c>
      <c r="J27" s="424">
        <v>200000</v>
      </c>
      <c r="K27" s="424">
        <v>0.2</v>
      </c>
      <c r="L27" s="424">
        <f t="shared" si="2"/>
        <v>928548.03200000105</v>
      </c>
      <c r="M27" s="424">
        <f t="shared" si="3"/>
        <v>1128548.0319999999</v>
      </c>
      <c r="N27" s="424">
        <f t="shared" si="4"/>
        <v>1469655.872</v>
      </c>
      <c r="O27" s="424">
        <f t="shared" si="5"/>
        <v>3514192.128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336000</v>
      </c>
      <c r="U27" s="424">
        <f t="shared" si="11"/>
        <v>75406.110720000594</v>
      </c>
      <c r="V27" s="424">
        <f t="shared" si="12"/>
        <v>635406.11072000104</v>
      </c>
      <c r="W27" s="431">
        <v>12</v>
      </c>
      <c r="X27" s="424">
        <f t="shared" si="13"/>
        <v>52950.509226666698</v>
      </c>
      <c r="Y27" s="424"/>
      <c r="Z27" s="873">
        <f t="shared" si="14"/>
        <v>52950.509226666698</v>
      </c>
      <c r="AA27" s="753">
        <v>39052.313066666698</v>
      </c>
      <c r="AB27" s="753">
        <f t="shared" si="15"/>
        <v>13898.19616</v>
      </c>
      <c r="AC27" s="436"/>
      <c r="AD27" s="436"/>
      <c r="AE27" s="436"/>
    </row>
    <row r="28" spans="1:31" ht="14.25" x14ac:dyDescent="0.15">
      <c r="A28" s="421">
        <v>25</v>
      </c>
      <c r="B28" s="597" t="s">
        <v>81</v>
      </c>
      <c r="C28" s="422">
        <v>455320.66666666698</v>
      </c>
      <c r="D28" s="423">
        <v>12</v>
      </c>
      <c r="E28" s="424">
        <f t="shared" si="0"/>
        <v>5463848</v>
      </c>
      <c r="F28" s="424"/>
      <c r="G28" s="424">
        <v>341107.84000000102</v>
      </c>
      <c r="H28" s="424"/>
      <c r="I28" s="424">
        <f t="shared" si="1"/>
        <v>5122740.16</v>
      </c>
      <c r="J28" s="424">
        <v>200000</v>
      </c>
      <c r="K28" s="424">
        <v>0.2</v>
      </c>
      <c r="L28" s="424">
        <f t="shared" si="2"/>
        <v>1024548.032</v>
      </c>
      <c r="M28" s="424">
        <f t="shared" si="3"/>
        <v>1224548.0319999999</v>
      </c>
      <c r="N28" s="424">
        <f t="shared" si="4"/>
        <v>1565655.872</v>
      </c>
      <c r="O28" s="424">
        <f t="shared" si="5"/>
        <v>3898192.128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336000</v>
      </c>
      <c r="U28" s="424">
        <f t="shared" si="11"/>
        <v>167566.11072000099</v>
      </c>
      <c r="V28" s="424">
        <f t="shared" si="12"/>
        <v>727566.11072000104</v>
      </c>
      <c r="W28" s="431">
        <v>12</v>
      </c>
      <c r="X28" s="424">
        <f t="shared" si="13"/>
        <v>60630.509226666698</v>
      </c>
      <c r="Y28" s="424"/>
      <c r="Z28" s="873">
        <f t="shared" si="14"/>
        <v>60630.509226666698</v>
      </c>
      <c r="AA28" s="753">
        <v>45772.313066666698</v>
      </c>
      <c r="AB28" s="753">
        <f t="shared" si="15"/>
        <v>14858.19616</v>
      </c>
      <c r="AC28" s="436"/>
      <c r="AD28" s="436"/>
      <c r="AE28" s="436"/>
    </row>
    <row r="29" spans="1:31" ht="14.25" x14ac:dyDescent="0.15">
      <c r="A29" s="421">
        <v>26</v>
      </c>
      <c r="B29" s="313" t="s">
        <v>82</v>
      </c>
      <c r="C29" s="422">
        <v>407016.16666666599</v>
      </c>
      <c r="D29" s="423">
        <v>12</v>
      </c>
      <c r="E29" s="424">
        <f t="shared" si="0"/>
        <v>4884193.9999999898</v>
      </c>
      <c r="F29" s="424"/>
      <c r="G29" s="424">
        <v>333135.52</v>
      </c>
      <c r="H29" s="424"/>
      <c r="I29" s="424">
        <f t="shared" si="1"/>
        <v>4551058.4799999902</v>
      </c>
      <c r="J29" s="424">
        <v>200000</v>
      </c>
      <c r="K29" s="424">
        <v>0.2</v>
      </c>
      <c r="L29" s="424">
        <f t="shared" si="2"/>
        <v>910211.69599999802</v>
      </c>
      <c r="M29" s="424">
        <f t="shared" si="3"/>
        <v>1110211.696</v>
      </c>
      <c r="N29" s="424">
        <f t="shared" si="4"/>
        <v>1443347.216</v>
      </c>
      <c r="O29" s="424">
        <f t="shared" si="5"/>
        <v>3440846.7839999902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336000</v>
      </c>
      <c r="U29" s="424">
        <f t="shared" si="11"/>
        <v>57803.228159998398</v>
      </c>
      <c r="V29" s="424">
        <f t="shared" si="12"/>
        <v>617803.22815999796</v>
      </c>
      <c r="W29" s="431">
        <v>12</v>
      </c>
      <c r="X29" s="424">
        <f t="shared" si="13"/>
        <v>51483.602346666499</v>
      </c>
      <c r="Y29" s="424"/>
      <c r="Z29" s="873">
        <f t="shared" si="14"/>
        <v>51483.602346666499</v>
      </c>
      <c r="AA29" s="753">
        <v>37921.500586666698</v>
      </c>
      <c r="AB29" s="753">
        <f t="shared" si="15"/>
        <v>13562.101759999799</v>
      </c>
      <c r="AC29" s="436"/>
      <c r="AD29" s="436"/>
      <c r="AE29" s="436"/>
    </row>
    <row r="30" spans="1:31" ht="14.25" x14ac:dyDescent="0.15">
      <c r="A30" s="421">
        <v>27</v>
      </c>
      <c r="B30" s="313" t="s">
        <v>85</v>
      </c>
      <c r="C30" s="422">
        <v>398711.66666666698</v>
      </c>
      <c r="D30" s="423">
        <v>12</v>
      </c>
      <c r="E30" s="424">
        <f t="shared" si="0"/>
        <v>4784540</v>
      </c>
      <c r="F30" s="424"/>
      <c r="G30" s="424">
        <v>325163.200000001</v>
      </c>
      <c r="H30" s="424"/>
      <c r="I30" s="424">
        <f t="shared" si="1"/>
        <v>4459376.8</v>
      </c>
      <c r="J30" s="424">
        <v>200000</v>
      </c>
      <c r="K30" s="424">
        <v>0.2</v>
      </c>
      <c r="L30" s="424">
        <f t="shared" si="2"/>
        <v>891875.36000000103</v>
      </c>
      <c r="M30" s="424">
        <f t="shared" si="3"/>
        <v>1091875.3600000001</v>
      </c>
      <c r="N30" s="424">
        <f t="shared" si="4"/>
        <v>1417038.56</v>
      </c>
      <c r="O30" s="424">
        <f t="shared" si="5"/>
        <v>3367501.44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336000</v>
      </c>
      <c r="U30" s="424">
        <f t="shared" si="11"/>
        <v>40200.345600000503</v>
      </c>
      <c r="V30" s="424">
        <f t="shared" si="12"/>
        <v>600200.34560000105</v>
      </c>
      <c r="W30" s="431">
        <v>12</v>
      </c>
      <c r="X30" s="424">
        <f t="shared" si="13"/>
        <v>50016.695466666701</v>
      </c>
      <c r="Y30" s="424"/>
      <c r="Z30" s="873">
        <f t="shared" si="14"/>
        <v>50016.695466666701</v>
      </c>
      <c r="AA30" s="753">
        <v>36790.688106666697</v>
      </c>
      <c r="AB30" s="753">
        <f t="shared" si="15"/>
        <v>13226.00736</v>
      </c>
      <c r="AC30" s="436"/>
      <c r="AD30" s="436"/>
      <c r="AE30" s="436"/>
    </row>
    <row r="31" spans="1:31" ht="14.25" x14ac:dyDescent="0.15">
      <c r="A31" s="421">
        <v>28</v>
      </c>
      <c r="B31" s="313" t="s">
        <v>88</v>
      </c>
      <c r="C31" s="422">
        <v>398711.66666666698</v>
      </c>
      <c r="D31" s="423">
        <v>12</v>
      </c>
      <c r="E31" s="424">
        <f t="shared" si="0"/>
        <v>4784540</v>
      </c>
      <c r="F31" s="424"/>
      <c r="G31" s="425">
        <v>325163.200000001</v>
      </c>
      <c r="H31" s="424"/>
      <c r="I31" s="424">
        <f t="shared" si="1"/>
        <v>4459376.8</v>
      </c>
      <c r="J31" s="424">
        <v>200000</v>
      </c>
      <c r="K31" s="424">
        <v>0.2</v>
      </c>
      <c r="L31" s="424">
        <f t="shared" si="2"/>
        <v>891875.36000000103</v>
      </c>
      <c r="M31" s="424">
        <f t="shared" si="3"/>
        <v>1091875.3600000001</v>
      </c>
      <c r="N31" s="424">
        <f t="shared" si="4"/>
        <v>1417038.56</v>
      </c>
      <c r="O31" s="424">
        <f t="shared" si="5"/>
        <v>3367501.44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336000</v>
      </c>
      <c r="U31" s="424">
        <f t="shared" si="11"/>
        <v>40200.345600000503</v>
      </c>
      <c r="V31" s="424">
        <f t="shared" si="12"/>
        <v>600200.34560000105</v>
      </c>
      <c r="W31" s="431">
        <v>12</v>
      </c>
      <c r="X31" s="424">
        <f t="shared" si="13"/>
        <v>50016.695466666701</v>
      </c>
      <c r="Y31" s="424"/>
      <c r="Z31" s="873">
        <f t="shared" si="14"/>
        <v>50016.695466666701</v>
      </c>
      <c r="AA31" s="753">
        <v>36790.688106666697</v>
      </c>
      <c r="AB31" s="753">
        <f t="shared" si="15"/>
        <v>13226.00736</v>
      </c>
      <c r="AC31" s="436"/>
      <c r="AD31" s="436"/>
      <c r="AE31" s="436"/>
    </row>
    <row r="32" spans="1:31" ht="14.25" x14ac:dyDescent="0.15">
      <c r="A32" s="421">
        <v>29</v>
      </c>
      <c r="B32" s="313" t="s">
        <v>89</v>
      </c>
      <c r="C32" s="422">
        <v>415320.66666666698</v>
      </c>
      <c r="D32" s="423">
        <v>12</v>
      </c>
      <c r="E32" s="424">
        <f t="shared" si="0"/>
        <v>4983848</v>
      </c>
      <c r="F32" s="424"/>
      <c r="G32" s="425">
        <v>341107.84000000102</v>
      </c>
      <c r="H32" s="424"/>
      <c r="I32" s="424">
        <f t="shared" si="1"/>
        <v>4642740.16</v>
      </c>
      <c r="J32" s="424">
        <v>200000</v>
      </c>
      <c r="K32" s="424">
        <v>0.2</v>
      </c>
      <c r="L32" s="424">
        <f t="shared" si="2"/>
        <v>928548.03200000105</v>
      </c>
      <c r="M32" s="424">
        <f t="shared" si="3"/>
        <v>1128548.0319999999</v>
      </c>
      <c r="N32" s="424">
        <f t="shared" si="4"/>
        <v>1469655.872</v>
      </c>
      <c r="O32" s="424">
        <f t="shared" si="5"/>
        <v>3514192.128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336000</v>
      </c>
      <c r="U32" s="424">
        <f t="shared" si="11"/>
        <v>75406.110720000594</v>
      </c>
      <c r="V32" s="424">
        <f t="shared" si="12"/>
        <v>635406.11072000104</v>
      </c>
      <c r="W32" s="431">
        <v>12</v>
      </c>
      <c r="X32" s="424">
        <f t="shared" si="13"/>
        <v>52950.509226666698</v>
      </c>
      <c r="Y32" s="424"/>
      <c r="Z32" s="873">
        <f t="shared" si="14"/>
        <v>52950.509226666698</v>
      </c>
      <c r="AA32" s="753">
        <v>39052.313066666698</v>
      </c>
      <c r="AB32" s="753">
        <f t="shared" si="15"/>
        <v>13898.19616</v>
      </c>
      <c r="AC32" s="436"/>
      <c r="AD32" s="436"/>
      <c r="AE32" s="436"/>
    </row>
    <row r="33" spans="1:31" ht="14.25" x14ac:dyDescent="0.15">
      <c r="A33" s="421">
        <v>31</v>
      </c>
      <c r="B33" s="313" t="s">
        <v>91</v>
      </c>
      <c r="C33" s="424">
        <v>398711.66666666698</v>
      </c>
      <c r="D33" s="423">
        <v>12</v>
      </c>
      <c r="E33" s="424">
        <f t="shared" si="0"/>
        <v>4784540</v>
      </c>
      <c r="F33" s="424"/>
      <c r="G33" s="425">
        <v>341107.84000000102</v>
      </c>
      <c r="H33" s="424"/>
      <c r="I33" s="424">
        <f t="shared" si="1"/>
        <v>4443432.16</v>
      </c>
      <c r="J33" s="424">
        <v>200000</v>
      </c>
      <c r="K33" s="424">
        <v>0.2</v>
      </c>
      <c r="L33" s="424">
        <f t="shared" si="2"/>
        <v>888686.43200000096</v>
      </c>
      <c r="M33" s="424">
        <f t="shared" si="3"/>
        <v>1088686.432</v>
      </c>
      <c r="N33" s="424">
        <f t="shared" si="4"/>
        <v>1429794.2720000001</v>
      </c>
      <c r="O33" s="424">
        <f t="shared" si="5"/>
        <v>3354745.7280000001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95000</v>
      </c>
      <c r="T33" s="424">
        <f t="shared" si="10"/>
        <v>336000</v>
      </c>
      <c r="U33" s="424">
        <f t="shared" si="11"/>
        <v>37138.9747200005</v>
      </c>
      <c r="V33" s="424">
        <f t="shared" si="12"/>
        <v>597138.97472000099</v>
      </c>
      <c r="W33" s="431">
        <v>12</v>
      </c>
      <c r="X33" s="424">
        <f t="shared" si="13"/>
        <v>49761.581226666698</v>
      </c>
      <c r="Y33" s="424"/>
      <c r="Z33" s="873">
        <f t="shared" si="14"/>
        <v>49761.581226666698</v>
      </c>
      <c r="AA33" s="753">
        <v>36790.688106666697</v>
      </c>
      <c r="AB33" s="753">
        <f t="shared" si="15"/>
        <v>12970.893120000001</v>
      </c>
      <c r="AC33" s="436"/>
      <c r="AD33" s="436"/>
      <c r="AE33" s="436"/>
    </row>
    <row r="34" spans="1:31" ht="14.25" x14ac:dyDescent="0.15">
      <c r="A34" s="421">
        <v>32</v>
      </c>
      <c r="B34" s="313" t="s">
        <v>92</v>
      </c>
      <c r="C34" s="424">
        <v>398711.66666666698</v>
      </c>
      <c r="D34" s="423">
        <v>12</v>
      </c>
      <c r="E34" s="424">
        <f t="shared" si="0"/>
        <v>4784540</v>
      </c>
      <c r="F34" s="424"/>
      <c r="G34" s="425">
        <v>341107.84000000102</v>
      </c>
      <c r="H34" s="424"/>
      <c r="I34" s="424">
        <f t="shared" si="1"/>
        <v>4443432.16</v>
      </c>
      <c r="J34" s="424">
        <v>200000</v>
      </c>
      <c r="K34" s="424">
        <v>0.2</v>
      </c>
      <c r="L34" s="424">
        <f t="shared" si="2"/>
        <v>888686.43200000096</v>
      </c>
      <c r="M34" s="424">
        <f t="shared" si="3"/>
        <v>1088686.432</v>
      </c>
      <c r="N34" s="424">
        <f t="shared" si="4"/>
        <v>1429794.2720000001</v>
      </c>
      <c r="O34" s="424">
        <f t="shared" si="5"/>
        <v>3354745.7280000001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95000</v>
      </c>
      <c r="T34" s="424">
        <f t="shared" si="10"/>
        <v>336000</v>
      </c>
      <c r="U34" s="424">
        <f t="shared" si="11"/>
        <v>37138.9747200005</v>
      </c>
      <c r="V34" s="424">
        <f t="shared" si="12"/>
        <v>597138.97472000099</v>
      </c>
      <c r="W34" s="431">
        <v>12</v>
      </c>
      <c r="X34" s="424">
        <f t="shared" si="13"/>
        <v>49761.581226666698</v>
      </c>
      <c r="Y34" s="424"/>
      <c r="Z34" s="873">
        <f t="shared" si="14"/>
        <v>49761.581226666698</v>
      </c>
      <c r="AA34" s="753">
        <v>36790.688106666697</v>
      </c>
      <c r="AB34" s="753">
        <f t="shared" si="15"/>
        <v>12970.893120000001</v>
      </c>
      <c r="AC34" s="436"/>
      <c r="AD34" s="436"/>
      <c r="AE34" s="436"/>
    </row>
    <row r="35" spans="1:31" ht="14.25" x14ac:dyDescent="0.15">
      <c r="A35" s="421"/>
      <c r="B35" s="313" t="s">
        <v>100</v>
      </c>
      <c r="C35" s="428">
        <v>351910.75</v>
      </c>
      <c r="D35" s="423">
        <v>12</v>
      </c>
      <c r="E35" s="424">
        <f t="shared" si="0"/>
        <v>4222929</v>
      </c>
      <c r="F35" s="424"/>
      <c r="G35" s="425">
        <v>289834.32</v>
      </c>
      <c r="H35" s="424"/>
      <c r="I35" s="424">
        <f t="shared" si="1"/>
        <v>3933094.68</v>
      </c>
      <c r="J35" s="424">
        <v>200000</v>
      </c>
      <c r="K35" s="424">
        <v>0.2</v>
      </c>
      <c r="L35" s="424">
        <f t="shared" si="2"/>
        <v>786618.93599999999</v>
      </c>
      <c r="M35" s="424">
        <f t="shared" si="3"/>
        <v>986618.93599999999</v>
      </c>
      <c r="N35" s="424">
        <f t="shared" si="4"/>
        <v>1276453.2560000001</v>
      </c>
      <c r="O35" s="424">
        <f t="shared" si="5"/>
        <v>2946475.7439999999</v>
      </c>
      <c r="P35" s="424">
        <f t="shared" si="6"/>
        <v>21000</v>
      </c>
      <c r="Q35" s="424">
        <f t="shared" si="7"/>
        <v>33000</v>
      </c>
      <c r="R35" s="424">
        <f t="shared" si="8"/>
        <v>75000</v>
      </c>
      <c r="S35" s="424">
        <f t="shared" si="9"/>
        <v>95000</v>
      </c>
      <c r="T35" s="424">
        <f t="shared" si="10"/>
        <v>282759.90623999998</v>
      </c>
      <c r="U35" s="424"/>
      <c r="V35" s="424">
        <f t="shared" si="12"/>
        <v>506759.90623999998</v>
      </c>
      <c r="W35" s="424">
        <v>12</v>
      </c>
      <c r="X35" s="424">
        <f t="shared" si="13"/>
        <v>42229.992186666699</v>
      </c>
      <c r="Y35" s="424"/>
      <c r="Z35" s="873">
        <f t="shared" si="14"/>
        <v>42229.992186666699</v>
      </c>
      <c r="AA35" s="424">
        <v>30259.165626666701</v>
      </c>
      <c r="AB35" s="753">
        <f t="shared" si="15"/>
        <v>11970.82656</v>
      </c>
      <c r="AC35" s="436"/>
      <c r="AD35" s="436"/>
      <c r="AE35" s="436"/>
    </row>
    <row r="36" spans="1:31" ht="27" x14ac:dyDescent="0.15">
      <c r="A36" s="421"/>
      <c r="B36" s="313" t="s">
        <v>103</v>
      </c>
      <c r="C36" s="424">
        <v>344900.83333333401</v>
      </c>
      <c r="D36" s="423">
        <v>12</v>
      </c>
      <c r="E36" s="424">
        <f t="shared" si="0"/>
        <v>4138810.0000000098</v>
      </c>
      <c r="F36" s="424"/>
      <c r="G36" s="425">
        <v>283104.8</v>
      </c>
      <c r="H36" s="424"/>
      <c r="I36" s="424">
        <f t="shared" si="1"/>
        <v>3855705.20000001</v>
      </c>
      <c r="J36" s="424">
        <v>200000</v>
      </c>
      <c r="K36" s="424">
        <v>0.2</v>
      </c>
      <c r="L36" s="424">
        <f t="shared" si="2"/>
        <v>771141.04000000202</v>
      </c>
      <c r="M36" s="424">
        <f t="shared" si="3"/>
        <v>971141.04000000202</v>
      </c>
      <c r="N36" s="424">
        <f t="shared" si="4"/>
        <v>1254245.8400000001</v>
      </c>
      <c r="O36" s="424">
        <f t="shared" si="5"/>
        <v>2884564.1600000099</v>
      </c>
      <c r="P36" s="424">
        <f t="shared" si="6"/>
        <v>21000</v>
      </c>
      <c r="Q36" s="424">
        <f t="shared" si="7"/>
        <v>33000</v>
      </c>
      <c r="R36" s="424">
        <f t="shared" si="8"/>
        <v>75000</v>
      </c>
      <c r="S36" s="424">
        <f t="shared" si="9"/>
        <v>95000</v>
      </c>
      <c r="T36" s="424">
        <f t="shared" si="10"/>
        <v>269758.47360000102</v>
      </c>
      <c r="U36" s="424"/>
      <c r="V36" s="424">
        <f t="shared" si="12"/>
        <v>493758.47360000102</v>
      </c>
      <c r="W36" s="424">
        <v>12</v>
      </c>
      <c r="X36" s="424">
        <f t="shared" si="13"/>
        <v>41146.5394666668</v>
      </c>
      <c r="Y36" s="424"/>
      <c r="Z36" s="873">
        <f t="shared" si="14"/>
        <v>41146.5394666668</v>
      </c>
      <c r="AA36" s="753">
        <v>29305.195546666699</v>
      </c>
      <c r="AB36" s="753">
        <f t="shared" si="15"/>
        <v>11841.343920000099</v>
      </c>
      <c r="AC36" s="436"/>
      <c r="AD36" s="436"/>
      <c r="AE36" s="436"/>
    </row>
    <row r="37" spans="1:31" ht="14.25" x14ac:dyDescent="0.15">
      <c r="A37" s="421"/>
      <c r="B37" s="313"/>
      <c r="C37" s="424"/>
      <c r="D37" s="423"/>
      <c r="E37" s="424"/>
      <c r="F37" s="424"/>
      <c r="G37" s="425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873"/>
      <c r="AA37" s="753"/>
      <c r="AB37" s="753"/>
      <c r="AC37" s="436"/>
      <c r="AD37" s="436"/>
      <c r="AE37" s="436"/>
    </row>
    <row r="38" spans="1:31" ht="14.25" x14ac:dyDescent="0.15">
      <c r="A38" s="421"/>
      <c r="B38" s="809" t="s">
        <v>112</v>
      </c>
      <c r="C38" s="424"/>
      <c r="D38" s="423"/>
      <c r="E38" s="424"/>
      <c r="F38" s="424"/>
      <c r="G38" s="425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873"/>
      <c r="AA38" s="753"/>
      <c r="AB38" s="753"/>
      <c r="AC38" s="436"/>
      <c r="AD38" s="436"/>
      <c r="AE38" s="436"/>
    </row>
    <row r="39" spans="1:31" ht="14.25" x14ac:dyDescent="0.15">
      <c r="A39" s="421"/>
      <c r="B39" s="313" t="s">
        <v>113</v>
      </c>
      <c r="C39" s="424">
        <v>1847106.41666666</v>
      </c>
      <c r="D39" s="423">
        <v>12</v>
      </c>
      <c r="E39" s="424">
        <f t="shared" ref="E39:E42" si="16">C39*D39</f>
        <v>22165276.999999899</v>
      </c>
      <c r="F39" s="424"/>
      <c r="G39" s="424">
        <v>1677222.16</v>
      </c>
      <c r="H39" s="424"/>
      <c r="I39" s="424">
        <f t="shared" ref="I39:I42" si="17">E39-F39-G39-H39</f>
        <v>20488054.839999899</v>
      </c>
      <c r="J39" s="424">
        <v>200000</v>
      </c>
      <c r="K39" s="424">
        <v>0.2</v>
      </c>
      <c r="L39" s="424">
        <f t="shared" ref="L39:L42" si="18">I39*K39</f>
        <v>4097610.9679999799</v>
      </c>
      <c r="M39" s="424">
        <f t="shared" ref="M39:M42" si="19">J39+L39</f>
        <v>4297610.9679999799</v>
      </c>
      <c r="N39" s="424">
        <f t="shared" ref="N39:N42" si="20">F39+G39+H39+M39</f>
        <v>5974833.12799998</v>
      </c>
      <c r="O39" s="424">
        <f t="shared" ref="O39:O42" si="21">E39-N39</f>
        <v>16190443.871999901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 t="shared" ref="U39:U42" si="27">24%*(O39-3200000)</f>
        <v>3117706.5292799799</v>
      </c>
      <c r="V39" s="424">
        <f t="shared" ref="V39:V42" si="28">P39+Q39+R39+S39+T39+U39</f>
        <v>3677706.5292799799</v>
      </c>
      <c r="W39" s="431">
        <v>12</v>
      </c>
      <c r="X39" s="424">
        <f t="shared" ref="X39:X42" si="29">V39/W39</f>
        <v>306475.54410666501</v>
      </c>
      <c r="Y39" s="424"/>
      <c r="Z39" s="873">
        <f t="shared" ref="Z39:Z42" si="30">X39</f>
        <v>306475.54410666501</v>
      </c>
      <c r="AA39" s="753">
        <v>251472.247466667</v>
      </c>
      <c r="AB39" s="753">
        <f t="shared" ref="AB39:AB42" si="31">Z39-AA39</f>
        <v>55003.2966399984</v>
      </c>
      <c r="AC39" s="436"/>
      <c r="AD39" s="436"/>
      <c r="AE39" s="436"/>
    </row>
    <row r="40" spans="1:31" ht="14.25" x14ac:dyDescent="0.15">
      <c r="A40" s="421"/>
      <c r="B40" s="313" t="s">
        <v>116</v>
      </c>
      <c r="C40" s="424">
        <v>441140.66666666599</v>
      </c>
      <c r="D40" s="423">
        <v>12</v>
      </c>
      <c r="E40" s="424">
        <f t="shared" si="16"/>
        <v>5293687.9999999898</v>
      </c>
      <c r="F40" s="424"/>
      <c r="G40" s="424">
        <v>365895.04</v>
      </c>
      <c r="H40" s="424"/>
      <c r="I40" s="424">
        <f t="shared" si="17"/>
        <v>4927792.9599999897</v>
      </c>
      <c r="J40" s="424">
        <v>200000</v>
      </c>
      <c r="K40" s="424">
        <v>0.2</v>
      </c>
      <c r="L40" s="424">
        <f t="shared" si="18"/>
        <v>985558.59199999797</v>
      </c>
      <c r="M40" s="424">
        <f t="shared" si="19"/>
        <v>1185558.5919999999</v>
      </c>
      <c r="N40" s="424">
        <f t="shared" si="20"/>
        <v>1551453.632</v>
      </c>
      <c r="O40" s="424">
        <f t="shared" si="21"/>
        <v>3742234.36799999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95000</v>
      </c>
      <c r="T40" s="424">
        <f t="shared" si="26"/>
        <v>336000</v>
      </c>
      <c r="U40" s="424">
        <f t="shared" si="27"/>
        <v>130136.24831999801</v>
      </c>
      <c r="V40" s="424">
        <f t="shared" si="28"/>
        <v>690136.24831999803</v>
      </c>
      <c r="W40" s="431">
        <v>12</v>
      </c>
      <c r="X40" s="424">
        <f t="shared" si="29"/>
        <v>57511.3540266665</v>
      </c>
      <c r="Y40" s="424"/>
      <c r="Z40" s="873">
        <f t="shared" si="30"/>
        <v>57511.3540266665</v>
      </c>
      <c r="AA40" s="753">
        <v>42537.331946666702</v>
      </c>
      <c r="AB40" s="753">
        <f t="shared" si="31"/>
        <v>14974.022079999801</v>
      </c>
      <c r="AC40" s="436"/>
      <c r="AD40" s="436"/>
      <c r="AE40" s="436"/>
    </row>
    <row r="41" spans="1:31" ht="14.25" x14ac:dyDescent="0.15">
      <c r="A41" s="421"/>
      <c r="B41" s="597" t="s">
        <v>118</v>
      </c>
      <c r="C41" s="424">
        <v>450135.83333333401</v>
      </c>
      <c r="D41" s="423">
        <v>12</v>
      </c>
      <c r="E41" s="424">
        <f t="shared" si="16"/>
        <v>5401630.0000000102</v>
      </c>
      <c r="F41" s="424"/>
      <c r="G41" s="424">
        <v>374530.4</v>
      </c>
      <c r="H41" s="424"/>
      <c r="I41" s="424">
        <f t="shared" si="17"/>
        <v>5027099.6000000099</v>
      </c>
      <c r="J41" s="424">
        <v>200000</v>
      </c>
      <c r="K41" s="424">
        <v>0.2</v>
      </c>
      <c r="L41" s="424">
        <f t="shared" si="18"/>
        <v>1005419.92</v>
      </c>
      <c r="M41" s="424">
        <f t="shared" si="19"/>
        <v>1205419.92</v>
      </c>
      <c r="N41" s="424">
        <f t="shared" si="20"/>
        <v>1579950.32</v>
      </c>
      <c r="O41" s="424">
        <f t="shared" si="21"/>
        <v>3821679.6800000099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95000</v>
      </c>
      <c r="T41" s="424">
        <f t="shared" si="26"/>
        <v>336000</v>
      </c>
      <c r="U41" s="424">
        <f t="shared" si="27"/>
        <v>149203.12320000201</v>
      </c>
      <c r="V41" s="424">
        <f t="shared" si="28"/>
        <v>709203.12320000201</v>
      </c>
      <c r="W41" s="431">
        <v>12</v>
      </c>
      <c r="X41" s="424">
        <f t="shared" si="29"/>
        <v>59100.260266666803</v>
      </c>
      <c r="Y41" s="424"/>
      <c r="Z41" s="873">
        <f t="shared" si="30"/>
        <v>59100.260266666803</v>
      </c>
      <c r="AA41" s="753">
        <v>43763.907226666699</v>
      </c>
      <c r="AB41" s="753">
        <f t="shared" si="31"/>
        <v>15336.3530400001</v>
      </c>
      <c r="AC41" s="436"/>
      <c r="AD41" s="436"/>
      <c r="AE41" s="436"/>
    </row>
    <row r="42" spans="1:31" ht="14.25" x14ac:dyDescent="0.15">
      <c r="A42" s="421"/>
      <c r="B42" s="597" t="s">
        <v>121</v>
      </c>
      <c r="C42" s="424">
        <v>398711.66666666698</v>
      </c>
      <c r="D42" s="423">
        <v>12</v>
      </c>
      <c r="E42" s="424">
        <f t="shared" si="16"/>
        <v>4784540</v>
      </c>
      <c r="F42" s="424"/>
      <c r="G42" s="425">
        <v>325163.200000001</v>
      </c>
      <c r="H42" s="424"/>
      <c r="I42" s="424">
        <f t="shared" si="17"/>
        <v>4459376.8</v>
      </c>
      <c r="J42" s="424">
        <v>200000</v>
      </c>
      <c r="K42" s="424">
        <v>0.2</v>
      </c>
      <c r="L42" s="424">
        <f t="shared" si="18"/>
        <v>891875.36000000103</v>
      </c>
      <c r="M42" s="424">
        <f t="shared" si="19"/>
        <v>1091875.3600000001</v>
      </c>
      <c r="N42" s="424">
        <f t="shared" si="20"/>
        <v>1417038.56</v>
      </c>
      <c r="O42" s="424">
        <f t="shared" si="21"/>
        <v>3367501.44</v>
      </c>
      <c r="P42" s="424">
        <f t="shared" si="22"/>
        <v>21000</v>
      </c>
      <c r="Q42" s="424">
        <f t="shared" si="23"/>
        <v>33000</v>
      </c>
      <c r="R42" s="424">
        <f t="shared" si="24"/>
        <v>75000</v>
      </c>
      <c r="S42" s="424">
        <f t="shared" si="25"/>
        <v>95000</v>
      </c>
      <c r="T42" s="424">
        <f t="shared" si="26"/>
        <v>336000</v>
      </c>
      <c r="U42" s="424">
        <f t="shared" si="27"/>
        <v>40200.345600000503</v>
      </c>
      <c r="V42" s="424">
        <f t="shared" si="28"/>
        <v>600200.34560000105</v>
      </c>
      <c r="W42" s="431">
        <v>12</v>
      </c>
      <c r="X42" s="424">
        <f t="shared" si="29"/>
        <v>50016.695466666701</v>
      </c>
      <c r="Y42" s="424"/>
      <c r="Z42" s="873">
        <f t="shared" si="30"/>
        <v>50016.695466666701</v>
      </c>
      <c r="AA42" s="753">
        <v>36790.688106666697</v>
      </c>
      <c r="AB42" s="753">
        <f t="shared" si="31"/>
        <v>13226.00736</v>
      </c>
      <c r="AC42" s="436"/>
      <c r="AD42" s="436"/>
      <c r="AE42" s="436"/>
    </row>
    <row r="43" spans="1:31" ht="14.25" x14ac:dyDescent="0.15">
      <c r="A43" s="421"/>
      <c r="B43" s="597"/>
      <c r="C43" s="426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873"/>
      <c r="AA43" s="753"/>
      <c r="AB43" s="753"/>
      <c r="AC43" s="436"/>
      <c r="AD43" s="436"/>
      <c r="AE43" s="436"/>
    </row>
    <row r="44" spans="1:31" ht="14.25" x14ac:dyDescent="0.15">
      <c r="A44" s="421"/>
      <c r="B44" s="814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873"/>
      <c r="AA44" s="753"/>
      <c r="AB44" s="753"/>
      <c r="AC44" s="436"/>
      <c r="AD44" s="436"/>
      <c r="AE44" s="436"/>
    </row>
    <row r="45" spans="1:31" ht="14.25" x14ac:dyDescent="0.15">
      <c r="A45" s="421">
        <v>35</v>
      </c>
      <c r="B45" s="597" t="s">
        <v>126</v>
      </c>
      <c r="C45" s="422">
        <v>1185306.75</v>
      </c>
      <c r="D45" s="423">
        <v>12</v>
      </c>
      <c r="E45" s="424">
        <f t="shared" ref="E45:E52" si="32">C45*D45</f>
        <v>14223681</v>
      </c>
      <c r="F45" s="424"/>
      <c r="G45" s="425">
        <v>869094.48</v>
      </c>
      <c r="H45" s="424"/>
      <c r="I45" s="424">
        <f t="shared" ref="I45:I52" si="33">E45-F45-G45-H45</f>
        <v>13354586.52</v>
      </c>
      <c r="J45" s="424">
        <v>200000</v>
      </c>
      <c r="K45" s="424">
        <v>0.2</v>
      </c>
      <c r="L45" s="424">
        <f t="shared" ref="L45:L52" si="34">I45*K45</f>
        <v>2670917.304</v>
      </c>
      <c r="M45" s="424">
        <f t="shared" ref="M45:M52" si="35">J45+L45</f>
        <v>2870917.304</v>
      </c>
      <c r="N45" s="424">
        <f t="shared" ref="N45:N52" si="36">F45+G45+H45+M45</f>
        <v>3740011.784</v>
      </c>
      <c r="O45" s="424">
        <f t="shared" ref="O45:O52" si="37">E45-N45</f>
        <v>10483669.216</v>
      </c>
      <c r="P45" s="424">
        <f t="shared" ref="P45:P52" si="38">IF(O45&lt;300000,0.07*O45,21000)</f>
        <v>21000</v>
      </c>
      <c r="Q45" s="424">
        <f t="shared" ref="Q45:Q52" si="39">IF((O45-300000)&lt;0,0,IF((O45-300000)&lt;300000,0.11*(O45-300000),33000))</f>
        <v>33000</v>
      </c>
      <c r="R45" s="424">
        <f t="shared" ref="R45:R52" si="40">IF((O45-600000)&lt;0,0,IF((O45-600000)&lt;500000,0.15*(O45-600000),75000))</f>
        <v>75000</v>
      </c>
      <c r="S45" s="424">
        <f t="shared" ref="S45:S52" si="41">IF((O45-1100000)&lt;0,0,IF((O45-1100000)&lt;500000,0.19*(O45-1100000),95000))</f>
        <v>95000</v>
      </c>
      <c r="T45" s="424">
        <f t="shared" ref="T45:T52" si="42">IF((O45-1600000)&lt;0,0,IF((O45-1600000)&lt;1600000,0.21*(O45-1600000),336000))</f>
        <v>336000</v>
      </c>
      <c r="U45" s="424">
        <f>0.24*(O45-3200000)</f>
        <v>1748080.6118399999</v>
      </c>
      <c r="V45" s="424">
        <f t="shared" ref="V45:V52" si="43">P45+Q45+R45+S45+T45+U45</f>
        <v>2308080.6118399999</v>
      </c>
      <c r="W45" s="431">
        <v>12</v>
      </c>
      <c r="X45" s="424">
        <f t="shared" ref="X45:X52" si="44">V45/W45</f>
        <v>192340.05098666699</v>
      </c>
      <c r="Y45" s="424"/>
      <c r="Z45" s="873">
        <f t="shared" ref="Z45:Z52" si="45">X45</f>
        <v>192340.05098666699</v>
      </c>
      <c r="AA45" s="753">
        <v>162999.59</v>
      </c>
      <c r="AB45" s="753">
        <f t="shared" ref="AB45:AB52" si="46">Z45-AA45</f>
        <v>29340.460986666702</v>
      </c>
      <c r="AC45" s="436"/>
      <c r="AD45" s="436"/>
      <c r="AE45" s="436"/>
    </row>
    <row r="46" spans="1:31" ht="14.25" x14ac:dyDescent="0.15">
      <c r="A46" s="421">
        <v>36</v>
      </c>
      <c r="B46" s="597" t="s">
        <v>129</v>
      </c>
      <c r="C46" s="424">
        <v>904477</v>
      </c>
      <c r="D46" s="423">
        <v>12</v>
      </c>
      <c r="E46" s="424">
        <f t="shared" si="32"/>
        <v>10853724</v>
      </c>
      <c r="F46" s="427"/>
      <c r="G46" s="425">
        <v>714697.92</v>
      </c>
      <c r="H46" s="427"/>
      <c r="I46" s="424">
        <f t="shared" si="33"/>
        <v>10139026.08</v>
      </c>
      <c r="J46" s="424">
        <v>200000</v>
      </c>
      <c r="K46" s="424">
        <v>0.2</v>
      </c>
      <c r="L46" s="424">
        <f t="shared" si="34"/>
        <v>2027805.216</v>
      </c>
      <c r="M46" s="424">
        <f t="shared" si="35"/>
        <v>2227805.216</v>
      </c>
      <c r="N46" s="424">
        <f t="shared" si="36"/>
        <v>2942503.1359999999</v>
      </c>
      <c r="O46" s="424">
        <f t="shared" si="37"/>
        <v>7911220.8640000001</v>
      </c>
      <c r="P46" s="424">
        <f t="shared" si="38"/>
        <v>21000</v>
      </c>
      <c r="Q46" s="424">
        <f t="shared" si="39"/>
        <v>33000</v>
      </c>
      <c r="R46" s="424">
        <f t="shared" si="40"/>
        <v>75000</v>
      </c>
      <c r="S46" s="424">
        <f t="shared" si="41"/>
        <v>95000</v>
      </c>
      <c r="T46" s="424">
        <f t="shared" si="42"/>
        <v>336000</v>
      </c>
      <c r="U46" s="424">
        <f t="shared" ref="U46:U52" si="47">24%*(O46-3200000)</f>
        <v>1130693.0073599999</v>
      </c>
      <c r="V46" s="424">
        <f t="shared" si="43"/>
        <v>1690693.0073599999</v>
      </c>
      <c r="W46" s="431">
        <v>12</v>
      </c>
      <c r="X46" s="424">
        <f t="shared" si="44"/>
        <v>140891.083946667</v>
      </c>
      <c r="Y46" s="427"/>
      <c r="Z46" s="873">
        <f t="shared" si="45"/>
        <v>140891.083946667</v>
      </c>
      <c r="AA46" s="753">
        <v>119022.801706667</v>
      </c>
      <c r="AB46" s="753">
        <f t="shared" si="46"/>
        <v>21868.282239999699</v>
      </c>
      <c r="AC46" s="436"/>
      <c r="AD46" s="436"/>
      <c r="AE46" s="436"/>
    </row>
    <row r="47" spans="1:31" ht="14.25" x14ac:dyDescent="0.15">
      <c r="A47" s="421">
        <v>37</v>
      </c>
      <c r="B47" s="597" t="s">
        <v>132</v>
      </c>
      <c r="C47" s="424">
        <v>904477</v>
      </c>
      <c r="D47" s="423">
        <v>12</v>
      </c>
      <c r="E47" s="424">
        <f t="shared" si="32"/>
        <v>10853724</v>
      </c>
      <c r="F47" s="427">
        <v>137703.15</v>
      </c>
      <c r="G47" s="425">
        <v>714697.92</v>
      </c>
      <c r="H47" s="427"/>
      <c r="I47" s="424">
        <f t="shared" si="33"/>
        <v>10001322.93</v>
      </c>
      <c r="J47" s="424">
        <v>200000</v>
      </c>
      <c r="K47" s="424">
        <v>0.2</v>
      </c>
      <c r="L47" s="424">
        <f t="shared" si="34"/>
        <v>2000264.5859999999</v>
      </c>
      <c r="M47" s="424">
        <f t="shared" si="35"/>
        <v>2200264.5860000001</v>
      </c>
      <c r="N47" s="424">
        <f t="shared" si="36"/>
        <v>3052665.656</v>
      </c>
      <c r="O47" s="424">
        <f t="shared" si="37"/>
        <v>7801058.3439999996</v>
      </c>
      <c r="P47" s="424">
        <f t="shared" si="38"/>
        <v>21000</v>
      </c>
      <c r="Q47" s="424">
        <f t="shared" si="39"/>
        <v>33000</v>
      </c>
      <c r="R47" s="424">
        <f t="shared" si="40"/>
        <v>75000</v>
      </c>
      <c r="S47" s="424">
        <f t="shared" si="41"/>
        <v>95000</v>
      </c>
      <c r="T47" s="424">
        <f t="shared" si="42"/>
        <v>336000</v>
      </c>
      <c r="U47" s="424">
        <f t="shared" si="47"/>
        <v>1104254.0025599999</v>
      </c>
      <c r="V47" s="424">
        <f t="shared" si="43"/>
        <v>1664254.0025599999</v>
      </c>
      <c r="W47" s="431">
        <v>12</v>
      </c>
      <c r="X47" s="424">
        <f t="shared" si="44"/>
        <v>138687.83354666701</v>
      </c>
      <c r="Y47" s="427"/>
      <c r="Z47" s="873">
        <f t="shared" si="45"/>
        <v>138687.83354666701</v>
      </c>
      <c r="AA47" s="753">
        <v>118861.965706667</v>
      </c>
      <c r="AB47" s="753">
        <f t="shared" si="46"/>
        <v>19825.867839999701</v>
      </c>
      <c r="AC47" s="436"/>
      <c r="AD47" s="436"/>
      <c r="AE47" s="436"/>
    </row>
    <row r="48" spans="1:31" ht="14.25" x14ac:dyDescent="0.15">
      <c r="A48" s="421">
        <v>38</v>
      </c>
      <c r="B48" s="597" t="s">
        <v>133</v>
      </c>
      <c r="C48" s="424">
        <v>882595.5</v>
      </c>
      <c r="D48" s="423">
        <v>12</v>
      </c>
      <c r="E48" s="424">
        <f t="shared" si="32"/>
        <v>10591146</v>
      </c>
      <c r="F48" s="427"/>
      <c r="G48" s="425">
        <v>693691.68</v>
      </c>
      <c r="H48" s="427"/>
      <c r="I48" s="424">
        <f t="shared" si="33"/>
        <v>9897454.3200000003</v>
      </c>
      <c r="J48" s="424">
        <v>200000</v>
      </c>
      <c r="K48" s="424">
        <v>0.2</v>
      </c>
      <c r="L48" s="424">
        <f t="shared" si="34"/>
        <v>1979490.8640000001</v>
      </c>
      <c r="M48" s="424">
        <f t="shared" si="35"/>
        <v>2179490.8640000001</v>
      </c>
      <c r="N48" s="424">
        <f t="shared" si="36"/>
        <v>2873182.5440000002</v>
      </c>
      <c r="O48" s="424">
        <f t="shared" si="37"/>
        <v>7717963.4560000002</v>
      </c>
      <c r="P48" s="424">
        <f t="shared" si="38"/>
        <v>21000</v>
      </c>
      <c r="Q48" s="424">
        <f t="shared" si="39"/>
        <v>33000</v>
      </c>
      <c r="R48" s="424">
        <f t="shared" si="40"/>
        <v>75000</v>
      </c>
      <c r="S48" s="424">
        <f t="shared" si="41"/>
        <v>95000</v>
      </c>
      <c r="T48" s="424">
        <f t="shared" si="42"/>
        <v>336000</v>
      </c>
      <c r="U48" s="424">
        <f t="shared" si="47"/>
        <v>1084311.2294399999</v>
      </c>
      <c r="V48" s="424">
        <f t="shared" si="43"/>
        <v>1644311.2294399999</v>
      </c>
      <c r="W48" s="431">
        <v>12</v>
      </c>
      <c r="X48" s="424">
        <f t="shared" si="44"/>
        <v>137025.93578666699</v>
      </c>
      <c r="Y48" s="427"/>
      <c r="Z48" s="873">
        <f t="shared" si="45"/>
        <v>137025.93578666699</v>
      </c>
      <c r="AA48" s="753">
        <v>112212.004906667</v>
      </c>
      <c r="AB48" s="753">
        <f t="shared" si="46"/>
        <v>24813.930879999702</v>
      </c>
      <c r="AC48" s="436"/>
      <c r="AD48" s="436"/>
      <c r="AE48" s="436"/>
    </row>
    <row r="49" spans="1:31" ht="14.25" x14ac:dyDescent="0.15">
      <c r="A49" s="421">
        <v>39</v>
      </c>
      <c r="B49" s="597" t="s">
        <v>134</v>
      </c>
      <c r="C49" s="424">
        <v>860713.91666666605</v>
      </c>
      <c r="D49" s="423">
        <v>12</v>
      </c>
      <c r="E49" s="424">
        <f t="shared" si="32"/>
        <v>10328567</v>
      </c>
      <c r="F49" s="424"/>
      <c r="G49" s="425">
        <v>672685.36</v>
      </c>
      <c r="H49" s="427"/>
      <c r="I49" s="424">
        <f t="shared" si="33"/>
        <v>9655881.6399999894</v>
      </c>
      <c r="J49" s="424">
        <v>200000</v>
      </c>
      <c r="K49" s="424">
        <v>0.2</v>
      </c>
      <c r="L49" s="424">
        <f t="shared" si="34"/>
        <v>1931176.328</v>
      </c>
      <c r="M49" s="424">
        <f t="shared" si="35"/>
        <v>2131176.3280000002</v>
      </c>
      <c r="N49" s="424">
        <f t="shared" si="36"/>
        <v>2803861.6880000001</v>
      </c>
      <c r="O49" s="424">
        <f t="shared" si="37"/>
        <v>7524705.3119999897</v>
      </c>
      <c r="P49" s="424">
        <f t="shared" si="38"/>
        <v>21000</v>
      </c>
      <c r="Q49" s="424">
        <f t="shared" si="39"/>
        <v>33000</v>
      </c>
      <c r="R49" s="424">
        <f t="shared" si="40"/>
        <v>75000</v>
      </c>
      <c r="S49" s="424">
        <f t="shared" si="41"/>
        <v>95000</v>
      </c>
      <c r="T49" s="424">
        <f t="shared" si="42"/>
        <v>336000</v>
      </c>
      <c r="U49" s="424">
        <f t="shared" si="47"/>
        <v>1037929.27488</v>
      </c>
      <c r="V49" s="424">
        <f t="shared" si="43"/>
        <v>1597929.2748799999</v>
      </c>
      <c r="W49" s="431">
        <v>12</v>
      </c>
      <c r="X49" s="424">
        <f t="shared" si="44"/>
        <v>133160.772906667</v>
      </c>
      <c r="Y49" s="427"/>
      <c r="Z49" s="873">
        <f t="shared" si="45"/>
        <v>133160.772906667</v>
      </c>
      <c r="AA49" s="753">
        <v>112211.988957867</v>
      </c>
      <c r="AB49" s="753">
        <f t="shared" si="46"/>
        <v>20948.783948799501</v>
      </c>
      <c r="AC49" s="436"/>
      <c r="AD49" s="436"/>
      <c r="AE49" s="436"/>
    </row>
    <row r="50" spans="1:31" ht="14.25" x14ac:dyDescent="0.15">
      <c r="A50" s="421">
        <v>40</v>
      </c>
      <c r="B50" s="597" t="s">
        <v>138</v>
      </c>
      <c r="C50" s="424">
        <v>490135.83333333401</v>
      </c>
      <c r="D50" s="423">
        <v>12</v>
      </c>
      <c r="E50" s="424">
        <f t="shared" si="32"/>
        <v>5881630.0000000102</v>
      </c>
      <c r="F50" s="424"/>
      <c r="G50" s="425">
        <v>374530.4</v>
      </c>
      <c r="H50" s="427"/>
      <c r="I50" s="424">
        <f t="shared" si="33"/>
        <v>5507099.6000000099</v>
      </c>
      <c r="J50" s="424">
        <v>200000</v>
      </c>
      <c r="K50" s="424">
        <v>0.2</v>
      </c>
      <c r="L50" s="424">
        <f t="shared" si="34"/>
        <v>1101419.92</v>
      </c>
      <c r="M50" s="424">
        <f t="shared" si="35"/>
        <v>1301419.92</v>
      </c>
      <c r="N50" s="424">
        <f t="shared" si="36"/>
        <v>1675950.32</v>
      </c>
      <c r="O50" s="424">
        <f t="shared" si="37"/>
        <v>4205679.6800000099</v>
      </c>
      <c r="P50" s="424">
        <f t="shared" si="38"/>
        <v>21000</v>
      </c>
      <c r="Q50" s="424">
        <f t="shared" si="39"/>
        <v>33000</v>
      </c>
      <c r="R50" s="424">
        <f t="shared" si="40"/>
        <v>75000</v>
      </c>
      <c r="S50" s="424">
        <f t="shared" si="41"/>
        <v>95000</v>
      </c>
      <c r="T50" s="424">
        <f t="shared" si="42"/>
        <v>336000</v>
      </c>
      <c r="U50" s="424">
        <f t="shared" si="47"/>
        <v>241363.12320000201</v>
      </c>
      <c r="V50" s="424">
        <f t="shared" si="43"/>
        <v>801363.12320000201</v>
      </c>
      <c r="W50" s="431">
        <v>12</v>
      </c>
      <c r="X50" s="424">
        <f t="shared" si="44"/>
        <v>66780.260266666795</v>
      </c>
      <c r="Y50" s="427"/>
      <c r="Z50" s="873">
        <f t="shared" si="45"/>
        <v>66780.260266666795</v>
      </c>
      <c r="AA50" s="753">
        <v>51029.227306666697</v>
      </c>
      <c r="AB50" s="753">
        <f t="shared" si="46"/>
        <v>15751.032960000101</v>
      </c>
      <c r="AC50" s="436"/>
      <c r="AD50" s="436"/>
      <c r="AE50" s="436"/>
    </row>
    <row r="51" spans="1:31" ht="14.25" x14ac:dyDescent="0.15">
      <c r="A51" s="421">
        <v>41</v>
      </c>
      <c r="B51" s="593" t="s">
        <v>142</v>
      </c>
      <c r="C51" s="424">
        <v>447016.16666666599</v>
      </c>
      <c r="D51" s="423">
        <v>12</v>
      </c>
      <c r="E51" s="424">
        <f t="shared" si="32"/>
        <v>5364193.9999999898</v>
      </c>
      <c r="F51" s="424"/>
      <c r="G51" s="425">
        <v>333135.52</v>
      </c>
      <c r="H51" s="427"/>
      <c r="I51" s="424">
        <f t="shared" si="33"/>
        <v>5031058.4799999902</v>
      </c>
      <c r="J51" s="424">
        <v>200000</v>
      </c>
      <c r="K51" s="424">
        <v>0.2</v>
      </c>
      <c r="L51" s="424">
        <f t="shared" si="34"/>
        <v>1006211.696</v>
      </c>
      <c r="M51" s="424">
        <f t="shared" si="35"/>
        <v>1206211.696</v>
      </c>
      <c r="N51" s="424">
        <f t="shared" si="36"/>
        <v>1539347.216</v>
      </c>
      <c r="O51" s="424">
        <f t="shared" si="37"/>
        <v>3824846.7839999902</v>
      </c>
      <c r="P51" s="424">
        <f t="shared" si="38"/>
        <v>21000</v>
      </c>
      <c r="Q51" s="424">
        <f t="shared" si="39"/>
        <v>33000</v>
      </c>
      <c r="R51" s="424">
        <f t="shared" si="40"/>
        <v>75000</v>
      </c>
      <c r="S51" s="424">
        <f t="shared" si="41"/>
        <v>95000</v>
      </c>
      <c r="T51" s="424">
        <f t="shared" si="42"/>
        <v>336000</v>
      </c>
      <c r="U51" s="424">
        <f t="shared" si="47"/>
        <v>149963.22815999799</v>
      </c>
      <c r="V51" s="424">
        <f t="shared" si="43"/>
        <v>709963.22815999796</v>
      </c>
      <c r="W51" s="431">
        <v>12</v>
      </c>
      <c r="X51" s="424">
        <f t="shared" si="44"/>
        <v>59163.602346666499</v>
      </c>
      <c r="Y51" s="427"/>
      <c r="Z51" s="873">
        <f t="shared" si="45"/>
        <v>59163.602346666499</v>
      </c>
      <c r="AA51" s="753">
        <v>44641.500586666698</v>
      </c>
      <c r="AB51" s="753">
        <f t="shared" si="46"/>
        <v>14522.101759999799</v>
      </c>
      <c r="AC51" s="436"/>
      <c r="AD51" s="436"/>
      <c r="AE51" s="436"/>
    </row>
    <row r="52" spans="1:31" ht="14.25" x14ac:dyDescent="0.15">
      <c r="A52" s="421">
        <v>42</v>
      </c>
      <c r="B52" s="597" t="s">
        <v>143</v>
      </c>
      <c r="C52" s="424">
        <v>447016.16666666599</v>
      </c>
      <c r="D52" s="423">
        <v>12</v>
      </c>
      <c r="E52" s="424">
        <f t="shared" si="32"/>
        <v>5364193.9999999898</v>
      </c>
      <c r="F52" s="424"/>
      <c r="G52" s="425">
        <v>333135.52</v>
      </c>
      <c r="H52" s="427"/>
      <c r="I52" s="424">
        <f t="shared" si="33"/>
        <v>5031058.4799999902</v>
      </c>
      <c r="J52" s="424">
        <v>200000</v>
      </c>
      <c r="K52" s="424">
        <v>0.2</v>
      </c>
      <c r="L52" s="424">
        <f t="shared" si="34"/>
        <v>1006211.696</v>
      </c>
      <c r="M52" s="424">
        <f t="shared" si="35"/>
        <v>1206211.696</v>
      </c>
      <c r="N52" s="424">
        <f t="shared" si="36"/>
        <v>1539347.216</v>
      </c>
      <c r="O52" s="424">
        <f t="shared" si="37"/>
        <v>3824846.7839999902</v>
      </c>
      <c r="P52" s="424">
        <f t="shared" si="38"/>
        <v>21000</v>
      </c>
      <c r="Q52" s="424">
        <f t="shared" si="39"/>
        <v>33000</v>
      </c>
      <c r="R52" s="424">
        <f t="shared" si="40"/>
        <v>75000</v>
      </c>
      <c r="S52" s="424">
        <f t="shared" si="41"/>
        <v>95000</v>
      </c>
      <c r="T52" s="424">
        <f t="shared" si="42"/>
        <v>336000</v>
      </c>
      <c r="U52" s="424">
        <f t="shared" si="47"/>
        <v>149963.22815999799</v>
      </c>
      <c r="V52" s="424">
        <f t="shared" si="43"/>
        <v>709963.22815999796</v>
      </c>
      <c r="W52" s="431">
        <v>12</v>
      </c>
      <c r="X52" s="424">
        <f t="shared" si="44"/>
        <v>59163.602346666499</v>
      </c>
      <c r="Y52" s="427"/>
      <c r="Z52" s="873">
        <f t="shared" si="45"/>
        <v>59163.602346666499</v>
      </c>
      <c r="AA52" s="753">
        <v>44641.500586666698</v>
      </c>
      <c r="AB52" s="753">
        <f t="shared" si="46"/>
        <v>14522.101759999799</v>
      </c>
      <c r="AC52" s="436"/>
      <c r="AD52" s="436"/>
      <c r="AE52" s="436"/>
    </row>
    <row r="53" spans="1:31" ht="14.25" x14ac:dyDescent="0.15">
      <c r="A53" s="421"/>
      <c r="B53" s="812"/>
      <c r="C53" s="429"/>
      <c r="D53" s="423"/>
      <c r="E53" s="424"/>
      <c r="F53" s="424"/>
      <c r="G53" s="427"/>
      <c r="H53" s="427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31"/>
      <c r="X53" s="424"/>
      <c r="Y53" s="427"/>
      <c r="Z53" s="873"/>
      <c r="AA53" s="753"/>
      <c r="AB53" s="753"/>
      <c r="AC53" s="436"/>
      <c r="AD53" s="436"/>
      <c r="AE53" s="436"/>
    </row>
    <row r="54" spans="1:31" ht="14.25" x14ac:dyDescent="0.15">
      <c r="A54" s="421"/>
      <c r="B54" s="809" t="s">
        <v>145</v>
      </c>
      <c r="C54" s="424"/>
      <c r="D54" s="423"/>
      <c r="E54" s="424"/>
      <c r="F54" s="424"/>
      <c r="G54" s="427"/>
      <c r="H54" s="427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31"/>
      <c r="X54" s="424"/>
      <c r="Y54" s="427"/>
      <c r="Z54" s="873"/>
      <c r="AA54" s="753"/>
      <c r="AB54" s="753"/>
      <c r="AC54" s="436"/>
      <c r="AD54" s="436"/>
      <c r="AE54" s="436"/>
    </row>
    <row r="55" spans="1:31" ht="14.25" x14ac:dyDescent="0.15">
      <c r="A55" s="421">
        <v>47</v>
      </c>
      <c r="B55" s="597" t="s">
        <v>146</v>
      </c>
      <c r="C55" s="424">
        <v>1947106.41666666</v>
      </c>
      <c r="D55" s="423">
        <v>12</v>
      </c>
      <c r="E55" s="424">
        <f t="shared" ref="E55:E65" si="48">C55*D55</f>
        <v>23365276.999999899</v>
      </c>
      <c r="F55" s="424"/>
      <c r="G55" s="425">
        <v>1677222.16</v>
      </c>
      <c r="H55" s="427"/>
      <c r="I55" s="424">
        <f t="shared" ref="I55:I65" si="49">E55-F55-G55-H55</f>
        <v>21688054.839999899</v>
      </c>
      <c r="J55" s="424">
        <v>200000</v>
      </c>
      <c r="K55" s="424">
        <v>0.2</v>
      </c>
      <c r="L55" s="424">
        <f t="shared" ref="L55:L65" si="50">I55*K55</f>
        <v>4337610.9679999799</v>
      </c>
      <c r="M55" s="424">
        <f t="shared" ref="M55:M65" si="51">J55+L55</f>
        <v>4537610.9679999799</v>
      </c>
      <c r="N55" s="424">
        <f t="shared" ref="N55:N65" si="52">F55+G55+H55+M55</f>
        <v>6214833.12799998</v>
      </c>
      <c r="O55" s="424">
        <f t="shared" ref="O55:O65" si="53">E55-N55</f>
        <v>17150443.871999901</v>
      </c>
      <c r="P55" s="424">
        <f t="shared" ref="P55:P65" si="54">IF(O55&lt;300000,0.07*O55,21000)</f>
        <v>21000</v>
      </c>
      <c r="Q55" s="424">
        <f t="shared" ref="Q55:Q65" si="55">IF((O55-300000)&lt;0,0,IF((O55-300000)&lt;300000,0.11*(O55-300000),33000))</f>
        <v>33000</v>
      </c>
      <c r="R55" s="424">
        <f t="shared" ref="R55:R65" si="56">IF((O55-600000)&lt;0,0,IF((O55-600000)&lt;500000,0.15*(O55-600000),75000))</f>
        <v>75000</v>
      </c>
      <c r="S55" s="424">
        <f t="shared" ref="S55:S65" si="57">IF((O55-1100000)&lt;0,0,IF((O55-1100000)&lt;500000,0.19*(O55-1100000),95000))</f>
        <v>95000</v>
      </c>
      <c r="T55" s="424">
        <f t="shared" ref="T55:T65" si="58">IF((O55-1600000)&lt;0,0,IF((O55-1600000)&lt;1600000,0.21*(O55-1600000),336000))</f>
        <v>336000</v>
      </c>
      <c r="U55" s="424">
        <f t="shared" ref="U55:U65" si="59">24%*(O55-3200000)</f>
        <v>3348106.5292799799</v>
      </c>
      <c r="V55" s="424">
        <f t="shared" ref="V55:V65" si="60">P55+Q55+R55+S55+T55+U55</f>
        <v>3908106.5292799799</v>
      </c>
      <c r="W55" s="431">
        <v>12</v>
      </c>
      <c r="X55" s="424">
        <f t="shared" ref="X55:X65" si="61">V55/W55</f>
        <v>325675.54410666501</v>
      </c>
      <c r="Y55" s="427"/>
      <c r="Z55" s="873">
        <f t="shared" ref="Z55:Z65" si="62">X55</f>
        <v>325675.54410666501</v>
      </c>
      <c r="AA55" s="753">
        <v>270672.24746666697</v>
      </c>
      <c r="AB55" s="753">
        <f t="shared" ref="AB55:AB65" si="63">Z55-AA55</f>
        <v>55003.2966399984</v>
      </c>
      <c r="AC55" s="436"/>
      <c r="AD55" s="436"/>
      <c r="AE55" s="436"/>
    </row>
    <row r="56" spans="1:31" ht="14.25" x14ac:dyDescent="0.15">
      <c r="A56" s="421">
        <v>48</v>
      </c>
      <c r="B56" s="597" t="s">
        <v>148</v>
      </c>
      <c r="C56" s="424">
        <v>824477</v>
      </c>
      <c r="D56" s="423">
        <v>12</v>
      </c>
      <c r="E56" s="424">
        <f t="shared" si="48"/>
        <v>9893724</v>
      </c>
      <c r="F56" s="424"/>
      <c r="G56" s="424">
        <v>714697.92</v>
      </c>
      <c r="H56" s="427"/>
      <c r="I56" s="424">
        <f t="shared" si="49"/>
        <v>9179026.0800000001</v>
      </c>
      <c r="J56" s="424">
        <v>200000</v>
      </c>
      <c r="K56" s="424">
        <v>0.2</v>
      </c>
      <c r="L56" s="424">
        <f t="shared" si="50"/>
        <v>1835805.216</v>
      </c>
      <c r="M56" s="424">
        <f t="shared" si="51"/>
        <v>2035805.216</v>
      </c>
      <c r="N56" s="424">
        <f t="shared" si="52"/>
        <v>2750503.1359999999</v>
      </c>
      <c r="O56" s="424">
        <f t="shared" si="53"/>
        <v>7143220.8640000001</v>
      </c>
      <c r="P56" s="424">
        <f t="shared" si="54"/>
        <v>21000</v>
      </c>
      <c r="Q56" s="424">
        <f t="shared" si="55"/>
        <v>33000</v>
      </c>
      <c r="R56" s="424">
        <f t="shared" si="56"/>
        <v>75000</v>
      </c>
      <c r="S56" s="424">
        <f t="shared" si="57"/>
        <v>95000</v>
      </c>
      <c r="T56" s="424">
        <f t="shared" si="58"/>
        <v>336000</v>
      </c>
      <c r="U56" s="424">
        <f t="shared" si="59"/>
        <v>946373.00736000005</v>
      </c>
      <c r="V56" s="424">
        <f t="shared" si="60"/>
        <v>1506373.0073599999</v>
      </c>
      <c r="W56" s="431">
        <v>12</v>
      </c>
      <c r="X56" s="424">
        <f t="shared" si="61"/>
        <v>125531.083946667</v>
      </c>
      <c r="Y56" s="427"/>
      <c r="Z56" s="873">
        <f t="shared" si="62"/>
        <v>125531.083946667</v>
      </c>
      <c r="AA56" s="753">
        <v>103662.801706667</v>
      </c>
      <c r="AB56" s="753">
        <f t="shared" si="63"/>
        <v>21868.282239999699</v>
      </c>
      <c r="AC56" s="436"/>
      <c r="AD56" s="436"/>
      <c r="AE56" s="436"/>
    </row>
    <row r="57" spans="1:31" ht="14.25" x14ac:dyDescent="0.15">
      <c r="A57" s="421"/>
      <c r="B57" s="809"/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873"/>
      <c r="AA57" s="753"/>
      <c r="AB57" s="753"/>
      <c r="AC57" s="436"/>
      <c r="AD57" s="436"/>
      <c r="AE57" s="436"/>
    </row>
    <row r="58" spans="1:31" ht="14.25" x14ac:dyDescent="0.15">
      <c r="A58" s="421">
        <v>49</v>
      </c>
      <c r="B58" s="809" t="s">
        <v>151</v>
      </c>
      <c r="C58" s="424"/>
      <c r="D58" s="423"/>
      <c r="E58" s="424"/>
      <c r="F58" s="424"/>
      <c r="G58" s="427"/>
      <c r="H58" s="427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7"/>
      <c r="Z58" s="873"/>
      <c r="AA58" s="753"/>
      <c r="AB58" s="753"/>
      <c r="AC58" s="436"/>
      <c r="AD58" s="436"/>
      <c r="AE58" s="436"/>
    </row>
    <row r="59" spans="1:31" ht="14.25" x14ac:dyDescent="0.15">
      <c r="A59" s="421">
        <v>50</v>
      </c>
      <c r="B59" s="597" t="s">
        <v>152</v>
      </c>
      <c r="C59" s="424">
        <v>1085306.75</v>
      </c>
      <c r="D59" s="423">
        <v>12</v>
      </c>
      <c r="E59" s="424">
        <f t="shared" si="48"/>
        <v>13023681</v>
      </c>
      <c r="F59" s="424">
        <v>166400.85</v>
      </c>
      <c r="G59" s="425">
        <v>869094.48</v>
      </c>
      <c r="H59" s="427"/>
      <c r="I59" s="424">
        <f t="shared" si="49"/>
        <v>11988185.67</v>
      </c>
      <c r="J59" s="424">
        <v>200000</v>
      </c>
      <c r="K59" s="424">
        <v>0.2</v>
      </c>
      <c r="L59" s="424">
        <f t="shared" si="50"/>
        <v>2397637.1340000001</v>
      </c>
      <c r="M59" s="424">
        <f t="shared" si="51"/>
        <v>2597637.1340000001</v>
      </c>
      <c r="N59" s="424">
        <f t="shared" si="52"/>
        <v>3633132.4640000002</v>
      </c>
      <c r="O59" s="424">
        <f t="shared" si="53"/>
        <v>9390548.5360000003</v>
      </c>
      <c r="P59" s="424">
        <f t="shared" si="54"/>
        <v>21000</v>
      </c>
      <c r="Q59" s="424">
        <f t="shared" si="55"/>
        <v>33000</v>
      </c>
      <c r="R59" s="424">
        <f t="shared" si="56"/>
        <v>75000</v>
      </c>
      <c r="S59" s="424">
        <f t="shared" si="57"/>
        <v>95000</v>
      </c>
      <c r="T59" s="424">
        <f t="shared" si="58"/>
        <v>336000</v>
      </c>
      <c r="U59" s="424">
        <f t="shared" si="59"/>
        <v>1485731.64864</v>
      </c>
      <c r="V59" s="424">
        <f t="shared" si="60"/>
        <v>2045731.64864</v>
      </c>
      <c r="W59" s="431">
        <v>12</v>
      </c>
      <c r="X59" s="424">
        <f t="shared" si="61"/>
        <v>170477.63738666699</v>
      </c>
      <c r="Y59" s="427"/>
      <c r="Z59" s="873">
        <f t="shared" si="62"/>
        <v>170477.63738666699</v>
      </c>
      <c r="AA59" s="753">
        <v>147687.52761066699</v>
      </c>
      <c r="AB59" s="753">
        <f t="shared" si="63"/>
        <v>22790.109775999699</v>
      </c>
      <c r="AC59" s="436"/>
      <c r="AD59" s="436"/>
      <c r="AE59" s="436"/>
    </row>
    <row r="60" spans="1:31" ht="23.25" customHeight="1" x14ac:dyDescent="0.15">
      <c r="A60" s="421">
        <v>51</v>
      </c>
      <c r="B60" s="313" t="s">
        <v>155</v>
      </c>
      <c r="C60" s="424">
        <v>698165.25</v>
      </c>
      <c r="D60" s="423">
        <v>12</v>
      </c>
      <c r="E60" s="424">
        <f t="shared" si="48"/>
        <v>8377983</v>
      </c>
      <c r="F60" s="424"/>
      <c r="G60" s="430">
        <v>535838.64</v>
      </c>
      <c r="H60" s="427"/>
      <c r="I60" s="424">
        <f t="shared" si="49"/>
        <v>7842144.3600000003</v>
      </c>
      <c r="J60" s="424">
        <v>200000</v>
      </c>
      <c r="K60" s="424">
        <v>0.2</v>
      </c>
      <c r="L60" s="424">
        <f t="shared" si="50"/>
        <v>1568428.872</v>
      </c>
      <c r="M60" s="424">
        <f t="shared" si="51"/>
        <v>1768428.872</v>
      </c>
      <c r="N60" s="424">
        <f t="shared" si="52"/>
        <v>2304267.5120000001</v>
      </c>
      <c r="O60" s="424">
        <f t="shared" si="53"/>
        <v>6073715.4879999999</v>
      </c>
      <c r="P60" s="424">
        <f t="shared" si="54"/>
        <v>21000</v>
      </c>
      <c r="Q60" s="424">
        <f t="shared" si="55"/>
        <v>33000</v>
      </c>
      <c r="R60" s="424">
        <f t="shared" si="56"/>
        <v>75000</v>
      </c>
      <c r="S60" s="424">
        <f t="shared" si="57"/>
        <v>95000</v>
      </c>
      <c r="T60" s="424">
        <f t="shared" si="58"/>
        <v>336000</v>
      </c>
      <c r="U60" s="424">
        <f t="shared" si="59"/>
        <v>689691.71712000004</v>
      </c>
      <c r="V60" s="424">
        <f t="shared" si="60"/>
        <v>1249691.7171199999</v>
      </c>
      <c r="W60" s="431">
        <v>12</v>
      </c>
      <c r="X60" s="424">
        <f t="shared" si="61"/>
        <v>104140.976426667</v>
      </c>
      <c r="Y60" s="427"/>
      <c r="Z60" s="873">
        <f t="shared" si="62"/>
        <v>104140.976426667</v>
      </c>
      <c r="AA60" s="753">
        <v>83753.408426666603</v>
      </c>
      <c r="AB60" s="753">
        <f t="shared" si="63"/>
        <v>20387.568000000101</v>
      </c>
      <c r="AC60" s="436"/>
      <c r="AD60" s="436"/>
      <c r="AE60" s="436"/>
    </row>
    <row r="61" spans="1:31" ht="14.25" x14ac:dyDescent="0.15">
      <c r="A61" s="421">
        <v>52</v>
      </c>
      <c r="B61" s="597" t="s">
        <v>161</v>
      </c>
      <c r="C61" s="424">
        <v>578828.16666666698</v>
      </c>
      <c r="D61" s="423">
        <v>12</v>
      </c>
      <c r="E61" s="424">
        <f t="shared" si="48"/>
        <v>6945938</v>
      </c>
      <c r="F61" s="424"/>
      <c r="G61" s="425">
        <v>450075.04000000103</v>
      </c>
      <c r="H61" s="427"/>
      <c r="I61" s="424">
        <f t="shared" si="49"/>
        <v>6495862.96</v>
      </c>
      <c r="J61" s="424">
        <v>200000</v>
      </c>
      <c r="K61" s="424">
        <v>0.2</v>
      </c>
      <c r="L61" s="424">
        <f t="shared" si="50"/>
        <v>1299172.5919999999</v>
      </c>
      <c r="M61" s="424">
        <f t="shared" si="51"/>
        <v>1499172.5919999999</v>
      </c>
      <c r="N61" s="424">
        <f t="shared" si="52"/>
        <v>1949247.632</v>
      </c>
      <c r="O61" s="424">
        <f t="shared" si="53"/>
        <v>4996690.3679999998</v>
      </c>
      <c r="P61" s="424">
        <f t="shared" si="54"/>
        <v>21000</v>
      </c>
      <c r="Q61" s="424">
        <f t="shared" si="55"/>
        <v>33000</v>
      </c>
      <c r="R61" s="424">
        <f t="shared" si="56"/>
        <v>75000</v>
      </c>
      <c r="S61" s="424">
        <f t="shared" si="57"/>
        <v>95000</v>
      </c>
      <c r="T61" s="424">
        <f t="shared" si="58"/>
        <v>336000</v>
      </c>
      <c r="U61" s="424">
        <f t="shared" si="59"/>
        <v>431205.68832000101</v>
      </c>
      <c r="V61" s="424">
        <f t="shared" si="60"/>
        <v>991205.68832000101</v>
      </c>
      <c r="W61" s="431">
        <v>12</v>
      </c>
      <c r="X61" s="424">
        <f t="shared" si="61"/>
        <v>82600.474026666707</v>
      </c>
      <c r="Y61" s="427"/>
      <c r="Z61" s="873">
        <f t="shared" si="62"/>
        <v>82600.474026666707</v>
      </c>
      <c r="AA61" s="753">
        <v>64384.591786666701</v>
      </c>
      <c r="AB61" s="753">
        <f t="shared" si="63"/>
        <v>18215.882239999999</v>
      </c>
      <c r="AC61" s="436"/>
      <c r="AD61" s="436"/>
      <c r="AE61" s="436"/>
    </row>
    <row r="62" spans="1:31" ht="14.25" x14ac:dyDescent="0.15">
      <c r="A62" s="421">
        <v>53</v>
      </c>
      <c r="B62" s="313" t="s">
        <v>163</v>
      </c>
      <c r="C62" s="424">
        <v>578828.16666666698</v>
      </c>
      <c r="D62" s="423">
        <v>12</v>
      </c>
      <c r="E62" s="424">
        <f t="shared" si="48"/>
        <v>6945938</v>
      </c>
      <c r="F62" s="424"/>
      <c r="G62" s="425">
        <v>450075.04000000103</v>
      </c>
      <c r="H62" s="427"/>
      <c r="I62" s="424">
        <f t="shared" si="49"/>
        <v>6495862.96</v>
      </c>
      <c r="J62" s="424">
        <v>200000</v>
      </c>
      <c r="K62" s="424">
        <v>0.2</v>
      </c>
      <c r="L62" s="424">
        <f t="shared" si="50"/>
        <v>1299172.5919999999</v>
      </c>
      <c r="M62" s="424">
        <f t="shared" si="51"/>
        <v>1499172.5919999999</v>
      </c>
      <c r="N62" s="424">
        <f t="shared" si="52"/>
        <v>1949247.632</v>
      </c>
      <c r="O62" s="424">
        <f t="shared" si="53"/>
        <v>4996690.3679999998</v>
      </c>
      <c r="P62" s="424">
        <f t="shared" si="54"/>
        <v>21000</v>
      </c>
      <c r="Q62" s="424">
        <f t="shared" si="55"/>
        <v>33000</v>
      </c>
      <c r="R62" s="424">
        <f t="shared" si="56"/>
        <v>75000</v>
      </c>
      <c r="S62" s="424">
        <f t="shared" si="57"/>
        <v>95000</v>
      </c>
      <c r="T62" s="424">
        <f t="shared" si="58"/>
        <v>336000</v>
      </c>
      <c r="U62" s="424">
        <f t="shared" si="59"/>
        <v>431205.68832000101</v>
      </c>
      <c r="V62" s="424">
        <f t="shared" si="60"/>
        <v>991205.68832000101</v>
      </c>
      <c r="W62" s="431">
        <v>12</v>
      </c>
      <c r="X62" s="424">
        <f t="shared" si="61"/>
        <v>82600.474026666707</v>
      </c>
      <c r="Y62" s="427"/>
      <c r="Z62" s="873">
        <f t="shared" si="62"/>
        <v>82600.474026666707</v>
      </c>
      <c r="AA62" s="753">
        <v>64384.591786666701</v>
      </c>
      <c r="AB62" s="753">
        <f t="shared" si="63"/>
        <v>18215.882239999999</v>
      </c>
      <c r="AC62" s="436"/>
      <c r="AD62" s="436"/>
      <c r="AE62" s="436"/>
    </row>
    <row r="63" spans="1:31" ht="14.25" x14ac:dyDescent="0.15">
      <c r="A63" s="421">
        <v>54</v>
      </c>
      <c r="B63" s="593" t="s">
        <v>164</v>
      </c>
      <c r="C63" s="424">
        <v>578828.16666666698</v>
      </c>
      <c r="D63" s="423">
        <v>12</v>
      </c>
      <c r="E63" s="424">
        <f t="shared" si="48"/>
        <v>6945938</v>
      </c>
      <c r="F63" s="424"/>
      <c r="G63" s="425">
        <v>450075.04000000103</v>
      </c>
      <c r="H63" s="427"/>
      <c r="I63" s="424">
        <f t="shared" si="49"/>
        <v>6495862.96</v>
      </c>
      <c r="J63" s="424">
        <v>200000</v>
      </c>
      <c r="K63" s="424">
        <v>0.2</v>
      </c>
      <c r="L63" s="424">
        <f t="shared" si="50"/>
        <v>1299172.5919999999</v>
      </c>
      <c r="M63" s="424">
        <f t="shared" si="51"/>
        <v>1499172.5919999999</v>
      </c>
      <c r="N63" s="424">
        <f t="shared" si="52"/>
        <v>1949247.632</v>
      </c>
      <c r="O63" s="424">
        <f t="shared" si="53"/>
        <v>4996690.3679999998</v>
      </c>
      <c r="P63" s="424">
        <f t="shared" si="54"/>
        <v>21000</v>
      </c>
      <c r="Q63" s="424">
        <f t="shared" si="55"/>
        <v>33000</v>
      </c>
      <c r="R63" s="424">
        <f t="shared" si="56"/>
        <v>75000</v>
      </c>
      <c r="S63" s="424">
        <f t="shared" si="57"/>
        <v>95000</v>
      </c>
      <c r="T63" s="424">
        <f t="shared" si="58"/>
        <v>336000</v>
      </c>
      <c r="U63" s="424">
        <f t="shared" si="59"/>
        <v>431205.68832000101</v>
      </c>
      <c r="V63" s="424">
        <f t="shared" si="60"/>
        <v>991205.68832000101</v>
      </c>
      <c r="W63" s="431">
        <v>12</v>
      </c>
      <c r="X63" s="424">
        <f t="shared" si="61"/>
        <v>82600.474026666707</v>
      </c>
      <c r="Y63" s="427"/>
      <c r="Z63" s="873">
        <f t="shared" si="62"/>
        <v>82600.474026666707</v>
      </c>
      <c r="AA63" s="753">
        <v>64384.591786666701</v>
      </c>
      <c r="AB63" s="753">
        <f t="shared" si="63"/>
        <v>18215.882239999999</v>
      </c>
      <c r="AC63" s="436"/>
      <c r="AD63" s="436"/>
      <c r="AE63" s="436"/>
    </row>
    <row r="64" spans="1:31" ht="14.25" x14ac:dyDescent="0.15">
      <c r="A64" s="421">
        <v>55</v>
      </c>
      <c r="B64" s="597" t="s">
        <v>165</v>
      </c>
      <c r="C64" s="424">
        <v>592662.66666666698</v>
      </c>
      <c r="D64" s="423">
        <v>12</v>
      </c>
      <c r="E64" s="424">
        <f t="shared" si="48"/>
        <v>7111952</v>
      </c>
      <c r="F64" s="424"/>
      <c r="G64" s="425">
        <v>463356.16000000102</v>
      </c>
      <c r="H64" s="427"/>
      <c r="I64" s="424">
        <f t="shared" si="49"/>
        <v>6648595.8399999999</v>
      </c>
      <c r="J64" s="424">
        <v>200000</v>
      </c>
      <c r="K64" s="424">
        <v>0.2</v>
      </c>
      <c r="L64" s="424">
        <f t="shared" si="50"/>
        <v>1329719.1680000001</v>
      </c>
      <c r="M64" s="424">
        <f t="shared" si="51"/>
        <v>1529719.1680000001</v>
      </c>
      <c r="N64" s="424">
        <f t="shared" si="52"/>
        <v>1993075.328</v>
      </c>
      <c r="O64" s="424">
        <f t="shared" si="53"/>
        <v>5118876.6720000003</v>
      </c>
      <c r="P64" s="424">
        <f t="shared" si="54"/>
        <v>21000</v>
      </c>
      <c r="Q64" s="424">
        <f t="shared" si="55"/>
        <v>33000</v>
      </c>
      <c r="R64" s="424">
        <f t="shared" si="56"/>
        <v>75000</v>
      </c>
      <c r="S64" s="424">
        <f t="shared" si="57"/>
        <v>95000</v>
      </c>
      <c r="T64" s="424">
        <f t="shared" si="58"/>
        <v>336000</v>
      </c>
      <c r="U64" s="424">
        <f t="shared" si="59"/>
        <v>460530.40128000098</v>
      </c>
      <c r="V64" s="424">
        <f t="shared" si="60"/>
        <v>1020530.40128</v>
      </c>
      <c r="W64" s="431">
        <v>12</v>
      </c>
      <c r="X64" s="424">
        <f t="shared" si="61"/>
        <v>85044.2001066667</v>
      </c>
      <c r="Y64" s="427"/>
      <c r="Z64" s="873">
        <f t="shared" si="62"/>
        <v>85044.2001066667</v>
      </c>
      <c r="AA64" s="753">
        <v>66538.068906666696</v>
      </c>
      <c r="AB64" s="753">
        <f t="shared" si="63"/>
        <v>18506.1312</v>
      </c>
      <c r="AC64" s="436"/>
      <c r="AD64" s="436"/>
      <c r="AE64" s="436"/>
    </row>
    <row r="65" spans="1:31" ht="14.25" x14ac:dyDescent="0.15">
      <c r="A65" s="421">
        <v>56</v>
      </c>
      <c r="B65" s="597" t="s">
        <v>168</v>
      </c>
      <c r="C65" s="424">
        <v>490135.83333333401</v>
      </c>
      <c r="D65" s="423">
        <v>12</v>
      </c>
      <c r="E65" s="424">
        <f t="shared" si="48"/>
        <v>5881630.0000000102</v>
      </c>
      <c r="F65" s="424"/>
      <c r="G65" s="425">
        <v>374530.4</v>
      </c>
      <c r="H65" s="427"/>
      <c r="I65" s="424">
        <f t="shared" si="49"/>
        <v>5507099.6000000099</v>
      </c>
      <c r="J65" s="424">
        <v>200000</v>
      </c>
      <c r="K65" s="424">
        <v>0.2</v>
      </c>
      <c r="L65" s="424">
        <f t="shared" si="50"/>
        <v>1101419.92</v>
      </c>
      <c r="M65" s="424">
        <f t="shared" si="51"/>
        <v>1301419.92</v>
      </c>
      <c r="N65" s="424">
        <f t="shared" si="52"/>
        <v>1675950.32</v>
      </c>
      <c r="O65" s="424">
        <f t="shared" si="53"/>
        <v>4205679.6800000099</v>
      </c>
      <c r="P65" s="424">
        <f t="shared" si="54"/>
        <v>21000</v>
      </c>
      <c r="Q65" s="424">
        <f t="shared" si="55"/>
        <v>33000</v>
      </c>
      <c r="R65" s="424">
        <f t="shared" si="56"/>
        <v>75000</v>
      </c>
      <c r="S65" s="424">
        <f t="shared" si="57"/>
        <v>95000</v>
      </c>
      <c r="T65" s="424">
        <f t="shared" si="58"/>
        <v>336000</v>
      </c>
      <c r="U65" s="424">
        <f t="shared" si="59"/>
        <v>241363.12320000201</v>
      </c>
      <c r="V65" s="424">
        <f t="shared" si="60"/>
        <v>801363.12320000201</v>
      </c>
      <c r="W65" s="431">
        <v>12</v>
      </c>
      <c r="X65" s="424">
        <f t="shared" si="61"/>
        <v>66780.260266666795</v>
      </c>
      <c r="Y65" s="427"/>
      <c r="Z65" s="873">
        <f t="shared" si="62"/>
        <v>66780.260266666795</v>
      </c>
      <c r="AA65" s="753">
        <v>51029.227306666697</v>
      </c>
      <c r="AB65" s="753">
        <f t="shared" si="63"/>
        <v>15751.032960000101</v>
      </c>
      <c r="AC65" s="436"/>
      <c r="AD65" s="436"/>
      <c r="AE65" s="436"/>
    </row>
    <row r="66" spans="1:31" ht="14.25" x14ac:dyDescent="0.15">
      <c r="A66" s="421">
        <v>60</v>
      </c>
      <c r="B66" s="809"/>
      <c r="C66" s="424"/>
      <c r="D66" s="423"/>
      <c r="E66" s="424"/>
      <c r="F66" s="424"/>
      <c r="G66" s="427"/>
      <c r="H66" s="427"/>
      <c r="I66" s="424"/>
      <c r="J66" s="424"/>
      <c r="K66" s="424"/>
      <c r="L66" s="424"/>
      <c r="M66" s="424"/>
      <c r="N66" s="424"/>
      <c r="O66" s="424"/>
      <c r="P66" s="424"/>
      <c r="Q66" s="424"/>
      <c r="R66" s="424"/>
      <c r="S66" s="424"/>
      <c r="T66" s="424"/>
      <c r="U66" s="424"/>
      <c r="V66" s="424"/>
      <c r="W66" s="431"/>
      <c r="X66" s="424"/>
      <c r="Y66" s="427"/>
      <c r="Z66" s="873"/>
      <c r="AA66" s="753"/>
      <c r="AB66" s="753"/>
      <c r="AC66" s="436"/>
      <c r="AD66" s="436"/>
      <c r="AE66" s="436"/>
    </row>
    <row r="67" spans="1:31" ht="14.25" x14ac:dyDescent="0.15">
      <c r="A67" s="421"/>
      <c r="B67" s="809" t="s">
        <v>169</v>
      </c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873"/>
      <c r="AA67" s="753"/>
      <c r="AB67" s="753"/>
      <c r="AC67" s="436"/>
      <c r="AD67" s="436"/>
      <c r="AE67" s="436"/>
    </row>
    <row r="68" spans="1:31" ht="14.25" x14ac:dyDescent="0.15">
      <c r="A68" s="421"/>
      <c r="B68" s="597" t="s">
        <v>170</v>
      </c>
      <c r="C68" s="424">
        <v>1947106.41666666</v>
      </c>
      <c r="D68" s="423">
        <v>12</v>
      </c>
      <c r="E68" s="424">
        <f t="shared" ref="E68:E73" si="64">C68*D68</f>
        <v>23365276.999999899</v>
      </c>
      <c r="F68" s="424"/>
      <c r="G68" s="425">
        <v>1677222.16</v>
      </c>
      <c r="H68" s="427"/>
      <c r="I68" s="424">
        <f t="shared" ref="I68:I73" si="65">E68-F68-G68-H68</f>
        <v>21688054.839999899</v>
      </c>
      <c r="J68" s="424">
        <v>200000</v>
      </c>
      <c r="K68" s="424">
        <v>0.2</v>
      </c>
      <c r="L68" s="424">
        <f t="shared" ref="L68:L73" si="66">I68*K68</f>
        <v>4337610.9679999799</v>
      </c>
      <c r="M68" s="424">
        <f t="shared" ref="M68:M73" si="67">J68+L68</f>
        <v>4537610.9679999799</v>
      </c>
      <c r="N68" s="424">
        <f t="shared" ref="N68:N73" si="68">F68+G68+H68+M68</f>
        <v>6214833.12799998</v>
      </c>
      <c r="O68" s="424">
        <f t="shared" ref="O68:O73" si="69">E68-N68</f>
        <v>17150443.871999901</v>
      </c>
      <c r="P68" s="424">
        <f t="shared" ref="P68:P73" si="70">IF(O68&lt;300000,0.07*O68,21000)</f>
        <v>21000</v>
      </c>
      <c r="Q68" s="424">
        <f t="shared" ref="Q68:Q73" si="71">IF((O68-300000)&lt;0,0,IF((O68-300000)&lt;300000,0.11*(O68-300000),33000))</f>
        <v>33000</v>
      </c>
      <c r="R68" s="424">
        <f t="shared" ref="R68:R73" si="72">IF((O68-600000)&lt;0,0,IF((O68-600000)&lt;500000,0.15*(O68-600000),75000))</f>
        <v>75000</v>
      </c>
      <c r="S68" s="424">
        <f t="shared" ref="S68:S73" si="73">IF((O68-1100000)&lt;0,0,IF((O68-1100000)&lt;500000,0.19*(O68-1100000),95000))</f>
        <v>95000</v>
      </c>
      <c r="T68" s="424">
        <f t="shared" ref="T68:T73" si="74">IF((O68-1600000)&lt;0,0,IF((O68-1600000)&lt;1600000,0.21*(O68-1600000),336000))</f>
        <v>336000</v>
      </c>
      <c r="U68" s="424">
        <f t="shared" ref="U68:U71" si="75">24%*(O68-3200000)</f>
        <v>3348106.5292799799</v>
      </c>
      <c r="V68" s="424">
        <f t="shared" ref="V68:V73" si="76">P68+Q68+R68+S68+T68+U68</f>
        <v>3908106.5292799799</v>
      </c>
      <c r="W68" s="431">
        <v>12</v>
      </c>
      <c r="X68" s="424">
        <f t="shared" ref="X68:X73" si="77">V68/W68</f>
        <v>325675.54410666501</v>
      </c>
      <c r="Y68" s="427"/>
      <c r="Z68" s="873">
        <f t="shared" ref="Z68:Z73" si="78">X68</f>
        <v>325675.54410666501</v>
      </c>
      <c r="AA68" s="753">
        <v>270672.24746666697</v>
      </c>
      <c r="AB68" s="753">
        <f t="shared" ref="AB68:AB73" si="79">Z68-AA68</f>
        <v>55003.2966399984</v>
      </c>
      <c r="AC68" s="436"/>
      <c r="AD68" s="436"/>
      <c r="AE68" s="436"/>
    </row>
    <row r="69" spans="1:31" ht="14.25" x14ac:dyDescent="0.15">
      <c r="A69" s="421">
        <v>62</v>
      </c>
      <c r="B69" s="597" t="s">
        <v>172</v>
      </c>
      <c r="C69" s="424">
        <v>882595.5</v>
      </c>
      <c r="D69" s="423">
        <v>12</v>
      </c>
      <c r="E69" s="424">
        <f t="shared" si="64"/>
        <v>10591146</v>
      </c>
      <c r="F69" s="424"/>
      <c r="G69" s="425">
        <v>693691.68</v>
      </c>
      <c r="H69" s="427"/>
      <c r="I69" s="424">
        <f t="shared" si="65"/>
        <v>9897454.3200000003</v>
      </c>
      <c r="J69" s="424">
        <v>200000</v>
      </c>
      <c r="K69" s="424">
        <v>0.2</v>
      </c>
      <c r="L69" s="424">
        <f t="shared" si="66"/>
        <v>1979490.8640000001</v>
      </c>
      <c r="M69" s="424">
        <f t="shared" si="67"/>
        <v>2179490.8640000001</v>
      </c>
      <c r="N69" s="424">
        <f t="shared" si="68"/>
        <v>2873182.5440000002</v>
      </c>
      <c r="O69" s="424">
        <f t="shared" si="69"/>
        <v>7717963.4560000002</v>
      </c>
      <c r="P69" s="424">
        <f t="shared" si="70"/>
        <v>21000</v>
      </c>
      <c r="Q69" s="424">
        <f t="shared" si="71"/>
        <v>33000</v>
      </c>
      <c r="R69" s="424">
        <f t="shared" si="72"/>
        <v>75000</v>
      </c>
      <c r="S69" s="424">
        <f t="shared" si="73"/>
        <v>95000</v>
      </c>
      <c r="T69" s="424">
        <f t="shared" si="74"/>
        <v>336000</v>
      </c>
      <c r="U69" s="424">
        <f t="shared" si="75"/>
        <v>1084311.2294399999</v>
      </c>
      <c r="V69" s="424">
        <f t="shared" si="76"/>
        <v>1644311.2294399999</v>
      </c>
      <c r="W69" s="431">
        <v>12</v>
      </c>
      <c r="X69" s="424">
        <f t="shared" si="77"/>
        <v>137025.93578666699</v>
      </c>
      <c r="Y69" s="427"/>
      <c r="Z69" s="873">
        <f t="shared" si="78"/>
        <v>137025.93578666699</v>
      </c>
      <c r="AA69" s="753">
        <v>112212.004906667</v>
      </c>
      <c r="AB69" s="753">
        <f t="shared" si="79"/>
        <v>24813.930879999702</v>
      </c>
      <c r="AC69" s="436"/>
      <c r="AD69" s="436"/>
      <c r="AE69" s="436"/>
    </row>
    <row r="70" spans="1:31" ht="14.25" x14ac:dyDescent="0.15">
      <c r="A70" s="421">
        <v>63</v>
      </c>
      <c r="B70" s="597" t="s">
        <v>174</v>
      </c>
      <c r="C70" s="424">
        <v>713911.08333333395</v>
      </c>
      <c r="D70" s="423">
        <v>12</v>
      </c>
      <c r="E70" s="424">
        <f t="shared" si="64"/>
        <v>8566933.0000000093</v>
      </c>
      <c r="F70" s="424">
        <v>107120</v>
      </c>
      <c r="G70" s="425">
        <v>550954.64</v>
      </c>
      <c r="H70" s="427"/>
      <c r="I70" s="424">
        <f t="shared" si="65"/>
        <v>7908858.3600000096</v>
      </c>
      <c r="J70" s="424">
        <v>200000</v>
      </c>
      <c r="K70" s="424">
        <v>0.2</v>
      </c>
      <c r="L70" s="424">
        <f t="shared" si="66"/>
        <v>1581771.672</v>
      </c>
      <c r="M70" s="424">
        <f t="shared" si="67"/>
        <v>1781771.672</v>
      </c>
      <c r="N70" s="424">
        <f t="shared" si="68"/>
        <v>2439846.3119999999</v>
      </c>
      <c r="O70" s="424">
        <f t="shared" si="69"/>
        <v>6127086.6880000103</v>
      </c>
      <c r="P70" s="424">
        <f t="shared" si="70"/>
        <v>21000</v>
      </c>
      <c r="Q70" s="424">
        <f t="shared" si="71"/>
        <v>33000</v>
      </c>
      <c r="R70" s="424">
        <f t="shared" si="72"/>
        <v>75000</v>
      </c>
      <c r="S70" s="424">
        <f t="shared" si="73"/>
        <v>95000</v>
      </c>
      <c r="T70" s="424">
        <f t="shared" si="74"/>
        <v>336000</v>
      </c>
      <c r="U70" s="424">
        <f t="shared" si="75"/>
        <v>702500.80512000096</v>
      </c>
      <c r="V70" s="424">
        <f t="shared" si="76"/>
        <v>1262500.8051199999</v>
      </c>
      <c r="W70" s="431">
        <v>12</v>
      </c>
      <c r="X70" s="424">
        <f t="shared" si="77"/>
        <v>105208.40042666699</v>
      </c>
      <c r="Y70" s="427"/>
      <c r="Z70" s="873">
        <f t="shared" si="78"/>
        <v>105208.40042666699</v>
      </c>
      <c r="AA70" s="753">
        <v>86076.104186666693</v>
      </c>
      <c r="AB70" s="753">
        <f t="shared" si="79"/>
        <v>19132.296240000102</v>
      </c>
      <c r="AC70" s="436"/>
      <c r="AD70" s="436"/>
      <c r="AE70" s="436"/>
    </row>
    <row r="71" spans="1:31" ht="14.25" x14ac:dyDescent="0.15">
      <c r="A71" s="421">
        <v>64</v>
      </c>
      <c r="B71" s="597" t="s">
        <v>181</v>
      </c>
      <c r="C71" s="424">
        <v>564993.58333333302</v>
      </c>
      <c r="D71" s="423">
        <v>12</v>
      </c>
      <c r="E71" s="424">
        <f t="shared" si="64"/>
        <v>6779923</v>
      </c>
      <c r="F71" s="424"/>
      <c r="G71" s="425">
        <v>436793.83999999898</v>
      </c>
      <c r="H71" s="427"/>
      <c r="I71" s="424">
        <f t="shared" si="65"/>
        <v>6343129.1600000001</v>
      </c>
      <c r="J71" s="424">
        <v>200000</v>
      </c>
      <c r="K71" s="424">
        <v>0.2</v>
      </c>
      <c r="L71" s="424">
        <f t="shared" si="66"/>
        <v>1268625.8319999999</v>
      </c>
      <c r="M71" s="424">
        <f t="shared" si="67"/>
        <v>1468625.8319999999</v>
      </c>
      <c r="N71" s="424">
        <f t="shared" si="68"/>
        <v>1905419.672</v>
      </c>
      <c r="O71" s="424">
        <f t="shared" si="69"/>
        <v>4874503.3279999997</v>
      </c>
      <c r="P71" s="424">
        <f t="shared" si="70"/>
        <v>21000</v>
      </c>
      <c r="Q71" s="424">
        <f t="shared" si="71"/>
        <v>33000</v>
      </c>
      <c r="R71" s="424">
        <f t="shared" si="72"/>
        <v>75000</v>
      </c>
      <c r="S71" s="424">
        <f t="shared" si="73"/>
        <v>95000</v>
      </c>
      <c r="T71" s="424">
        <f t="shared" si="74"/>
        <v>336000</v>
      </c>
      <c r="U71" s="424">
        <f t="shared" si="75"/>
        <v>401880.79871999897</v>
      </c>
      <c r="V71" s="424">
        <f t="shared" si="76"/>
        <v>961880.79871999903</v>
      </c>
      <c r="W71" s="431">
        <v>12</v>
      </c>
      <c r="X71" s="424">
        <f t="shared" si="77"/>
        <v>80156.733226666605</v>
      </c>
      <c r="Y71" s="427"/>
      <c r="Z71" s="873">
        <f t="shared" si="78"/>
        <v>80156.733226666605</v>
      </c>
      <c r="AA71" s="753">
        <v>62231.114666666697</v>
      </c>
      <c r="AB71" s="753">
        <f t="shared" si="79"/>
        <v>17925.618559999901</v>
      </c>
      <c r="AC71" s="436"/>
      <c r="AD71" s="436"/>
      <c r="AE71" s="436"/>
    </row>
    <row r="72" spans="1:31" ht="14.25" x14ac:dyDescent="0.15">
      <c r="A72" s="421">
        <v>65</v>
      </c>
      <c r="B72" s="597" t="s">
        <v>183</v>
      </c>
      <c r="C72" s="424">
        <v>447016.16666666599</v>
      </c>
      <c r="D72" s="423">
        <v>12</v>
      </c>
      <c r="E72" s="424">
        <f t="shared" si="64"/>
        <v>5364193.9999999898</v>
      </c>
      <c r="F72" s="424"/>
      <c r="G72" s="425">
        <v>333135.52</v>
      </c>
      <c r="H72" s="427"/>
      <c r="I72" s="424">
        <f t="shared" si="65"/>
        <v>5031058.4799999902</v>
      </c>
      <c r="J72" s="424">
        <v>200000</v>
      </c>
      <c r="K72" s="424">
        <v>0.2</v>
      </c>
      <c r="L72" s="424">
        <f t="shared" si="66"/>
        <v>1006211.696</v>
      </c>
      <c r="M72" s="424">
        <f t="shared" si="67"/>
        <v>1206211.696</v>
      </c>
      <c r="N72" s="424">
        <f t="shared" si="68"/>
        <v>1539347.216</v>
      </c>
      <c r="O72" s="424">
        <f t="shared" si="69"/>
        <v>3824846.7839999902</v>
      </c>
      <c r="P72" s="424">
        <f t="shared" si="70"/>
        <v>21000</v>
      </c>
      <c r="Q72" s="424">
        <f t="shared" si="71"/>
        <v>33000</v>
      </c>
      <c r="R72" s="424">
        <f t="shared" si="72"/>
        <v>75000</v>
      </c>
      <c r="S72" s="424">
        <f t="shared" si="73"/>
        <v>95000</v>
      </c>
      <c r="T72" s="424">
        <f t="shared" si="74"/>
        <v>336000</v>
      </c>
      <c r="U72" s="424">
        <f>0.24*(O72-3200000)</f>
        <v>149963.22815999799</v>
      </c>
      <c r="V72" s="424">
        <f t="shared" si="76"/>
        <v>709963.22815999796</v>
      </c>
      <c r="W72" s="431">
        <v>12</v>
      </c>
      <c r="X72" s="424">
        <f t="shared" si="77"/>
        <v>59163.602346666499</v>
      </c>
      <c r="Y72" s="427"/>
      <c r="Z72" s="873">
        <f t="shared" si="78"/>
        <v>59163.602346666499</v>
      </c>
      <c r="AA72" s="753">
        <v>44641.500586666698</v>
      </c>
      <c r="AB72" s="753">
        <f t="shared" si="79"/>
        <v>14522.101759999799</v>
      </c>
      <c r="AC72" s="436"/>
      <c r="AD72" s="436"/>
      <c r="AE72" s="436"/>
    </row>
    <row r="73" spans="1:31" ht="24.75" customHeight="1" x14ac:dyDescent="0.15">
      <c r="A73" s="421"/>
      <c r="B73" s="597" t="s">
        <v>185</v>
      </c>
      <c r="C73" s="424">
        <v>401910.75</v>
      </c>
      <c r="D73" s="423">
        <v>12</v>
      </c>
      <c r="E73" s="424">
        <f t="shared" si="64"/>
        <v>4822929</v>
      </c>
      <c r="F73" s="424"/>
      <c r="G73" s="425">
        <v>289834.32</v>
      </c>
      <c r="H73" s="427"/>
      <c r="I73" s="424">
        <f t="shared" si="65"/>
        <v>4533094.68</v>
      </c>
      <c r="J73" s="424">
        <v>200000</v>
      </c>
      <c r="K73" s="424">
        <v>0.2</v>
      </c>
      <c r="L73" s="424">
        <f t="shared" si="66"/>
        <v>906618.93599999999</v>
      </c>
      <c r="M73" s="424">
        <f t="shared" si="67"/>
        <v>1106618.936</v>
      </c>
      <c r="N73" s="424">
        <f t="shared" si="68"/>
        <v>1396453.2560000001</v>
      </c>
      <c r="O73" s="424">
        <f t="shared" si="69"/>
        <v>3426475.7439999999</v>
      </c>
      <c r="P73" s="424">
        <f t="shared" si="70"/>
        <v>21000</v>
      </c>
      <c r="Q73" s="424">
        <f t="shared" si="71"/>
        <v>33000</v>
      </c>
      <c r="R73" s="424">
        <f t="shared" si="72"/>
        <v>75000</v>
      </c>
      <c r="S73" s="424">
        <f t="shared" si="73"/>
        <v>95000</v>
      </c>
      <c r="T73" s="424">
        <f t="shared" si="74"/>
        <v>336000</v>
      </c>
      <c r="U73" s="424">
        <f>0.24*(O73-3200000)</f>
        <v>54354.17856</v>
      </c>
      <c r="V73" s="424">
        <f t="shared" si="76"/>
        <v>614354.17856000003</v>
      </c>
      <c r="W73" s="431">
        <v>12</v>
      </c>
      <c r="X73" s="424">
        <f t="shared" si="77"/>
        <v>51196.181546666703</v>
      </c>
      <c r="Y73" s="427"/>
      <c r="Z73" s="873">
        <f t="shared" si="78"/>
        <v>51196.181546666703</v>
      </c>
      <c r="AA73" s="753">
        <v>38659.165626666698</v>
      </c>
      <c r="AB73" s="753">
        <f t="shared" si="79"/>
        <v>12537.01592</v>
      </c>
      <c r="AC73" s="436"/>
      <c r="AD73" s="436"/>
      <c r="AE73" s="436"/>
    </row>
    <row r="74" spans="1:31" ht="14.25" x14ac:dyDescent="0.15">
      <c r="A74" s="421">
        <v>66</v>
      </c>
      <c r="B74" s="809"/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873"/>
      <c r="AA74" s="753"/>
      <c r="AB74" s="753"/>
      <c r="AC74" s="436"/>
      <c r="AD74" s="436"/>
      <c r="AE74" s="436"/>
    </row>
    <row r="75" spans="1:31" ht="14.25" x14ac:dyDescent="0.15">
      <c r="A75" s="421">
        <v>67</v>
      </c>
      <c r="B75" s="809" t="s">
        <v>187</v>
      </c>
      <c r="C75" s="424"/>
      <c r="AA75" s="244"/>
      <c r="AB75" s="753"/>
      <c r="AC75" s="436"/>
      <c r="AD75" s="436"/>
      <c r="AE75" s="436"/>
    </row>
    <row r="76" spans="1:31" ht="14.25" x14ac:dyDescent="0.15">
      <c r="A76" s="421">
        <v>68</v>
      </c>
      <c r="B76" s="597" t="s">
        <v>188</v>
      </c>
      <c r="C76" s="424">
        <v>1847612</v>
      </c>
      <c r="D76" s="423">
        <v>12</v>
      </c>
      <c r="E76" s="424">
        <f t="shared" ref="E76:E85" si="80">C76*D76</f>
        <v>22171344</v>
      </c>
      <c r="F76" s="424">
        <v>307730.49999999901</v>
      </c>
      <c r="G76" s="425">
        <v>1581707.52</v>
      </c>
      <c r="H76" s="427"/>
      <c r="I76" s="424">
        <f t="shared" ref="I76:I85" si="81">E76-F76-G76-H76</f>
        <v>20281905.98</v>
      </c>
      <c r="J76" s="424">
        <v>200000</v>
      </c>
      <c r="K76" s="424">
        <v>0.2</v>
      </c>
      <c r="L76" s="424">
        <f t="shared" ref="L76:L85" si="82">I76*K76</f>
        <v>4056381.196</v>
      </c>
      <c r="M76" s="424">
        <f t="shared" ref="M76:M85" si="83">J76+L76</f>
        <v>4256381.1960000005</v>
      </c>
      <c r="N76" s="424">
        <f t="shared" ref="N76:N85" si="84">F76+G76+H76+M76</f>
        <v>6145819.216</v>
      </c>
      <c r="O76" s="424">
        <f t="shared" ref="O76:O85" si="85">E76-N76</f>
        <v>16025524.784</v>
      </c>
      <c r="P76" s="424">
        <f t="shared" ref="P76:P85" si="86">IF(O76&lt;300000,0.07*O76,21000)</f>
        <v>21000</v>
      </c>
      <c r="Q76" s="424">
        <f t="shared" ref="Q76:Q85" si="87">IF((O76-300000)&lt;0,0,IF((O76-300000)&lt;300000,0.11*(O76-300000),33000))</f>
        <v>33000</v>
      </c>
      <c r="R76" s="424">
        <f t="shared" ref="R76:R85" si="88">IF((O76-600000)&lt;0,0,IF((O76-600000)&lt;500000,0.15*(O76-600000),75000))</f>
        <v>75000</v>
      </c>
      <c r="S76" s="424">
        <f t="shared" ref="S76:S85" si="89">IF((O76-1100000)&lt;0,0,IF((O76-1100000)&lt;500000,0.19*(O76-1100000),95000))</f>
        <v>95000</v>
      </c>
      <c r="T76" s="424">
        <f t="shared" ref="T76:T85" si="90">IF((O76-1600000)&lt;0,0,IF((O76-1600000)&lt;1600000,0.21*(O76-1600000),336000))</f>
        <v>336000</v>
      </c>
      <c r="U76" s="424">
        <f t="shared" ref="U76:U85" si="91">24%*(O76-3200000)</f>
        <v>3078125.9481600001</v>
      </c>
      <c r="V76" s="424">
        <f t="shared" ref="V76:V85" si="92">P76+Q76+R76+S76+T76+U76</f>
        <v>3638125.9481600001</v>
      </c>
      <c r="W76" s="431">
        <v>12</v>
      </c>
      <c r="X76" s="424">
        <f t="shared" ref="X76:X85" si="93">V76/W76</f>
        <v>303177.16234666703</v>
      </c>
      <c r="Y76" s="427"/>
      <c r="Z76" s="873">
        <f t="shared" ref="Z76:Z85" si="94">X76</f>
        <v>303177.16234666703</v>
      </c>
      <c r="AA76" s="424">
        <v>251101.24</v>
      </c>
      <c r="AB76" s="753">
        <f t="shared" ref="AB76:AB85" si="95">Z76-AA76</f>
        <v>52075.922346666601</v>
      </c>
      <c r="AC76" s="436"/>
      <c r="AD76" s="436"/>
      <c r="AE76" s="436"/>
    </row>
    <row r="77" spans="1:31" ht="14.25" x14ac:dyDescent="0.15">
      <c r="A77" s="421">
        <v>69</v>
      </c>
      <c r="B77" s="597" t="s">
        <v>190</v>
      </c>
      <c r="C77" s="424">
        <v>1232711.08333333</v>
      </c>
      <c r="D77" s="423">
        <v>12</v>
      </c>
      <c r="E77" s="424">
        <f t="shared" si="80"/>
        <v>14792533</v>
      </c>
      <c r="F77" s="424"/>
      <c r="G77" s="425">
        <v>818602.63999999897</v>
      </c>
      <c r="H77" s="427"/>
      <c r="I77" s="424">
        <f t="shared" si="81"/>
        <v>13973930.359999999</v>
      </c>
      <c r="J77" s="424">
        <v>200000</v>
      </c>
      <c r="K77" s="424">
        <v>0.2</v>
      </c>
      <c r="L77" s="424">
        <f t="shared" si="82"/>
        <v>2794786.0719999899</v>
      </c>
      <c r="M77" s="424">
        <f t="shared" si="83"/>
        <v>2994786.0719999899</v>
      </c>
      <c r="N77" s="424">
        <f t="shared" si="84"/>
        <v>3813388.71199999</v>
      </c>
      <c r="O77" s="424">
        <f t="shared" si="85"/>
        <v>10979144.288000001</v>
      </c>
      <c r="P77" s="424">
        <f t="shared" si="86"/>
        <v>21000</v>
      </c>
      <c r="Q77" s="424">
        <f t="shared" si="87"/>
        <v>33000</v>
      </c>
      <c r="R77" s="424">
        <f t="shared" si="88"/>
        <v>75000</v>
      </c>
      <c r="S77" s="424">
        <f t="shared" si="89"/>
        <v>95000</v>
      </c>
      <c r="T77" s="424">
        <f t="shared" si="90"/>
        <v>336000</v>
      </c>
      <c r="U77" s="424">
        <f t="shared" si="91"/>
        <v>1866994.6291199899</v>
      </c>
      <c r="V77" s="424">
        <f t="shared" si="92"/>
        <v>2426994.6291199899</v>
      </c>
      <c r="W77" s="431">
        <v>12</v>
      </c>
      <c r="X77" s="424">
        <f t="shared" si="93"/>
        <v>202249.55242666599</v>
      </c>
      <c r="Y77" s="427"/>
      <c r="Z77" s="873">
        <f t="shared" si="94"/>
        <v>202249.55242666599</v>
      </c>
      <c r="AA77" s="424">
        <v>177751.03</v>
      </c>
      <c r="AB77" s="753">
        <f t="shared" si="95"/>
        <v>24498.522426666001</v>
      </c>
      <c r="AC77" s="436"/>
      <c r="AD77" s="436"/>
      <c r="AE77" s="436"/>
    </row>
    <row r="78" spans="1:31" ht="27" x14ac:dyDescent="0.15">
      <c r="A78" s="421">
        <v>70</v>
      </c>
      <c r="B78" s="597" t="s">
        <v>193</v>
      </c>
      <c r="C78" s="424">
        <v>882595.5</v>
      </c>
      <c r="D78" s="423">
        <v>12</v>
      </c>
      <c r="E78" s="424">
        <f t="shared" si="80"/>
        <v>10591146</v>
      </c>
      <c r="F78" s="424"/>
      <c r="G78" s="425">
        <v>693691.68</v>
      </c>
      <c r="H78" s="427"/>
      <c r="I78" s="424">
        <f t="shared" si="81"/>
        <v>9897454.3200000003</v>
      </c>
      <c r="J78" s="424">
        <v>200000</v>
      </c>
      <c r="K78" s="424">
        <v>0.2</v>
      </c>
      <c r="L78" s="424">
        <f t="shared" si="82"/>
        <v>1979490.8640000001</v>
      </c>
      <c r="M78" s="424">
        <f t="shared" si="83"/>
        <v>2179490.8640000001</v>
      </c>
      <c r="N78" s="424">
        <f t="shared" si="84"/>
        <v>2873182.5440000002</v>
      </c>
      <c r="O78" s="424">
        <f t="shared" si="85"/>
        <v>7717963.4560000002</v>
      </c>
      <c r="P78" s="424">
        <f t="shared" si="86"/>
        <v>21000</v>
      </c>
      <c r="Q78" s="424">
        <f t="shared" si="87"/>
        <v>33000</v>
      </c>
      <c r="R78" s="424">
        <f t="shared" si="88"/>
        <v>75000</v>
      </c>
      <c r="S78" s="424">
        <f t="shared" si="89"/>
        <v>95000</v>
      </c>
      <c r="T78" s="424">
        <f t="shared" si="90"/>
        <v>336000</v>
      </c>
      <c r="U78" s="424">
        <f t="shared" si="91"/>
        <v>1084311.2294399999</v>
      </c>
      <c r="V78" s="424">
        <f t="shared" si="92"/>
        <v>1644311.2294399999</v>
      </c>
      <c r="W78" s="431">
        <v>12</v>
      </c>
      <c r="X78" s="424">
        <f t="shared" si="93"/>
        <v>137025.93578666699</v>
      </c>
      <c r="Y78" s="427"/>
      <c r="Z78" s="873">
        <f t="shared" si="94"/>
        <v>137025.93578666699</v>
      </c>
      <c r="AA78" s="424">
        <v>112212.004906667</v>
      </c>
      <c r="AB78" s="753">
        <f t="shared" si="95"/>
        <v>24813.930879999702</v>
      </c>
      <c r="AC78" s="436"/>
      <c r="AD78" s="436"/>
      <c r="AE78" s="436"/>
    </row>
    <row r="79" spans="1:31" ht="14.25" x14ac:dyDescent="0.15">
      <c r="A79" s="421">
        <v>71</v>
      </c>
      <c r="B79" s="597" t="s">
        <v>194</v>
      </c>
      <c r="C79" s="424">
        <v>793195.83333333302</v>
      </c>
      <c r="D79" s="423">
        <v>12</v>
      </c>
      <c r="E79" s="424">
        <f t="shared" si="80"/>
        <v>9518350</v>
      </c>
      <c r="F79" s="424"/>
      <c r="G79" s="425">
        <v>627067.99999999895</v>
      </c>
      <c r="H79" s="427"/>
      <c r="I79" s="424">
        <f t="shared" si="81"/>
        <v>8891282</v>
      </c>
      <c r="J79" s="424">
        <v>200000</v>
      </c>
      <c r="K79" s="424">
        <v>0.2</v>
      </c>
      <c r="L79" s="424">
        <f t="shared" si="82"/>
        <v>1778256.4</v>
      </c>
      <c r="M79" s="424">
        <f t="shared" si="83"/>
        <v>1978256.4</v>
      </c>
      <c r="N79" s="424">
        <f t="shared" si="84"/>
        <v>2605324.4</v>
      </c>
      <c r="O79" s="424">
        <f t="shared" si="85"/>
        <v>6913025.5999999996</v>
      </c>
      <c r="P79" s="424">
        <f t="shared" si="86"/>
        <v>21000</v>
      </c>
      <c r="Q79" s="424">
        <f t="shared" si="87"/>
        <v>33000</v>
      </c>
      <c r="R79" s="424">
        <f t="shared" si="88"/>
        <v>75000</v>
      </c>
      <c r="S79" s="424">
        <f t="shared" si="89"/>
        <v>95000</v>
      </c>
      <c r="T79" s="424">
        <f t="shared" si="90"/>
        <v>336000</v>
      </c>
      <c r="U79" s="424">
        <f t="shared" si="91"/>
        <v>891126.14399999904</v>
      </c>
      <c r="V79" s="424">
        <f t="shared" si="92"/>
        <v>1451126.1440000001</v>
      </c>
      <c r="W79" s="431">
        <v>12</v>
      </c>
      <c r="X79" s="424">
        <f t="shared" si="93"/>
        <v>120927.17866666699</v>
      </c>
      <c r="Y79" s="427"/>
      <c r="Z79" s="873">
        <f t="shared" si="94"/>
        <v>120927.17866666699</v>
      </c>
      <c r="AA79" s="424">
        <v>83767.87</v>
      </c>
      <c r="AB79" s="753">
        <f t="shared" si="95"/>
        <v>37159.308666666599</v>
      </c>
      <c r="AC79" s="436"/>
      <c r="AD79" s="436"/>
      <c r="AE79" s="436"/>
    </row>
    <row r="80" spans="1:31" ht="14.25" x14ac:dyDescent="0.15">
      <c r="A80" s="421">
        <v>72</v>
      </c>
      <c r="B80" s="597" t="s">
        <v>195</v>
      </c>
      <c r="C80" s="424">
        <v>793195.83333333302</v>
      </c>
      <c r="D80" s="423">
        <v>12</v>
      </c>
      <c r="E80" s="424">
        <f t="shared" si="80"/>
        <v>9518350</v>
      </c>
      <c r="F80" s="424"/>
      <c r="G80" s="425">
        <v>627067.99999999895</v>
      </c>
      <c r="H80" s="427"/>
      <c r="I80" s="424">
        <f t="shared" si="81"/>
        <v>8891282</v>
      </c>
      <c r="J80" s="424">
        <v>200000</v>
      </c>
      <c r="K80" s="424">
        <v>0.2</v>
      </c>
      <c r="L80" s="424">
        <f t="shared" si="82"/>
        <v>1778256.4</v>
      </c>
      <c r="M80" s="424">
        <f t="shared" si="83"/>
        <v>1978256.4</v>
      </c>
      <c r="N80" s="424">
        <f t="shared" si="84"/>
        <v>2605324.4</v>
      </c>
      <c r="O80" s="424">
        <f t="shared" si="85"/>
        <v>6913025.5999999996</v>
      </c>
      <c r="P80" s="424">
        <f t="shared" si="86"/>
        <v>21000</v>
      </c>
      <c r="Q80" s="424">
        <f t="shared" si="87"/>
        <v>33000</v>
      </c>
      <c r="R80" s="424">
        <f t="shared" si="88"/>
        <v>75000</v>
      </c>
      <c r="S80" s="424">
        <f t="shared" si="89"/>
        <v>95000</v>
      </c>
      <c r="T80" s="424">
        <f t="shared" si="90"/>
        <v>336000</v>
      </c>
      <c r="U80" s="424">
        <f t="shared" si="91"/>
        <v>891126.14399999904</v>
      </c>
      <c r="V80" s="424">
        <f t="shared" si="92"/>
        <v>1451126.1440000001</v>
      </c>
      <c r="W80" s="431">
        <v>12</v>
      </c>
      <c r="X80" s="424">
        <f t="shared" si="93"/>
        <v>120927.17866666699</v>
      </c>
      <c r="Y80" s="427"/>
      <c r="Z80" s="873">
        <f t="shared" si="94"/>
        <v>120927.17866666699</v>
      </c>
      <c r="AA80" s="424">
        <v>83753.408426666603</v>
      </c>
      <c r="AB80" s="753">
        <f t="shared" si="95"/>
        <v>37173.770239999998</v>
      </c>
      <c r="AC80" s="436"/>
      <c r="AD80" s="436"/>
      <c r="AE80" s="436"/>
    </row>
    <row r="81" spans="1:31" ht="27" x14ac:dyDescent="0.15">
      <c r="A81" s="421">
        <v>73</v>
      </c>
      <c r="B81" s="597" t="s">
        <v>196</v>
      </c>
      <c r="C81" s="424">
        <v>772925</v>
      </c>
      <c r="D81" s="423">
        <v>12</v>
      </c>
      <c r="E81" s="424">
        <f t="shared" si="80"/>
        <v>9275100</v>
      </c>
      <c r="F81" s="424"/>
      <c r="G81" s="425">
        <v>607608</v>
      </c>
      <c r="H81" s="427"/>
      <c r="I81" s="424">
        <f t="shared" si="81"/>
        <v>8667492</v>
      </c>
      <c r="J81" s="424">
        <v>200000</v>
      </c>
      <c r="K81" s="424">
        <v>0.2</v>
      </c>
      <c r="L81" s="424">
        <f t="shared" si="82"/>
        <v>1733498.4</v>
      </c>
      <c r="M81" s="424">
        <f t="shared" si="83"/>
        <v>1933498.4</v>
      </c>
      <c r="N81" s="424">
        <f t="shared" si="84"/>
        <v>2541106.4</v>
      </c>
      <c r="O81" s="424">
        <f t="shared" si="85"/>
        <v>6733993.5999999996</v>
      </c>
      <c r="P81" s="424">
        <f t="shared" si="86"/>
        <v>21000</v>
      </c>
      <c r="Q81" s="424">
        <f t="shared" si="87"/>
        <v>33000</v>
      </c>
      <c r="R81" s="424">
        <f t="shared" si="88"/>
        <v>75000</v>
      </c>
      <c r="S81" s="424">
        <f t="shared" si="89"/>
        <v>95000</v>
      </c>
      <c r="T81" s="424">
        <f t="shared" si="90"/>
        <v>336000</v>
      </c>
      <c r="U81" s="424">
        <f t="shared" si="91"/>
        <v>848158.46400000004</v>
      </c>
      <c r="V81" s="424">
        <f t="shared" si="92"/>
        <v>1408158.4639999999</v>
      </c>
      <c r="W81" s="431">
        <v>12</v>
      </c>
      <c r="X81" s="424">
        <f t="shared" si="93"/>
        <v>117346.53866666699</v>
      </c>
      <c r="Y81" s="427"/>
      <c r="Z81" s="873">
        <f t="shared" si="94"/>
        <v>117346.53866666699</v>
      </c>
      <c r="AA81" s="424">
        <v>81302.3959466667</v>
      </c>
      <c r="AB81" s="753">
        <f t="shared" si="95"/>
        <v>36044.142720000003</v>
      </c>
      <c r="AC81" s="436"/>
      <c r="AD81" s="436"/>
      <c r="AE81" s="436"/>
    </row>
    <row r="82" spans="1:31" ht="14.25" x14ac:dyDescent="0.15">
      <c r="A82" s="421">
        <v>74</v>
      </c>
      <c r="B82" s="597" t="s">
        <v>198</v>
      </c>
      <c r="C82" s="424">
        <v>578828.16666666698</v>
      </c>
      <c r="D82" s="423">
        <v>12</v>
      </c>
      <c r="E82" s="424">
        <f t="shared" si="80"/>
        <v>6945938</v>
      </c>
      <c r="F82" s="424"/>
      <c r="G82" s="430">
        <v>450075.04000000103</v>
      </c>
      <c r="H82" s="427"/>
      <c r="I82" s="424">
        <f t="shared" si="81"/>
        <v>6495862.96</v>
      </c>
      <c r="J82" s="424">
        <v>200000</v>
      </c>
      <c r="K82" s="424">
        <v>0.2</v>
      </c>
      <c r="L82" s="424">
        <f t="shared" si="82"/>
        <v>1299172.5919999999</v>
      </c>
      <c r="M82" s="424">
        <f t="shared" si="83"/>
        <v>1499172.5919999999</v>
      </c>
      <c r="N82" s="424">
        <f t="shared" si="84"/>
        <v>1949247.632</v>
      </c>
      <c r="O82" s="424">
        <f t="shared" si="85"/>
        <v>4996690.3679999998</v>
      </c>
      <c r="P82" s="424">
        <f t="shared" si="86"/>
        <v>21000</v>
      </c>
      <c r="Q82" s="424">
        <f t="shared" si="87"/>
        <v>33000</v>
      </c>
      <c r="R82" s="424">
        <f t="shared" si="88"/>
        <v>75000</v>
      </c>
      <c r="S82" s="424">
        <f t="shared" si="89"/>
        <v>95000</v>
      </c>
      <c r="T82" s="424">
        <f t="shared" si="90"/>
        <v>336000</v>
      </c>
      <c r="U82" s="424">
        <f t="shared" si="91"/>
        <v>431205.68832000101</v>
      </c>
      <c r="V82" s="424">
        <f t="shared" si="92"/>
        <v>991205.68832000101</v>
      </c>
      <c r="W82" s="431">
        <v>12</v>
      </c>
      <c r="X82" s="424">
        <f t="shared" si="93"/>
        <v>82600.474026666707</v>
      </c>
      <c r="Y82" s="427"/>
      <c r="Z82" s="873">
        <f t="shared" si="94"/>
        <v>82600.474026666707</v>
      </c>
      <c r="AA82" s="424">
        <v>64384.591786666701</v>
      </c>
      <c r="AB82" s="753">
        <f t="shared" si="95"/>
        <v>18215.882239999999</v>
      </c>
      <c r="AC82" s="436"/>
      <c r="AD82" s="436"/>
      <c r="AE82" s="436"/>
    </row>
    <row r="83" spans="1:31" ht="24" customHeight="1" x14ac:dyDescent="0.15">
      <c r="A83" s="421">
        <v>75</v>
      </c>
      <c r="B83" s="597" t="s">
        <v>199</v>
      </c>
      <c r="C83" s="424">
        <v>617472.75</v>
      </c>
      <c r="D83" s="423">
        <v>12</v>
      </c>
      <c r="E83" s="424">
        <f t="shared" si="80"/>
        <v>7409673</v>
      </c>
      <c r="F83" s="424">
        <v>93501.975000000006</v>
      </c>
      <c r="G83" s="425">
        <v>477573.84</v>
      </c>
      <c r="H83" s="427"/>
      <c r="I83" s="424">
        <f t="shared" si="81"/>
        <v>6838597.1849999996</v>
      </c>
      <c r="J83" s="424">
        <v>200000</v>
      </c>
      <c r="K83" s="424">
        <v>0.2</v>
      </c>
      <c r="L83" s="424">
        <f t="shared" si="82"/>
        <v>1367719.4369999999</v>
      </c>
      <c r="M83" s="424">
        <f t="shared" si="83"/>
        <v>1567719.4369999999</v>
      </c>
      <c r="N83" s="424">
        <f t="shared" si="84"/>
        <v>2138795.2519999999</v>
      </c>
      <c r="O83" s="424">
        <f t="shared" si="85"/>
        <v>5270877.7479999997</v>
      </c>
      <c r="P83" s="424">
        <f t="shared" si="86"/>
        <v>21000</v>
      </c>
      <c r="Q83" s="424">
        <f t="shared" si="87"/>
        <v>33000</v>
      </c>
      <c r="R83" s="424">
        <f t="shared" si="88"/>
        <v>75000</v>
      </c>
      <c r="S83" s="424">
        <f t="shared" si="89"/>
        <v>95000</v>
      </c>
      <c r="T83" s="424">
        <f t="shared" si="90"/>
        <v>336000</v>
      </c>
      <c r="U83" s="424">
        <f t="shared" si="91"/>
        <v>497010.65951999999</v>
      </c>
      <c r="V83" s="424">
        <f t="shared" si="92"/>
        <v>1057010.65952</v>
      </c>
      <c r="W83" s="431">
        <v>12</v>
      </c>
      <c r="X83" s="424">
        <f t="shared" si="93"/>
        <v>88084.221626666695</v>
      </c>
      <c r="Y83" s="427"/>
      <c r="Z83" s="873">
        <f t="shared" si="94"/>
        <v>88084.221626666695</v>
      </c>
      <c r="AA83" s="424">
        <v>70529.475354666705</v>
      </c>
      <c r="AB83" s="753">
        <f t="shared" si="95"/>
        <v>17554.746272</v>
      </c>
      <c r="AC83" s="436"/>
      <c r="AD83" s="436"/>
      <c r="AE83" s="436"/>
    </row>
    <row r="84" spans="1:31" ht="14.25" x14ac:dyDescent="0.15">
      <c r="A84" s="421">
        <v>76</v>
      </c>
      <c r="B84" s="597" t="s">
        <v>202</v>
      </c>
      <c r="C84" s="424">
        <v>490135.83333333401</v>
      </c>
      <c r="D84" s="423">
        <v>12</v>
      </c>
      <c r="E84" s="424">
        <f t="shared" si="80"/>
        <v>5881630.0000000102</v>
      </c>
      <c r="F84" s="424"/>
      <c r="G84" s="425">
        <v>374530.4</v>
      </c>
      <c r="H84" s="427"/>
      <c r="I84" s="424">
        <f t="shared" si="81"/>
        <v>5507099.6000000099</v>
      </c>
      <c r="J84" s="424">
        <v>200000</v>
      </c>
      <c r="K84" s="424">
        <v>0.2</v>
      </c>
      <c r="L84" s="424">
        <f t="shared" si="82"/>
        <v>1101419.92</v>
      </c>
      <c r="M84" s="424">
        <f t="shared" si="83"/>
        <v>1301419.92</v>
      </c>
      <c r="N84" s="424">
        <f t="shared" si="84"/>
        <v>1675950.32</v>
      </c>
      <c r="O84" s="424">
        <f t="shared" si="85"/>
        <v>4205679.6800000099</v>
      </c>
      <c r="P84" s="424">
        <f t="shared" si="86"/>
        <v>21000</v>
      </c>
      <c r="Q84" s="424">
        <f t="shared" si="87"/>
        <v>33000</v>
      </c>
      <c r="R84" s="424">
        <f t="shared" si="88"/>
        <v>75000</v>
      </c>
      <c r="S84" s="424">
        <f t="shared" si="89"/>
        <v>95000</v>
      </c>
      <c r="T84" s="424">
        <f t="shared" si="90"/>
        <v>336000</v>
      </c>
      <c r="U84" s="424">
        <f t="shared" si="91"/>
        <v>241363.12320000201</v>
      </c>
      <c r="V84" s="424">
        <f t="shared" si="92"/>
        <v>801363.12320000201</v>
      </c>
      <c r="W84" s="431">
        <v>12</v>
      </c>
      <c r="X84" s="424">
        <f t="shared" si="93"/>
        <v>66780.260266666795</v>
      </c>
      <c r="Y84" s="427"/>
      <c r="Z84" s="873">
        <f t="shared" si="94"/>
        <v>66780.260266666795</v>
      </c>
      <c r="AA84" s="424">
        <v>51029.227306666697</v>
      </c>
      <c r="AB84" s="753">
        <f t="shared" si="95"/>
        <v>15751.032960000101</v>
      </c>
      <c r="AC84" s="436"/>
      <c r="AD84" s="436"/>
      <c r="AE84" s="436"/>
    </row>
    <row r="85" spans="1:31" ht="14.25" x14ac:dyDescent="0.15">
      <c r="A85" s="421"/>
      <c r="B85" s="597" t="s">
        <v>204</v>
      </c>
      <c r="C85" s="424">
        <v>408920.66666666698</v>
      </c>
      <c r="D85" s="423">
        <v>12</v>
      </c>
      <c r="E85" s="424">
        <f t="shared" si="80"/>
        <v>4907048</v>
      </c>
      <c r="F85" s="424"/>
      <c r="G85" s="425">
        <v>296563.84000000102</v>
      </c>
      <c r="H85" s="427"/>
      <c r="I85" s="424">
        <f t="shared" si="81"/>
        <v>4610484.16</v>
      </c>
      <c r="J85" s="424">
        <v>200000</v>
      </c>
      <c r="K85" s="424">
        <v>0.2</v>
      </c>
      <c r="L85" s="424">
        <f t="shared" si="82"/>
        <v>922096.83200000098</v>
      </c>
      <c r="M85" s="424">
        <f t="shared" si="83"/>
        <v>1122096.8319999999</v>
      </c>
      <c r="N85" s="424">
        <f t="shared" si="84"/>
        <v>1418660.672</v>
      </c>
      <c r="O85" s="424">
        <f t="shared" si="85"/>
        <v>3488387.3280000002</v>
      </c>
      <c r="P85" s="424">
        <f t="shared" si="86"/>
        <v>21000</v>
      </c>
      <c r="Q85" s="424">
        <f t="shared" si="87"/>
        <v>33000</v>
      </c>
      <c r="R85" s="424">
        <f t="shared" si="88"/>
        <v>75000</v>
      </c>
      <c r="S85" s="424">
        <f t="shared" si="89"/>
        <v>95000</v>
      </c>
      <c r="T85" s="424">
        <f t="shared" si="90"/>
        <v>336000</v>
      </c>
      <c r="U85" s="424">
        <f t="shared" si="91"/>
        <v>69212.958720000504</v>
      </c>
      <c r="V85" s="424">
        <f t="shared" si="92"/>
        <v>629212.95872</v>
      </c>
      <c r="W85" s="431">
        <v>12</v>
      </c>
      <c r="X85" s="424">
        <f t="shared" si="93"/>
        <v>52434.4132266667</v>
      </c>
      <c r="Y85" s="427"/>
      <c r="Z85" s="873">
        <f t="shared" si="94"/>
        <v>52434.4132266667</v>
      </c>
      <c r="AA85" s="424">
        <v>39613.135706666697</v>
      </c>
      <c r="AB85" s="753">
        <f t="shared" si="95"/>
        <v>12821.27752</v>
      </c>
      <c r="AC85" s="436"/>
      <c r="AD85" s="436"/>
      <c r="AE85" s="436"/>
    </row>
    <row r="86" spans="1:31" ht="14.25" x14ac:dyDescent="0.15">
      <c r="A86" s="421"/>
      <c r="B86" s="809"/>
      <c r="C86" s="424"/>
      <c r="D86" s="423"/>
      <c r="E86" s="424"/>
      <c r="F86" s="424"/>
      <c r="G86" s="427"/>
      <c r="H86" s="427"/>
      <c r="I86" s="424"/>
      <c r="J86" s="424"/>
      <c r="K86" s="424"/>
      <c r="L86" s="424"/>
      <c r="M86" s="424"/>
      <c r="N86" s="424"/>
      <c r="O86" s="424"/>
      <c r="P86" s="424"/>
      <c r="Q86" s="424"/>
      <c r="R86" s="424"/>
      <c r="S86" s="424"/>
      <c r="T86" s="424"/>
      <c r="U86" s="424"/>
      <c r="V86" s="424"/>
      <c r="W86" s="431"/>
      <c r="X86" s="424"/>
      <c r="Y86" s="427"/>
      <c r="Z86" s="873"/>
      <c r="AA86" s="753"/>
      <c r="AB86" s="753"/>
      <c r="AC86" s="436"/>
      <c r="AD86" s="436"/>
      <c r="AE86" s="436"/>
    </row>
    <row r="87" spans="1:31" ht="14.25" x14ac:dyDescent="0.15">
      <c r="A87" s="421"/>
      <c r="B87" s="812"/>
      <c r="C87" s="424"/>
      <c r="D87" s="423"/>
      <c r="E87" s="424"/>
      <c r="F87" s="424"/>
      <c r="G87" s="427"/>
      <c r="H87" s="427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31"/>
      <c r="X87" s="424"/>
      <c r="Y87" s="427"/>
      <c r="Z87" s="873"/>
      <c r="AA87" s="753"/>
      <c r="AB87" s="753"/>
      <c r="AC87" s="436"/>
      <c r="AD87" s="436"/>
      <c r="AE87" s="436"/>
    </row>
    <row r="88" spans="1:31" ht="14.25" x14ac:dyDescent="0.15">
      <c r="A88" s="421">
        <v>78</v>
      </c>
      <c r="B88" s="809" t="s">
        <v>207</v>
      </c>
      <c r="C88" s="424"/>
      <c r="AA88" s="244"/>
      <c r="AB88" s="753"/>
      <c r="AC88" s="436"/>
      <c r="AD88" s="436"/>
      <c r="AE88" s="436"/>
    </row>
    <row r="89" spans="1:31" ht="14.25" x14ac:dyDescent="0.15">
      <c r="A89" s="421">
        <v>79</v>
      </c>
      <c r="B89" s="593" t="s">
        <v>208</v>
      </c>
      <c r="C89" s="424">
        <v>1797359.33333333</v>
      </c>
      <c r="D89" s="423">
        <v>12</v>
      </c>
      <c r="E89" s="424">
        <f t="shared" ref="E89:E93" si="96">C89*D89</f>
        <v>21568312</v>
      </c>
      <c r="F89" s="424">
        <v>316881.84999999899</v>
      </c>
      <c r="G89" s="425">
        <v>1629464.95999999</v>
      </c>
      <c r="H89" s="427"/>
      <c r="I89" s="424">
        <f t="shared" ref="I89:I93" si="97">E89-F89-G89-H89</f>
        <v>19621965.190000001</v>
      </c>
      <c r="J89" s="424">
        <v>200000</v>
      </c>
      <c r="K89" s="424">
        <v>0.2</v>
      </c>
      <c r="L89" s="424">
        <f t="shared" ref="L89:L93" si="98">I89*K89</f>
        <v>3924393.0379999899</v>
      </c>
      <c r="M89" s="424">
        <f t="shared" ref="M89:M93" si="99">J89+L89</f>
        <v>4124393.0379999899</v>
      </c>
      <c r="N89" s="424">
        <f t="shared" ref="N89:N93" si="100">F89+G89+H89+M89</f>
        <v>6070739.8479999797</v>
      </c>
      <c r="O89" s="424">
        <f t="shared" ref="O89:O93" si="101">E89-N89</f>
        <v>15497572.152000001</v>
      </c>
      <c r="P89" s="424">
        <f t="shared" ref="P89:P93" si="102">IF(O89&lt;300000,0.07*O89,21000)</f>
        <v>21000</v>
      </c>
      <c r="Q89" s="424">
        <f t="shared" ref="Q89:Q93" si="103">IF((O89-300000)&lt;0,0,IF((O89-300000)&lt;300000,0.11*(O89-300000),33000))</f>
        <v>33000</v>
      </c>
      <c r="R89" s="424">
        <f t="shared" ref="R89:R93" si="104">IF((O89-600000)&lt;0,0,IF((O89-600000)&lt;500000,0.15*(O89-600000),75000))</f>
        <v>75000</v>
      </c>
      <c r="S89" s="424">
        <f t="shared" ref="S89:S93" si="105">IF((O89-1100000)&lt;0,0,IF((O89-1100000)&lt;500000,0.19*(O89-1100000),95000))</f>
        <v>95000</v>
      </c>
      <c r="T89" s="424">
        <f t="shared" ref="T89:T93" si="106">IF((O89-1600000)&lt;0,0,IF((O89-1600000)&lt;1600000,0.21*(O89-1600000),336000))</f>
        <v>336000</v>
      </c>
      <c r="U89" s="424">
        <f t="shared" ref="U89:U93" si="107">24%*(O89-3200000)</f>
        <v>2951417.3164799898</v>
      </c>
      <c r="V89" s="424">
        <f t="shared" ref="V89:V93" si="108">P89+Q89+R89+S89+T89+U89</f>
        <v>3511417.3164799898</v>
      </c>
      <c r="W89" s="431">
        <v>12</v>
      </c>
      <c r="X89" s="424">
        <f t="shared" ref="X89:X93" si="109">V89/W89</f>
        <v>292618.10970666597</v>
      </c>
      <c r="Y89" s="427"/>
      <c r="Z89" s="873">
        <f t="shared" ref="Z89:Z93" si="110">X89</f>
        <v>292618.10970666597</v>
      </c>
      <c r="AA89" s="753">
        <v>236486.74867946701</v>
      </c>
      <c r="AB89" s="753">
        <f t="shared" ref="AB89:AB93" si="111">Z89-AA89</f>
        <v>56131.3610271992</v>
      </c>
      <c r="AC89" s="436"/>
      <c r="AD89" s="436"/>
      <c r="AE89" s="436"/>
    </row>
    <row r="90" spans="1:31" ht="14.25" x14ac:dyDescent="0.15">
      <c r="A90" s="421">
        <v>80</v>
      </c>
      <c r="B90" s="597" t="s">
        <v>211</v>
      </c>
      <c r="C90" s="424">
        <v>643911.08333333395</v>
      </c>
      <c r="D90" s="423">
        <v>12</v>
      </c>
      <c r="E90" s="424">
        <f t="shared" si="96"/>
        <v>7726933.0000000102</v>
      </c>
      <c r="F90" s="424"/>
      <c r="G90" s="425">
        <v>550954.64</v>
      </c>
      <c r="H90" s="427"/>
      <c r="I90" s="424">
        <f t="shared" si="97"/>
        <v>7175978.3600000096</v>
      </c>
      <c r="J90" s="424">
        <v>200000</v>
      </c>
      <c r="K90" s="424">
        <v>0.2</v>
      </c>
      <c r="L90" s="424">
        <f t="shared" si="98"/>
        <v>1435195.672</v>
      </c>
      <c r="M90" s="424">
        <f t="shared" si="99"/>
        <v>1635195.672</v>
      </c>
      <c r="N90" s="424">
        <f t="shared" si="100"/>
        <v>2186150.3119999999</v>
      </c>
      <c r="O90" s="424">
        <f t="shared" si="101"/>
        <v>5540782.6880000103</v>
      </c>
      <c r="P90" s="424">
        <f t="shared" si="102"/>
        <v>21000</v>
      </c>
      <c r="Q90" s="424">
        <f t="shared" si="103"/>
        <v>33000</v>
      </c>
      <c r="R90" s="424">
        <f t="shared" si="104"/>
        <v>75000</v>
      </c>
      <c r="S90" s="424">
        <f t="shared" si="105"/>
        <v>95000</v>
      </c>
      <c r="T90" s="424">
        <f t="shared" si="106"/>
        <v>336000</v>
      </c>
      <c r="U90" s="424">
        <f t="shared" si="107"/>
        <v>561787.845120001</v>
      </c>
      <c r="V90" s="424">
        <f t="shared" si="108"/>
        <v>1121787.84512</v>
      </c>
      <c r="W90" s="431">
        <v>12</v>
      </c>
      <c r="X90" s="424">
        <f t="shared" si="109"/>
        <v>93482.320426666804</v>
      </c>
      <c r="Y90" s="427"/>
      <c r="Z90" s="873">
        <f t="shared" si="110"/>
        <v>93482.320426666804</v>
      </c>
      <c r="AA90" s="753">
        <v>72764.420906666695</v>
      </c>
      <c r="AB90" s="753">
        <f t="shared" si="111"/>
        <v>20717.899520000101</v>
      </c>
      <c r="AC90" s="436"/>
      <c r="AD90" s="436"/>
      <c r="AE90" s="436"/>
    </row>
    <row r="91" spans="1:31" ht="14.25" x14ac:dyDescent="0.15">
      <c r="A91" s="421">
        <v>81</v>
      </c>
      <c r="B91" s="597" t="s">
        <v>213</v>
      </c>
      <c r="C91" s="424">
        <v>567472.75</v>
      </c>
      <c r="D91" s="423">
        <v>12</v>
      </c>
      <c r="E91" s="424">
        <f t="shared" si="96"/>
        <v>6809673</v>
      </c>
      <c r="F91" s="424">
        <v>93501.975000000006</v>
      </c>
      <c r="G91" s="425">
        <v>477573.84</v>
      </c>
      <c r="H91" s="427"/>
      <c r="I91" s="424">
        <f t="shared" si="97"/>
        <v>6238597.1849999996</v>
      </c>
      <c r="J91" s="424">
        <v>200000</v>
      </c>
      <c r="K91" s="424">
        <v>0.2</v>
      </c>
      <c r="L91" s="424">
        <f t="shared" si="98"/>
        <v>1247719.4369999999</v>
      </c>
      <c r="M91" s="424">
        <f t="shared" si="99"/>
        <v>1447719.4369999999</v>
      </c>
      <c r="N91" s="424">
        <f t="shared" si="100"/>
        <v>2018795.2520000001</v>
      </c>
      <c r="O91" s="424">
        <f t="shared" si="101"/>
        <v>4790877.7479999997</v>
      </c>
      <c r="P91" s="424">
        <f t="shared" si="102"/>
        <v>21000</v>
      </c>
      <c r="Q91" s="424">
        <f t="shared" si="103"/>
        <v>33000</v>
      </c>
      <c r="R91" s="424">
        <f t="shared" si="104"/>
        <v>75000</v>
      </c>
      <c r="S91" s="424">
        <f t="shared" si="105"/>
        <v>95000</v>
      </c>
      <c r="T91" s="424">
        <f t="shared" si="106"/>
        <v>336000</v>
      </c>
      <c r="U91" s="424">
        <f t="shared" si="107"/>
        <v>381810.65951999999</v>
      </c>
      <c r="V91" s="424">
        <f t="shared" si="108"/>
        <v>941810.65951999999</v>
      </c>
      <c r="W91" s="431">
        <v>12</v>
      </c>
      <c r="X91" s="424">
        <f t="shared" si="109"/>
        <v>78484.221626666695</v>
      </c>
      <c r="Y91" s="427"/>
      <c r="Z91" s="873">
        <f t="shared" si="110"/>
        <v>78484.221626666695</v>
      </c>
      <c r="AA91" s="753">
        <v>59711.115255466699</v>
      </c>
      <c r="AB91" s="753">
        <f t="shared" si="111"/>
        <v>18773.1063712</v>
      </c>
      <c r="AC91" s="436"/>
      <c r="AD91" s="436"/>
      <c r="AE91" s="436"/>
    </row>
    <row r="92" spans="1:31" ht="14.25" x14ac:dyDescent="0.15">
      <c r="A92" s="421"/>
      <c r="B92" s="597" t="s">
        <v>217</v>
      </c>
      <c r="C92" s="424">
        <v>542662.66666666698</v>
      </c>
      <c r="D92" s="423">
        <v>12</v>
      </c>
      <c r="E92" s="424">
        <f t="shared" si="96"/>
        <v>6511952</v>
      </c>
      <c r="F92" s="424"/>
      <c r="G92" s="425">
        <v>463356.16000000102</v>
      </c>
      <c r="H92" s="427"/>
      <c r="I92" s="424">
        <f t="shared" si="97"/>
        <v>6048595.8399999999</v>
      </c>
      <c r="J92" s="424">
        <v>200000</v>
      </c>
      <c r="K92" s="424">
        <v>0.2</v>
      </c>
      <c r="L92" s="424">
        <f t="shared" si="98"/>
        <v>1209719.1680000001</v>
      </c>
      <c r="M92" s="424">
        <f t="shared" si="99"/>
        <v>1409719.1680000001</v>
      </c>
      <c r="N92" s="424">
        <f t="shared" si="100"/>
        <v>1873075.328</v>
      </c>
      <c r="O92" s="424">
        <f t="shared" si="101"/>
        <v>4638876.6720000003</v>
      </c>
      <c r="P92" s="424">
        <f t="shared" si="102"/>
        <v>21000</v>
      </c>
      <c r="Q92" s="424">
        <f t="shared" si="103"/>
        <v>33000</v>
      </c>
      <c r="R92" s="424">
        <f t="shared" si="104"/>
        <v>75000</v>
      </c>
      <c r="S92" s="424">
        <f t="shared" si="105"/>
        <v>95000</v>
      </c>
      <c r="T92" s="424">
        <f t="shared" si="106"/>
        <v>336000</v>
      </c>
      <c r="U92" s="424">
        <f t="shared" si="107"/>
        <v>345330.40128000098</v>
      </c>
      <c r="V92" s="424">
        <f t="shared" si="108"/>
        <v>905330.40128000104</v>
      </c>
      <c r="W92" s="431">
        <v>12</v>
      </c>
      <c r="X92" s="424">
        <f t="shared" si="109"/>
        <v>75444.2001066667</v>
      </c>
      <c r="Y92" s="427"/>
      <c r="Z92" s="873">
        <f t="shared" si="110"/>
        <v>75444.2001066667</v>
      </c>
      <c r="AA92" s="753">
        <v>56938.068906666696</v>
      </c>
      <c r="AB92" s="753">
        <f t="shared" si="111"/>
        <v>18506.1312</v>
      </c>
      <c r="AC92" s="436"/>
      <c r="AD92" s="436"/>
      <c r="AE92" s="436"/>
    </row>
    <row r="93" spans="1:31" ht="14.25" x14ac:dyDescent="0.15">
      <c r="A93" s="421"/>
      <c r="B93" s="597" t="s">
        <v>219</v>
      </c>
      <c r="C93" s="424">
        <v>450135.83333333401</v>
      </c>
      <c r="D93" s="423">
        <v>12</v>
      </c>
      <c r="E93" s="424">
        <f t="shared" si="96"/>
        <v>5401630.0000000102</v>
      </c>
      <c r="F93" s="424"/>
      <c r="G93" s="425">
        <v>374530.4</v>
      </c>
      <c r="H93" s="427"/>
      <c r="I93" s="424">
        <f t="shared" si="97"/>
        <v>5027099.6000000099</v>
      </c>
      <c r="J93" s="424">
        <v>200000</v>
      </c>
      <c r="K93" s="424">
        <v>0.2</v>
      </c>
      <c r="L93" s="424">
        <f t="shared" si="98"/>
        <v>1005419.92</v>
      </c>
      <c r="M93" s="424">
        <f t="shared" si="99"/>
        <v>1205419.92</v>
      </c>
      <c r="N93" s="424">
        <f t="shared" si="100"/>
        <v>1579950.32</v>
      </c>
      <c r="O93" s="424">
        <f t="shared" si="101"/>
        <v>3821679.6800000099</v>
      </c>
      <c r="P93" s="424">
        <f t="shared" si="102"/>
        <v>21000</v>
      </c>
      <c r="Q93" s="424">
        <f t="shared" si="103"/>
        <v>33000</v>
      </c>
      <c r="R93" s="424">
        <f t="shared" si="104"/>
        <v>75000</v>
      </c>
      <c r="S93" s="424">
        <f t="shared" si="105"/>
        <v>95000</v>
      </c>
      <c r="T93" s="424">
        <f t="shared" si="106"/>
        <v>336000</v>
      </c>
      <c r="U93" s="424">
        <f t="shared" si="107"/>
        <v>149203.12320000201</v>
      </c>
      <c r="V93" s="424">
        <f t="shared" si="108"/>
        <v>709203.12320000201</v>
      </c>
      <c r="W93" s="431">
        <v>12</v>
      </c>
      <c r="X93" s="424">
        <f t="shared" si="109"/>
        <v>59100.260266666803</v>
      </c>
      <c r="Y93" s="427"/>
      <c r="Z93" s="873">
        <f t="shared" si="110"/>
        <v>59100.260266666803</v>
      </c>
      <c r="AA93" s="753">
        <v>43763.907226666699</v>
      </c>
      <c r="AB93" s="753">
        <f t="shared" si="111"/>
        <v>15336.3530400001</v>
      </c>
      <c r="AC93" s="436"/>
      <c r="AD93" s="436"/>
      <c r="AE93" s="436"/>
    </row>
    <row r="94" spans="1:31" ht="14.25" x14ac:dyDescent="0.15">
      <c r="A94" s="421">
        <v>83</v>
      </c>
      <c r="B94" s="812"/>
      <c r="C94" s="424"/>
      <c r="AA94" s="244"/>
      <c r="AB94" s="753"/>
      <c r="AC94" s="436"/>
      <c r="AD94" s="436"/>
      <c r="AE94" s="436"/>
    </row>
    <row r="95" spans="1:31" ht="14.25" x14ac:dyDescent="0.15">
      <c r="A95" s="421">
        <v>84</v>
      </c>
      <c r="B95" s="809" t="s">
        <v>221</v>
      </c>
      <c r="C95" s="424"/>
      <c r="AA95" s="244"/>
      <c r="AB95" s="753"/>
      <c r="AC95" s="436"/>
      <c r="AD95" s="436"/>
      <c r="AE95" s="436"/>
    </row>
    <row r="96" spans="1:31" ht="14.25" x14ac:dyDescent="0.15">
      <c r="A96" s="421">
        <v>85</v>
      </c>
      <c r="B96" s="597" t="s">
        <v>222</v>
      </c>
      <c r="C96" s="424">
        <v>1947106.41666666</v>
      </c>
      <c r="D96" s="423">
        <v>12</v>
      </c>
      <c r="E96" s="424">
        <f t="shared" ref="E96:E102" si="112">C96*D96</f>
        <v>23365276.999999899</v>
      </c>
      <c r="F96" s="424"/>
      <c r="G96" s="425">
        <v>1677222.16</v>
      </c>
      <c r="H96" s="427"/>
      <c r="I96" s="424">
        <f t="shared" ref="I96:I102" si="113">E96-F96-G96-H96</f>
        <v>21688054.839999899</v>
      </c>
      <c r="J96" s="424">
        <v>200000</v>
      </c>
      <c r="K96" s="424">
        <v>0.2</v>
      </c>
      <c r="L96" s="424">
        <f t="shared" ref="L96:L102" si="114">I96*K96</f>
        <v>4337610.9679999799</v>
      </c>
      <c r="M96" s="424">
        <f t="shared" ref="M96:M102" si="115">J96+L96</f>
        <v>4537610.9679999799</v>
      </c>
      <c r="N96" s="424">
        <f t="shared" ref="N96:N102" si="116">F96+G96+H96+M96</f>
        <v>6214833.12799998</v>
      </c>
      <c r="O96" s="424">
        <f t="shared" ref="O96:O102" si="117">E96-N96</f>
        <v>17150443.871999901</v>
      </c>
      <c r="P96" s="424">
        <f t="shared" ref="P96:P102" si="118">IF(O96&lt;300000,0.07*O96,21000)</f>
        <v>21000</v>
      </c>
      <c r="Q96" s="424">
        <f t="shared" ref="Q96:Q102" si="119">IF((O96-300000)&lt;0,0,IF((O96-300000)&lt;300000,0.11*(O96-300000),33000))</f>
        <v>33000</v>
      </c>
      <c r="R96" s="424">
        <f t="shared" ref="R96:R102" si="120">IF((O96-600000)&lt;0,0,IF((O96-600000)&lt;500000,0.15*(O96-600000),75000))</f>
        <v>75000</v>
      </c>
      <c r="S96" s="424">
        <f t="shared" ref="S96:S102" si="121">IF((O96-1100000)&lt;0,0,IF((O96-1100000)&lt;500000,0.19*(O96-1100000),95000))</f>
        <v>95000</v>
      </c>
      <c r="T96" s="424">
        <f t="shared" ref="T96:T102" si="122">IF((O96-1600000)&lt;0,0,IF((O96-1600000)&lt;1600000,0.21*(O96-1600000),336000))</f>
        <v>336000</v>
      </c>
      <c r="U96" s="424">
        <f t="shared" ref="U96:U98" si="123">24%*(O96-3200000)</f>
        <v>3348106.5292799799</v>
      </c>
      <c r="V96" s="424">
        <f t="shared" ref="V96:V102" si="124">P96+Q96+R96+S96+T96+U96</f>
        <v>3908106.5292799799</v>
      </c>
      <c r="W96" s="431">
        <v>12</v>
      </c>
      <c r="X96" s="424">
        <f t="shared" ref="X96:X102" si="125">V96/W96</f>
        <v>325675.54410666501</v>
      </c>
      <c r="Y96" s="427"/>
      <c r="Z96" s="873">
        <f t="shared" ref="Z96:Z102" si="126">X96</f>
        <v>325675.54410666501</v>
      </c>
      <c r="AA96" s="753">
        <v>270672.24746666697</v>
      </c>
      <c r="AB96" s="753">
        <f t="shared" ref="AB96:AB102" si="127">Z96-AA96</f>
        <v>55003.2966399984</v>
      </c>
      <c r="AC96" s="436"/>
      <c r="AD96" s="436"/>
      <c r="AE96" s="436"/>
    </row>
    <row r="97" spans="1:31" ht="14.25" x14ac:dyDescent="0.15">
      <c r="A97" s="421">
        <v>86</v>
      </c>
      <c r="B97" s="597" t="s">
        <v>224</v>
      </c>
      <c r="C97" s="424">
        <v>1085306.75</v>
      </c>
      <c r="D97" s="423">
        <v>12</v>
      </c>
      <c r="E97" s="424">
        <f t="shared" si="112"/>
        <v>13023681</v>
      </c>
      <c r="F97" s="424">
        <v>166400.85</v>
      </c>
      <c r="G97" s="425">
        <v>869094.48</v>
      </c>
      <c r="H97" s="427"/>
      <c r="I97" s="424">
        <f t="shared" si="113"/>
        <v>11988185.67</v>
      </c>
      <c r="J97" s="424">
        <v>200000</v>
      </c>
      <c r="K97" s="424">
        <v>0.2</v>
      </c>
      <c r="L97" s="424">
        <f t="shared" si="114"/>
        <v>2397637.1340000001</v>
      </c>
      <c r="M97" s="424">
        <f t="shared" si="115"/>
        <v>2597637.1340000001</v>
      </c>
      <c r="N97" s="424">
        <f t="shared" si="116"/>
        <v>3633132.4640000002</v>
      </c>
      <c r="O97" s="424">
        <f t="shared" si="117"/>
        <v>9390548.5360000003</v>
      </c>
      <c r="P97" s="424">
        <f t="shared" si="118"/>
        <v>21000</v>
      </c>
      <c r="Q97" s="424">
        <f t="shared" si="119"/>
        <v>33000</v>
      </c>
      <c r="R97" s="424">
        <f t="shared" si="120"/>
        <v>75000</v>
      </c>
      <c r="S97" s="424">
        <f t="shared" si="121"/>
        <v>95000</v>
      </c>
      <c r="T97" s="424">
        <f t="shared" si="122"/>
        <v>336000</v>
      </c>
      <c r="U97" s="424">
        <f t="shared" si="123"/>
        <v>1485731.64864</v>
      </c>
      <c r="V97" s="424">
        <f t="shared" si="124"/>
        <v>2045731.64864</v>
      </c>
      <c r="W97" s="431">
        <v>12</v>
      </c>
      <c r="X97" s="424">
        <f t="shared" si="125"/>
        <v>170477.63738666699</v>
      </c>
      <c r="Y97" s="427"/>
      <c r="Z97" s="873">
        <f t="shared" si="126"/>
        <v>170477.63738666699</v>
      </c>
      <c r="AA97" s="753">
        <v>147687.52761066699</v>
      </c>
      <c r="AB97" s="753">
        <f t="shared" si="127"/>
        <v>22790.109775999699</v>
      </c>
      <c r="AC97" s="436"/>
      <c r="AD97" s="436"/>
      <c r="AE97" s="436"/>
    </row>
    <row r="98" spans="1:31" ht="14.25" x14ac:dyDescent="0.15">
      <c r="A98" s="421">
        <v>87</v>
      </c>
      <c r="B98" s="597" t="s">
        <v>226</v>
      </c>
      <c r="C98" s="424">
        <v>702784.27185833303</v>
      </c>
      <c r="D98" s="423">
        <v>12</v>
      </c>
      <c r="E98" s="424">
        <f t="shared" si="112"/>
        <v>8433411.2622999996</v>
      </c>
      <c r="F98" s="424">
        <v>101319.25</v>
      </c>
      <c r="G98" s="425">
        <v>519697.27999999898</v>
      </c>
      <c r="H98" s="427"/>
      <c r="I98" s="424">
        <f t="shared" si="113"/>
        <v>7812394.7323000003</v>
      </c>
      <c r="J98" s="424">
        <v>200000</v>
      </c>
      <c r="K98" s="424">
        <v>0.2</v>
      </c>
      <c r="L98" s="424">
        <f t="shared" si="114"/>
        <v>1562478.94646</v>
      </c>
      <c r="M98" s="424">
        <f t="shared" si="115"/>
        <v>1762478.94646</v>
      </c>
      <c r="N98" s="424">
        <f t="shared" si="116"/>
        <v>2383495.47646</v>
      </c>
      <c r="O98" s="424">
        <f t="shared" si="117"/>
        <v>6049915.78584</v>
      </c>
      <c r="P98" s="424">
        <f t="shared" si="118"/>
        <v>21000</v>
      </c>
      <c r="Q98" s="424">
        <f t="shared" si="119"/>
        <v>33000</v>
      </c>
      <c r="R98" s="424">
        <f t="shared" si="120"/>
        <v>75000</v>
      </c>
      <c r="S98" s="424">
        <f t="shared" si="121"/>
        <v>95000</v>
      </c>
      <c r="T98" s="424">
        <f t="shared" si="122"/>
        <v>336000</v>
      </c>
      <c r="U98" s="424">
        <f t="shared" si="123"/>
        <v>683979.78860159905</v>
      </c>
      <c r="V98" s="424">
        <f t="shared" si="124"/>
        <v>1243979.7886016001</v>
      </c>
      <c r="W98" s="431">
        <v>12</v>
      </c>
      <c r="X98" s="424">
        <f t="shared" si="125"/>
        <v>103664.982383467</v>
      </c>
      <c r="Y98" s="427"/>
      <c r="Z98" s="873">
        <f t="shared" si="126"/>
        <v>103664.982383467</v>
      </c>
      <c r="AA98" s="753">
        <v>87575.782703466699</v>
      </c>
      <c r="AB98" s="753">
        <f t="shared" si="127"/>
        <v>16089.1996799999</v>
      </c>
      <c r="AC98" s="436"/>
      <c r="AD98" s="436"/>
      <c r="AE98" s="436"/>
    </row>
    <row r="99" spans="1:31" ht="14.25" x14ac:dyDescent="0.15">
      <c r="A99" s="421">
        <v>88</v>
      </c>
      <c r="B99" s="597" t="s">
        <v>228</v>
      </c>
      <c r="C99" s="424">
        <v>701171.44998833304</v>
      </c>
      <c r="D99" s="423">
        <v>12</v>
      </c>
      <c r="E99" s="424">
        <f t="shared" si="112"/>
        <v>8414057.3998600002</v>
      </c>
      <c r="F99" s="424"/>
      <c r="G99" s="425">
        <v>519697.27999999898</v>
      </c>
      <c r="H99" s="427"/>
      <c r="I99" s="424">
        <f t="shared" si="113"/>
        <v>7894360.11986</v>
      </c>
      <c r="J99" s="424">
        <v>200000</v>
      </c>
      <c r="K99" s="424">
        <v>0.2</v>
      </c>
      <c r="L99" s="424">
        <f t="shared" si="114"/>
        <v>1578872.023972</v>
      </c>
      <c r="M99" s="424">
        <f t="shared" si="115"/>
        <v>1778872.023972</v>
      </c>
      <c r="N99" s="424">
        <f t="shared" si="116"/>
        <v>2298569.3039719998</v>
      </c>
      <c r="O99" s="424">
        <f t="shared" si="117"/>
        <v>6115488.095888</v>
      </c>
      <c r="P99" s="424">
        <f t="shared" si="118"/>
        <v>21000</v>
      </c>
      <c r="Q99" s="424">
        <f t="shared" si="119"/>
        <v>33000</v>
      </c>
      <c r="R99" s="424">
        <f t="shared" si="120"/>
        <v>75000</v>
      </c>
      <c r="S99" s="424">
        <f t="shared" si="121"/>
        <v>95000</v>
      </c>
      <c r="T99" s="424">
        <f t="shared" si="122"/>
        <v>336000</v>
      </c>
      <c r="U99" s="424">
        <f t="shared" ref="U99:U102" si="128">0.24*(O99-3200000)</f>
        <v>699717.143013119</v>
      </c>
      <c r="V99" s="424">
        <f t="shared" si="124"/>
        <v>1259717.1430131199</v>
      </c>
      <c r="W99" s="431">
        <v>12</v>
      </c>
      <c r="X99" s="424">
        <f t="shared" si="125"/>
        <v>104976.42858442701</v>
      </c>
      <c r="Y99" s="427"/>
      <c r="Z99" s="873">
        <f t="shared" si="126"/>
        <v>104976.42858442701</v>
      </c>
      <c r="AA99" s="753">
        <v>87392.5495444267</v>
      </c>
      <c r="AB99" s="753">
        <f t="shared" si="127"/>
        <v>17583.879039999902</v>
      </c>
      <c r="AC99" s="436"/>
      <c r="AD99" s="436"/>
      <c r="AE99" s="436"/>
    </row>
    <row r="100" spans="1:31" ht="14.25" x14ac:dyDescent="0.15">
      <c r="A100" s="421">
        <v>89</v>
      </c>
      <c r="B100" s="597" t="s">
        <v>230</v>
      </c>
      <c r="C100" s="424">
        <v>455283.86414666701</v>
      </c>
      <c r="D100" s="423">
        <v>12</v>
      </c>
      <c r="E100" s="424">
        <f t="shared" si="112"/>
        <v>5463406.3697600001</v>
      </c>
      <c r="F100" s="424"/>
      <c r="G100" s="425">
        <v>316752.40000000101</v>
      </c>
      <c r="H100" s="427"/>
      <c r="I100" s="424">
        <f t="shared" si="113"/>
        <v>5146653.9697599998</v>
      </c>
      <c r="J100" s="424">
        <v>200000</v>
      </c>
      <c r="K100" s="424">
        <v>0.2</v>
      </c>
      <c r="L100" s="424">
        <f t="shared" si="114"/>
        <v>1029330.793952</v>
      </c>
      <c r="M100" s="424">
        <f t="shared" si="115"/>
        <v>1229330.7939520001</v>
      </c>
      <c r="N100" s="424">
        <f t="shared" si="116"/>
        <v>1546083.193952</v>
      </c>
      <c r="O100" s="424">
        <f t="shared" si="117"/>
        <v>3917323.1758079999</v>
      </c>
      <c r="P100" s="424">
        <f t="shared" si="118"/>
        <v>21000</v>
      </c>
      <c r="Q100" s="424">
        <f t="shared" si="119"/>
        <v>33000</v>
      </c>
      <c r="R100" s="424">
        <f t="shared" si="120"/>
        <v>75000</v>
      </c>
      <c r="S100" s="424">
        <f t="shared" si="121"/>
        <v>95000</v>
      </c>
      <c r="T100" s="424">
        <f t="shared" si="122"/>
        <v>336000</v>
      </c>
      <c r="U100" s="424">
        <f t="shared" si="128"/>
        <v>172157.56219392101</v>
      </c>
      <c r="V100" s="424">
        <f t="shared" si="124"/>
        <v>732157.56219392095</v>
      </c>
      <c r="W100" s="431">
        <v>12</v>
      </c>
      <c r="X100" s="424">
        <f t="shared" si="125"/>
        <v>61013.130182826702</v>
      </c>
      <c r="Y100" s="427"/>
      <c r="Z100" s="873">
        <f t="shared" si="126"/>
        <v>61013.130182826702</v>
      </c>
      <c r="AA100" s="753">
        <v>46740.264902826697</v>
      </c>
      <c r="AB100" s="753">
        <f t="shared" si="127"/>
        <v>14272.86528</v>
      </c>
      <c r="AC100" s="436"/>
      <c r="AD100" s="436"/>
      <c r="AE100" s="436"/>
    </row>
    <row r="101" spans="1:31" ht="27" x14ac:dyDescent="0.15">
      <c r="A101" s="421"/>
      <c r="B101" s="313" t="s">
        <v>233</v>
      </c>
      <c r="C101" s="424">
        <v>466741.530813333</v>
      </c>
      <c r="D101" s="423">
        <v>12</v>
      </c>
      <c r="E101" s="424">
        <f t="shared" si="112"/>
        <v>5600898.3697600001</v>
      </c>
      <c r="F101" s="424"/>
      <c r="G101" s="425">
        <v>317190.799999999</v>
      </c>
      <c r="H101" s="427"/>
      <c r="I101" s="424">
        <f t="shared" si="113"/>
        <v>5283707.5697600003</v>
      </c>
      <c r="J101" s="424">
        <v>200000</v>
      </c>
      <c r="K101" s="424">
        <v>0.2</v>
      </c>
      <c r="L101" s="424">
        <f t="shared" si="114"/>
        <v>1056741.5139520001</v>
      </c>
      <c r="M101" s="424">
        <f t="shared" si="115"/>
        <v>1256741.5139520001</v>
      </c>
      <c r="N101" s="424">
        <f t="shared" si="116"/>
        <v>1573932.3139520001</v>
      </c>
      <c r="O101" s="424">
        <f t="shared" si="117"/>
        <v>4026966.0558079998</v>
      </c>
      <c r="P101" s="424">
        <f t="shared" si="118"/>
        <v>21000</v>
      </c>
      <c r="Q101" s="424">
        <f t="shared" si="119"/>
        <v>33000</v>
      </c>
      <c r="R101" s="424">
        <f t="shared" si="120"/>
        <v>75000</v>
      </c>
      <c r="S101" s="424">
        <f t="shared" si="121"/>
        <v>95000</v>
      </c>
      <c r="T101" s="424">
        <f t="shared" si="122"/>
        <v>336000</v>
      </c>
      <c r="U101" s="424">
        <f t="shared" si="128"/>
        <v>198471.85339391901</v>
      </c>
      <c r="V101" s="424">
        <f t="shared" si="124"/>
        <v>758471.85339391895</v>
      </c>
      <c r="W101" s="431">
        <v>12</v>
      </c>
      <c r="X101" s="424">
        <f t="shared" si="125"/>
        <v>63205.987782826604</v>
      </c>
      <c r="Y101" s="427"/>
      <c r="Z101" s="873">
        <f t="shared" si="126"/>
        <v>63205.987782826604</v>
      </c>
      <c r="AA101" s="753">
        <v>87883.38</v>
      </c>
      <c r="AB101" s="753">
        <f t="shared" si="127"/>
        <v>-24677.392217173401</v>
      </c>
      <c r="AC101" s="436"/>
      <c r="AD101" s="436"/>
      <c r="AE101" s="436"/>
    </row>
    <row r="102" spans="1:31" ht="14.25" x14ac:dyDescent="0.15">
      <c r="A102" s="421"/>
      <c r="B102" s="313" t="s">
        <v>234</v>
      </c>
      <c r="C102" s="424">
        <v>433486.862111667</v>
      </c>
      <c r="D102" s="423">
        <v>12</v>
      </c>
      <c r="E102" s="424">
        <f t="shared" si="112"/>
        <v>5201842.3453400005</v>
      </c>
      <c r="G102" s="425">
        <v>296563.84000000102</v>
      </c>
      <c r="H102" s="427"/>
      <c r="I102" s="424">
        <f t="shared" si="113"/>
        <v>4905278.5053399997</v>
      </c>
      <c r="J102" s="424">
        <v>200000</v>
      </c>
      <c r="K102" s="424">
        <v>0.2</v>
      </c>
      <c r="L102" s="424">
        <f t="shared" si="114"/>
        <v>981055.70106800098</v>
      </c>
      <c r="M102" s="424">
        <f t="shared" si="115"/>
        <v>1181055.7010679999</v>
      </c>
      <c r="N102" s="424">
        <f t="shared" si="116"/>
        <v>1477619.541068</v>
      </c>
      <c r="O102" s="424">
        <f t="shared" si="117"/>
        <v>3724222.8042720002</v>
      </c>
      <c r="P102" s="424">
        <f t="shared" si="118"/>
        <v>21000</v>
      </c>
      <c r="Q102" s="424">
        <f t="shared" si="119"/>
        <v>33000</v>
      </c>
      <c r="R102" s="424">
        <f t="shared" si="120"/>
        <v>75000</v>
      </c>
      <c r="S102" s="424">
        <f t="shared" si="121"/>
        <v>95000</v>
      </c>
      <c r="T102" s="424">
        <f t="shared" si="122"/>
        <v>336000</v>
      </c>
      <c r="U102" s="424">
        <f t="shared" si="128"/>
        <v>125813.473025281</v>
      </c>
      <c r="V102" s="424">
        <f t="shared" si="124"/>
        <v>685813.47302528098</v>
      </c>
      <c r="W102" s="431">
        <v>12</v>
      </c>
      <c r="X102" s="424">
        <f t="shared" si="125"/>
        <v>57151.122752106698</v>
      </c>
      <c r="Y102" s="427"/>
      <c r="Z102" s="873">
        <f t="shared" si="126"/>
        <v>57151.122752106698</v>
      </c>
      <c r="AA102" s="753">
        <v>43740.256541426701</v>
      </c>
      <c r="AB102" s="753">
        <f t="shared" si="127"/>
        <v>13410.86621068</v>
      </c>
      <c r="AC102" s="436"/>
      <c r="AD102" s="436"/>
      <c r="AE102" s="436"/>
    </row>
    <row r="103" spans="1:31" ht="14.25" x14ac:dyDescent="0.15">
      <c r="A103" s="421">
        <v>90</v>
      </c>
      <c r="B103" s="809"/>
      <c r="C103" s="424"/>
      <c r="G103" s="425"/>
      <c r="U103" s="424"/>
      <c r="AA103" s="244"/>
      <c r="AB103" s="753"/>
      <c r="AC103" s="436"/>
      <c r="AD103" s="436"/>
      <c r="AE103" s="436"/>
    </row>
    <row r="104" spans="1:31" ht="14.25" x14ac:dyDescent="0.15">
      <c r="A104" s="421">
        <v>91</v>
      </c>
      <c r="B104" s="809" t="s">
        <v>235</v>
      </c>
      <c r="C104" s="424"/>
      <c r="G104" s="425"/>
      <c r="U104" s="424"/>
      <c r="AA104" s="244"/>
      <c r="AB104" s="753"/>
      <c r="AC104" s="436"/>
      <c r="AD104" s="436"/>
      <c r="AE104" s="436"/>
    </row>
    <row r="105" spans="1:31" ht="14.25" x14ac:dyDescent="0.15">
      <c r="A105" s="421">
        <v>92</v>
      </c>
      <c r="B105" s="597" t="s">
        <v>236</v>
      </c>
      <c r="C105" s="424">
        <v>592662.66666666698</v>
      </c>
      <c r="D105" s="423">
        <v>12</v>
      </c>
      <c r="E105" s="424">
        <f t="shared" ref="E105:E107" si="129">C105*D105</f>
        <v>7111952</v>
      </c>
      <c r="F105" s="424"/>
      <c r="G105" s="425">
        <v>463356.16000000102</v>
      </c>
      <c r="H105" s="427"/>
      <c r="I105" s="424">
        <f t="shared" ref="I105:I107" si="130">E105-F105-G105-H105</f>
        <v>6648595.8399999999</v>
      </c>
      <c r="J105" s="424">
        <v>200000</v>
      </c>
      <c r="K105" s="424">
        <v>0.2</v>
      </c>
      <c r="L105" s="424">
        <f t="shared" ref="L105:L107" si="131">I105*K105</f>
        <v>1329719.1680000001</v>
      </c>
      <c r="M105" s="424">
        <f t="shared" ref="M105:M107" si="132">J105+L105</f>
        <v>1529719.1680000001</v>
      </c>
      <c r="N105" s="424">
        <f t="shared" ref="N105:N107" si="133">F105+G105+H105+M105</f>
        <v>1993075.328</v>
      </c>
      <c r="O105" s="424">
        <f t="shared" ref="O105:O107" si="134">E105-N105</f>
        <v>5118876.6720000003</v>
      </c>
      <c r="P105" s="424">
        <f t="shared" ref="P105:P107" si="135">IF(O105&lt;300000,0.07*O105,21000)</f>
        <v>21000</v>
      </c>
      <c r="Q105" s="424">
        <f t="shared" ref="Q105:Q107" si="136">IF((O105-300000)&lt;0,0,IF((O105-300000)&lt;300000,0.11*(O105-300000),33000))</f>
        <v>33000</v>
      </c>
      <c r="R105" s="424">
        <f t="shared" ref="R105:R107" si="137">IF((O105-600000)&lt;0,0,IF((O105-600000)&lt;500000,0.15*(O105-600000),75000))</f>
        <v>75000</v>
      </c>
      <c r="S105" s="424">
        <f t="shared" ref="S105:S107" si="138">IF((O105-1100000)&lt;0,0,IF((O105-1100000)&lt;500000,0.19*(O105-1100000),95000))</f>
        <v>95000</v>
      </c>
      <c r="T105" s="424">
        <f t="shared" ref="T105:T107" si="139">IF((O105-1600000)&lt;0,0,IF((O105-1600000)&lt;1600000,0.21*(O105-1600000),336000))</f>
        <v>336000</v>
      </c>
      <c r="U105" s="424">
        <f t="shared" ref="U105:U107" si="140">0.24*(O105-3200000)</f>
        <v>460530.40128000098</v>
      </c>
      <c r="V105" s="424">
        <f t="shared" ref="V105:V107" si="141">P105+Q105+R105+S105+T105+U105</f>
        <v>1020530.40128</v>
      </c>
      <c r="W105" s="431">
        <v>12</v>
      </c>
      <c r="X105" s="424">
        <f t="shared" ref="X105:X107" si="142">V105/W105</f>
        <v>85044.2001066667</v>
      </c>
      <c r="Y105" s="427"/>
      <c r="Z105" s="873">
        <f t="shared" ref="Z105:Z107" si="143">X105</f>
        <v>85044.2001066667</v>
      </c>
      <c r="AA105" s="753">
        <v>66538.068906666696</v>
      </c>
      <c r="AB105" s="753">
        <f t="shared" ref="AB105:AB107" si="144">Z105-AA105</f>
        <v>18506.1312</v>
      </c>
      <c r="AC105" s="436"/>
      <c r="AD105" s="436"/>
      <c r="AE105" s="436"/>
    </row>
    <row r="106" spans="1:31" ht="14.25" x14ac:dyDescent="0.15">
      <c r="A106" s="421">
        <v>93</v>
      </c>
      <c r="B106" s="597" t="s">
        <v>238</v>
      </c>
      <c r="C106" s="424">
        <v>578828.16666666698</v>
      </c>
      <c r="D106" s="423">
        <v>12</v>
      </c>
      <c r="E106" s="424">
        <f t="shared" si="129"/>
        <v>6945938</v>
      </c>
      <c r="F106" s="424"/>
      <c r="G106" s="425">
        <v>450075.04000000103</v>
      </c>
      <c r="H106" s="427"/>
      <c r="I106" s="424">
        <f t="shared" si="130"/>
        <v>6495862.96</v>
      </c>
      <c r="J106" s="424">
        <v>200000</v>
      </c>
      <c r="K106" s="424">
        <v>0.2</v>
      </c>
      <c r="L106" s="424">
        <f t="shared" si="131"/>
        <v>1299172.5919999999</v>
      </c>
      <c r="M106" s="424">
        <f t="shared" si="132"/>
        <v>1499172.5919999999</v>
      </c>
      <c r="N106" s="424">
        <f t="shared" si="133"/>
        <v>1949247.632</v>
      </c>
      <c r="O106" s="424">
        <f t="shared" si="134"/>
        <v>4996690.3679999998</v>
      </c>
      <c r="P106" s="424">
        <f t="shared" si="135"/>
        <v>21000</v>
      </c>
      <c r="Q106" s="424">
        <f t="shared" si="136"/>
        <v>33000</v>
      </c>
      <c r="R106" s="424">
        <f t="shared" si="137"/>
        <v>75000</v>
      </c>
      <c r="S106" s="424">
        <f t="shared" si="138"/>
        <v>95000</v>
      </c>
      <c r="T106" s="424">
        <f t="shared" si="139"/>
        <v>336000</v>
      </c>
      <c r="U106" s="424">
        <f t="shared" si="140"/>
        <v>431205.68832000101</v>
      </c>
      <c r="V106" s="424">
        <f t="shared" si="141"/>
        <v>991205.68832000101</v>
      </c>
      <c r="W106" s="431">
        <v>12</v>
      </c>
      <c r="X106" s="424">
        <f t="shared" si="142"/>
        <v>82600.474026666707</v>
      </c>
      <c r="Y106" s="427"/>
      <c r="Z106" s="873">
        <f t="shared" si="143"/>
        <v>82600.474026666707</v>
      </c>
      <c r="AA106" s="753">
        <v>66538.068906666696</v>
      </c>
      <c r="AB106" s="753">
        <f t="shared" si="144"/>
        <v>16062.405119999999</v>
      </c>
      <c r="AC106" s="436"/>
      <c r="AD106" s="436"/>
      <c r="AE106" s="436"/>
    </row>
    <row r="107" spans="1:31" ht="14.25" x14ac:dyDescent="0.15">
      <c r="A107" s="421">
        <v>94</v>
      </c>
      <c r="B107" s="597" t="s">
        <v>177</v>
      </c>
      <c r="C107" s="430">
        <v>552846.58333333395</v>
      </c>
      <c r="D107" s="423">
        <v>12</v>
      </c>
      <c r="E107" s="424">
        <f t="shared" si="129"/>
        <v>6634159.0000000102</v>
      </c>
      <c r="F107" s="424">
        <v>90896.225000000093</v>
      </c>
      <c r="G107" s="425">
        <v>463532.72</v>
      </c>
      <c r="H107" s="427"/>
      <c r="I107" s="424">
        <f t="shared" si="130"/>
        <v>6079730.0550000099</v>
      </c>
      <c r="J107" s="424">
        <v>200000</v>
      </c>
      <c r="K107" s="424">
        <v>0.2</v>
      </c>
      <c r="L107" s="424">
        <f t="shared" si="131"/>
        <v>1215946.0109999999</v>
      </c>
      <c r="M107" s="424">
        <f t="shared" si="132"/>
        <v>1415946.0109999999</v>
      </c>
      <c r="N107" s="424">
        <f t="shared" si="133"/>
        <v>1970374.956</v>
      </c>
      <c r="O107" s="424">
        <f t="shared" si="134"/>
        <v>4663784.04400001</v>
      </c>
      <c r="P107" s="424">
        <f t="shared" si="135"/>
        <v>21000</v>
      </c>
      <c r="Q107" s="424">
        <f t="shared" si="136"/>
        <v>33000</v>
      </c>
      <c r="R107" s="424">
        <f t="shared" si="137"/>
        <v>75000</v>
      </c>
      <c r="S107" s="424">
        <f t="shared" si="138"/>
        <v>95000</v>
      </c>
      <c r="T107" s="424">
        <f t="shared" si="139"/>
        <v>336000</v>
      </c>
      <c r="U107" s="424">
        <f t="shared" si="140"/>
        <v>351308.17056000099</v>
      </c>
      <c r="V107" s="424">
        <f t="shared" si="141"/>
        <v>911308.17056000105</v>
      </c>
      <c r="W107" s="431">
        <v>12</v>
      </c>
      <c r="X107" s="424">
        <f t="shared" si="142"/>
        <v>75942.347546666802</v>
      </c>
      <c r="Y107" s="427"/>
      <c r="Z107" s="873">
        <f t="shared" si="143"/>
        <v>75942.347546666802</v>
      </c>
      <c r="AA107" s="753">
        <v>59711.115255466699</v>
      </c>
      <c r="AB107" s="753">
        <f t="shared" si="144"/>
        <v>16231.2322912001</v>
      </c>
      <c r="AC107" s="436"/>
      <c r="AD107" s="436"/>
      <c r="AE107" s="436"/>
    </row>
    <row r="108" spans="1:31" ht="14.25" x14ac:dyDescent="0.15">
      <c r="A108" s="421"/>
      <c r="B108" s="597"/>
      <c r="C108" s="430"/>
      <c r="D108" s="423"/>
      <c r="E108" s="424"/>
      <c r="F108" s="424"/>
      <c r="G108" s="425"/>
      <c r="H108" s="427"/>
      <c r="I108" s="424"/>
      <c r="J108" s="424"/>
      <c r="K108" s="424"/>
      <c r="L108" s="424"/>
      <c r="M108" s="424"/>
      <c r="N108" s="424"/>
      <c r="O108" s="424"/>
      <c r="P108" s="424"/>
      <c r="Q108" s="424"/>
      <c r="R108" s="424"/>
      <c r="S108" s="424"/>
      <c r="T108" s="424"/>
      <c r="U108" s="424"/>
      <c r="V108" s="424"/>
      <c r="W108" s="431"/>
      <c r="X108" s="424"/>
      <c r="Y108" s="427"/>
      <c r="Z108" s="873"/>
      <c r="AA108" s="753"/>
      <c r="AB108" s="753"/>
      <c r="AC108" s="436"/>
      <c r="AD108" s="436"/>
      <c r="AE108" s="436"/>
    </row>
    <row r="109" spans="1:31" ht="14.25" x14ac:dyDescent="0.15">
      <c r="A109" s="421">
        <v>91</v>
      </c>
      <c r="B109" s="809" t="s">
        <v>524</v>
      </c>
      <c r="C109" s="424"/>
      <c r="G109" s="425"/>
      <c r="U109" s="424"/>
      <c r="AA109" s="244"/>
      <c r="AB109" s="753"/>
      <c r="AC109" s="436"/>
      <c r="AD109" s="436"/>
      <c r="AE109" s="436"/>
    </row>
    <row r="110" spans="1:31" ht="14.25" x14ac:dyDescent="0.15">
      <c r="A110" s="421">
        <v>92</v>
      </c>
      <c r="B110" s="597" t="s">
        <v>246</v>
      </c>
      <c r="C110" s="424">
        <v>337890.91666666698</v>
      </c>
      <c r="D110" s="423">
        <v>12</v>
      </c>
      <c r="E110" s="424">
        <f t="shared" ref="E110:E124" si="145">C110*D110</f>
        <v>4054691</v>
      </c>
      <c r="F110" s="424"/>
      <c r="G110" s="425">
        <v>276375.28000000102</v>
      </c>
      <c r="H110" s="427"/>
      <c r="I110" s="424">
        <f t="shared" ref="I110:I124" si="146">E110-F110-G110-H110</f>
        <v>3778315.72</v>
      </c>
      <c r="J110" s="424">
        <v>200000</v>
      </c>
      <c r="K110" s="424">
        <v>0.2</v>
      </c>
      <c r="L110" s="424">
        <f t="shared" ref="L110:L124" si="147">I110*K110</f>
        <v>755663.14400000102</v>
      </c>
      <c r="M110" s="424">
        <f t="shared" ref="M110:M124" si="148">J110+L110</f>
        <v>955663.14400000102</v>
      </c>
      <c r="N110" s="424">
        <f t="shared" ref="N110:N124" si="149">F110+G110+H110+M110</f>
        <v>1232038.4240000001</v>
      </c>
      <c r="O110" s="424">
        <f t="shared" ref="O110:O124" si="150">E110-N110</f>
        <v>2822652.5759999999</v>
      </c>
      <c r="P110" s="424">
        <f t="shared" ref="P110:P124" si="151">IF(O110&lt;300000,0.07*O110,21000)</f>
        <v>21000</v>
      </c>
      <c r="Q110" s="424">
        <f t="shared" ref="Q110:Q124" si="152">IF((O110-300000)&lt;0,0,IF((O110-300000)&lt;300000,0.11*(O110-300000),33000))</f>
        <v>33000</v>
      </c>
      <c r="R110" s="424">
        <f t="shared" ref="R110:R124" si="153">IF((O110-600000)&lt;0,0,IF((O110-600000)&lt;500000,0.15*(O110-600000),75000))</f>
        <v>75000</v>
      </c>
      <c r="S110" s="424">
        <f t="shared" ref="S110:S124" si="154">IF((O110-1100000)&lt;0,0,IF((O110-1100000)&lt;500000,0.19*(O110-1100000),95000))</f>
        <v>95000</v>
      </c>
      <c r="T110" s="424">
        <f t="shared" ref="T110:T124" si="155">IF((O110-1600000)&lt;0,0,IF((O110-1600000)&lt;1600000,0.21*(O110-1600000),336000))</f>
        <v>256757.04096000001</v>
      </c>
      <c r="U110" s="424"/>
      <c r="V110" s="424">
        <f t="shared" ref="V110:V124" si="156">P110+Q110+R110+S110+T110+U110</f>
        <v>480757.04096000001</v>
      </c>
      <c r="W110" s="431">
        <v>12</v>
      </c>
      <c r="X110" s="424">
        <f t="shared" ref="X110:X124" si="157">V110/W110</f>
        <v>40063.086746666697</v>
      </c>
      <c r="Y110" s="427"/>
      <c r="Z110" s="873">
        <f t="shared" ref="Z110:Z124" si="158">X110</f>
        <v>40063.086746666697</v>
      </c>
      <c r="AA110" s="753">
        <v>29305.195546666699</v>
      </c>
      <c r="AB110" s="753">
        <f t="shared" ref="AB110:AB124" si="159">Z110-AA110</f>
        <v>10757.8912</v>
      </c>
      <c r="AC110" s="436"/>
      <c r="AD110" s="436"/>
      <c r="AE110" s="436"/>
    </row>
    <row r="111" spans="1:31" ht="14.25" x14ac:dyDescent="0.15">
      <c r="A111" s="421">
        <v>93</v>
      </c>
      <c r="B111" s="597" t="s">
        <v>248</v>
      </c>
      <c r="C111" s="424">
        <v>337890.91666666698</v>
      </c>
      <c r="D111" s="423">
        <v>12</v>
      </c>
      <c r="E111" s="424">
        <f t="shared" si="145"/>
        <v>4054691</v>
      </c>
      <c r="F111" s="424"/>
      <c r="G111" s="425">
        <v>276375.28000000102</v>
      </c>
      <c r="H111" s="427"/>
      <c r="I111" s="424">
        <f t="shared" si="146"/>
        <v>3778315.72</v>
      </c>
      <c r="J111" s="424">
        <v>200000</v>
      </c>
      <c r="K111" s="424">
        <v>0.2</v>
      </c>
      <c r="L111" s="424">
        <f t="shared" si="147"/>
        <v>755663.14400000102</v>
      </c>
      <c r="M111" s="424">
        <f t="shared" si="148"/>
        <v>955663.14400000102</v>
      </c>
      <c r="N111" s="424">
        <f t="shared" si="149"/>
        <v>1232038.4240000001</v>
      </c>
      <c r="O111" s="424">
        <f t="shared" si="150"/>
        <v>2822652.5759999999</v>
      </c>
      <c r="P111" s="424">
        <f t="shared" si="151"/>
        <v>21000</v>
      </c>
      <c r="Q111" s="424">
        <f t="shared" si="152"/>
        <v>33000</v>
      </c>
      <c r="R111" s="424">
        <f t="shared" si="153"/>
        <v>75000</v>
      </c>
      <c r="S111" s="424">
        <f t="shared" si="154"/>
        <v>95000</v>
      </c>
      <c r="T111" s="424">
        <f t="shared" si="155"/>
        <v>256757.04096000001</v>
      </c>
      <c r="U111" s="424"/>
      <c r="V111" s="424">
        <f t="shared" si="156"/>
        <v>480757.04096000001</v>
      </c>
      <c r="W111" s="431">
        <v>12</v>
      </c>
      <c r="X111" s="424">
        <f t="shared" si="157"/>
        <v>40063.086746666697</v>
      </c>
      <c r="Y111" s="427"/>
      <c r="Z111" s="873">
        <f t="shared" si="158"/>
        <v>40063.086746666697</v>
      </c>
      <c r="AA111" s="753">
        <v>29305.195546666699</v>
      </c>
      <c r="AB111" s="753">
        <f t="shared" si="159"/>
        <v>10757.8912</v>
      </c>
      <c r="AC111" s="436"/>
      <c r="AD111" s="436"/>
      <c r="AE111" s="436"/>
    </row>
    <row r="112" spans="1:31" ht="14.25" x14ac:dyDescent="0.15">
      <c r="A112" s="421">
        <v>95</v>
      </c>
      <c r="B112" s="809"/>
      <c r="C112" s="424"/>
      <c r="D112" s="423"/>
      <c r="E112" s="424"/>
      <c r="F112" s="424"/>
      <c r="G112" s="427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873"/>
      <c r="AA112" s="753"/>
      <c r="AB112" s="753"/>
      <c r="AC112" s="436"/>
      <c r="AD112" s="436"/>
      <c r="AE112" s="436"/>
    </row>
    <row r="113" spans="1:31" ht="14.25" x14ac:dyDescent="0.15">
      <c r="A113" s="421">
        <v>96</v>
      </c>
      <c r="B113" s="812"/>
      <c r="C113" s="424"/>
      <c r="U113" s="437"/>
      <c r="AA113" s="244"/>
      <c r="AB113" s="753"/>
      <c r="AC113" s="436"/>
      <c r="AD113" s="436"/>
      <c r="AE113" s="436"/>
    </row>
    <row r="114" spans="1:31" ht="14.25" x14ac:dyDescent="0.15">
      <c r="A114" s="421">
        <v>97</v>
      </c>
      <c r="B114" s="809" t="s">
        <v>250</v>
      </c>
      <c r="C114" s="424"/>
      <c r="U114" s="437"/>
      <c r="AA114" s="244"/>
      <c r="AB114" s="753"/>
      <c r="AC114" s="436"/>
      <c r="AD114" s="436"/>
      <c r="AE114" s="436"/>
    </row>
    <row r="115" spans="1:31" ht="14.25" x14ac:dyDescent="0.15">
      <c r="A115" s="421">
        <v>98</v>
      </c>
      <c r="B115" s="597" t="s">
        <v>251</v>
      </c>
      <c r="C115" s="424">
        <v>1947106.41666666</v>
      </c>
      <c r="D115" s="423">
        <v>12</v>
      </c>
      <c r="E115" s="424">
        <f t="shared" si="145"/>
        <v>23365276.999999899</v>
      </c>
      <c r="F115" s="424">
        <v>326033.12499999901</v>
      </c>
      <c r="G115" s="425">
        <v>1677222.16</v>
      </c>
      <c r="H115" s="427"/>
      <c r="I115" s="424">
        <f t="shared" si="146"/>
        <v>21362021.714999899</v>
      </c>
      <c r="J115" s="424">
        <v>200000</v>
      </c>
      <c r="K115" s="424">
        <v>0.2</v>
      </c>
      <c r="L115" s="424">
        <f t="shared" si="147"/>
        <v>4272404.3429999799</v>
      </c>
      <c r="M115" s="424">
        <f t="shared" si="148"/>
        <v>4472404.3429999799</v>
      </c>
      <c r="N115" s="424">
        <f t="shared" si="149"/>
        <v>6475659.62799998</v>
      </c>
      <c r="O115" s="424">
        <f t="shared" si="150"/>
        <v>16889617.371999901</v>
      </c>
      <c r="P115" s="424">
        <f t="shared" si="151"/>
        <v>21000</v>
      </c>
      <c r="Q115" s="424">
        <f t="shared" si="152"/>
        <v>33000</v>
      </c>
      <c r="R115" s="424">
        <f t="shared" si="153"/>
        <v>75000</v>
      </c>
      <c r="S115" s="424">
        <f t="shared" si="154"/>
        <v>95000</v>
      </c>
      <c r="T115" s="424">
        <f t="shared" si="155"/>
        <v>336000</v>
      </c>
      <c r="U115" s="424">
        <f t="shared" ref="U115:U121" si="160">0.24*(O115-3200000)</f>
        <v>3285508.16927998</v>
      </c>
      <c r="V115" s="424">
        <f t="shared" si="156"/>
        <v>3845508.16927998</v>
      </c>
      <c r="W115" s="431">
        <v>12</v>
      </c>
      <c r="X115" s="424">
        <f t="shared" si="157"/>
        <v>320459.01410666498</v>
      </c>
      <c r="Y115" s="427"/>
      <c r="Z115" s="873">
        <f t="shared" si="158"/>
        <v>320459.01410666498</v>
      </c>
      <c r="AA115" s="753">
        <v>270279.89537066699</v>
      </c>
      <c r="AB115" s="753">
        <f t="shared" si="159"/>
        <v>50179.118735998301</v>
      </c>
      <c r="AC115" s="436"/>
      <c r="AD115" s="436"/>
      <c r="AE115" s="436"/>
    </row>
    <row r="116" spans="1:31" ht="14.25" x14ac:dyDescent="0.15">
      <c r="A116" s="421">
        <v>99</v>
      </c>
      <c r="B116" s="597" t="s">
        <v>253</v>
      </c>
      <c r="C116" s="424">
        <v>1095306.75</v>
      </c>
      <c r="D116" s="423">
        <v>12</v>
      </c>
      <c r="E116" s="424">
        <f t="shared" si="145"/>
        <v>13143681</v>
      </c>
      <c r="F116" s="424">
        <v>166400.85</v>
      </c>
      <c r="G116" s="425">
        <v>869094.48</v>
      </c>
      <c r="H116" s="427"/>
      <c r="I116" s="424">
        <f t="shared" si="146"/>
        <v>12108185.67</v>
      </c>
      <c r="J116" s="424">
        <v>200000</v>
      </c>
      <c r="K116" s="424">
        <v>0.2</v>
      </c>
      <c r="L116" s="424">
        <f t="shared" si="147"/>
        <v>2421637.1340000001</v>
      </c>
      <c r="M116" s="424">
        <f t="shared" si="148"/>
        <v>2621637.1340000001</v>
      </c>
      <c r="N116" s="424">
        <f t="shared" si="149"/>
        <v>3657132.4640000002</v>
      </c>
      <c r="O116" s="424">
        <f t="shared" si="150"/>
        <v>9486548.5360000003</v>
      </c>
      <c r="P116" s="424">
        <f t="shared" si="151"/>
        <v>21000</v>
      </c>
      <c r="Q116" s="424">
        <f t="shared" si="152"/>
        <v>33000</v>
      </c>
      <c r="R116" s="424">
        <f t="shared" si="153"/>
        <v>75000</v>
      </c>
      <c r="S116" s="424">
        <f t="shared" si="154"/>
        <v>95000</v>
      </c>
      <c r="T116" s="424">
        <f t="shared" si="155"/>
        <v>336000</v>
      </c>
      <c r="U116" s="424">
        <f t="shared" si="160"/>
        <v>1508771.64864</v>
      </c>
      <c r="V116" s="424">
        <f t="shared" si="156"/>
        <v>2068771.64864</v>
      </c>
      <c r="W116" s="431">
        <v>12</v>
      </c>
      <c r="X116" s="424">
        <f t="shared" si="157"/>
        <v>172397.63738666699</v>
      </c>
      <c r="Y116" s="427"/>
      <c r="Z116" s="873">
        <f t="shared" si="158"/>
        <v>172397.63738666699</v>
      </c>
      <c r="AA116" s="753">
        <v>143803.32</v>
      </c>
      <c r="AB116" s="753">
        <f t="shared" si="159"/>
        <v>28594.317386666698</v>
      </c>
      <c r="AC116" s="436"/>
      <c r="AD116" s="436"/>
      <c r="AE116" s="436"/>
    </row>
    <row r="117" spans="1:31" ht="14.25" x14ac:dyDescent="0.15">
      <c r="A117" s="421"/>
      <c r="B117" s="593" t="s">
        <v>255</v>
      </c>
      <c r="C117" s="424">
        <v>1072711.08333333</v>
      </c>
      <c r="D117" s="423">
        <v>12</v>
      </c>
      <c r="E117" s="424">
        <f t="shared" si="145"/>
        <v>12872533</v>
      </c>
      <c r="F117" s="424">
        <v>157015.95000000001</v>
      </c>
      <c r="G117" s="425">
        <v>818602.63999999897</v>
      </c>
      <c r="H117" s="427"/>
      <c r="I117" s="424">
        <f t="shared" si="146"/>
        <v>11896914.41</v>
      </c>
      <c r="J117" s="424">
        <v>200000</v>
      </c>
      <c r="K117" s="424">
        <v>0.2</v>
      </c>
      <c r="L117" s="424">
        <f t="shared" si="147"/>
        <v>2379382.88199999</v>
      </c>
      <c r="M117" s="424">
        <f t="shared" si="148"/>
        <v>2579382.88199999</v>
      </c>
      <c r="N117" s="424">
        <f t="shared" si="149"/>
        <v>3555001.4719999898</v>
      </c>
      <c r="O117" s="424">
        <f t="shared" si="150"/>
        <v>9317531.5279999692</v>
      </c>
      <c r="P117" s="424">
        <f t="shared" si="151"/>
        <v>21000</v>
      </c>
      <c r="Q117" s="424">
        <f t="shared" si="152"/>
        <v>33000</v>
      </c>
      <c r="R117" s="424">
        <f t="shared" si="153"/>
        <v>75000</v>
      </c>
      <c r="S117" s="424">
        <f t="shared" si="154"/>
        <v>95000</v>
      </c>
      <c r="T117" s="424">
        <f t="shared" si="155"/>
        <v>336000</v>
      </c>
      <c r="U117" s="424">
        <f t="shared" si="160"/>
        <v>1468207.56671999</v>
      </c>
      <c r="V117" s="424">
        <f t="shared" si="156"/>
        <v>2028207.56671999</v>
      </c>
      <c r="W117" s="431">
        <v>12</v>
      </c>
      <c r="X117" s="424">
        <f t="shared" si="157"/>
        <v>169017.29722666601</v>
      </c>
      <c r="Y117" s="427"/>
      <c r="Z117" s="873">
        <f t="shared" si="158"/>
        <v>169017.29722666601</v>
      </c>
      <c r="AA117" s="753">
        <v>145172.65</v>
      </c>
      <c r="AB117" s="753">
        <f t="shared" si="159"/>
        <v>23844.647226665998</v>
      </c>
      <c r="AC117" s="436"/>
      <c r="AD117" s="436"/>
      <c r="AE117" s="436"/>
    </row>
    <row r="118" spans="1:31" ht="14.25" x14ac:dyDescent="0.15">
      <c r="A118" s="421"/>
      <c r="B118" s="597" t="s">
        <v>257</v>
      </c>
      <c r="C118" s="424">
        <v>659657</v>
      </c>
      <c r="D118" s="423">
        <v>12</v>
      </c>
      <c r="E118" s="424">
        <f t="shared" si="145"/>
        <v>7915884</v>
      </c>
      <c r="F118" s="424"/>
      <c r="G118" s="425">
        <v>566070.72</v>
      </c>
      <c r="H118" s="427"/>
      <c r="I118" s="424">
        <f t="shared" si="146"/>
        <v>7349813.2800000003</v>
      </c>
      <c r="J118" s="424">
        <v>200000</v>
      </c>
      <c r="K118" s="424">
        <v>0.2</v>
      </c>
      <c r="L118" s="424">
        <f t="shared" si="147"/>
        <v>1469962.656</v>
      </c>
      <c r="M118" s="424">
        <f t="shared" si="148"/>
        <v>1669962.656</v>
      </c>
      <c r="N118" s="424">
        <f t="shared" si="149"/>
        <v>2236033.3760000002</v>
      </c>
      <c r="O118" s="424">
        <f t="shared" si="150"/>
        <v>5679850.6239999998</v>
      </c>
      <c r="P118" s="424">
        <f t="shared" si="151"/>
        <v>21000</v>
      </c>
      <c r="Q118" s="424">
        <f t="shared" si="152"/>
        <v>33000</v>
      </c>
      <c r="R118" s="424">
        <f t="shared" si="153"/>
        <v>75000</v>
      </c>
      <c r="S118" s="424">
        <f t="shared" si="154"/>
        <v>95000</v>
      </c>
      <c r="T118" s="424">
        <f t="shared" si="155"/>
        <v>336000</v>
      </c>
      <c r="U118" s="424">
        <f t="shared" si="160"/>
        <v>595164.14975999994</v>
      </c>
      <c r="V118" s="424">
        <f t="shared" si="156"/>
        <v>1155164.1497599999</v>
      </c>
      <c r="W118" s="431">
        <v>12</v>
      </c>
      <c r="X118" s="424">
        <f t="shared" si="157"/>
        <v>96263.679146666705</v>
      </c>
      <c r="Y118" s="427"/>
      <c r="Z118" s="873">
        <f t="shared" si="158"/>
        <v>96263.679146666705</v>
      </c>
      <c r="AA118" s="753">
        <v>75215.4333866667</v>
      </c>
      <c r="AB118" s="753">
        <f t="shared" si="159"/>
        <v>21048.245760000002</v>
      </c>
      <c r="AC118" s="436"/>
      <c r="AD118" s="436"/>
      <c r="AE118" s="436"/>
    </row>
    <row r="119" spans="1:31" ht="14.25" x14ac:dyDescent="0.15">
      <c r="A119" s="421">
        <v>101</v>
      </c>
      <c r="B119" s="597" t="s">
        <v>259</v>
      </c>
      <c r="C119" s="424">
        <v>628165.25</v>
      </c>
      <c r="D119" s="423">
        <v>12</v>
      </c>
      <c r="E119" s="424">
        <f t="shared" si="145"/>
        <v>7537983</v>
      </c>
      <c r="F119" s="424">
        <v>104314.77499999999</v>
      </c>
      <c r="G119" s="425">
        <v>535838.64</v>
      </c>
      <c r="H119" s="427"/>
      <c r="I119" s="424">
        <f t="shared" si="146"/>
        <v>6897829.585</v>
      </c>
      <c r="J119" s="424">
        <v>200000</v>
      </c>
      <c r="K119" s="424">
        <v>0.2</v>
      </c>
      <c r="L119" s="424">
        <f t="shared" si="147"/>
        <v>1379565.9169999999</v>
      </c>
      <c r="M119" s="424">
        <f t="shared" si="148"/>
        <v>1579565.9169999999</v>
      </c>
      <c r="N119" s="424">
        <f t="shared" si="149"/>
        <v>2219719.3319999999</v>
      </c>
      <c r="O119" s="424">
        <f t="shared" si="150"/>
        <v>5318263.6679999996</v>
      </c>
      <c r="P119" s="424">
        <f t="shared" si="151"/>
        <v>21000</v>
      </c>
      <c r="Q119" s="424">
        <f t="shared" si="152"/>
        <v>33000</v>
      </c>
      <c r="R119" s="424">
        <f t="shared" si="153"/>
        <v>75000</v>
      </c>
      <c r="S119" s="424">
        <f t="shared" si="154"/>
        <v>95000</v>
      </c>
      <c r="T119" s="424">
        <f t="shared" si="155"/>
        <v>336000</v>
      </c>
      <c r="U119" s="424">
        <f t="shared" si="160"/>
        <v>508383.28032000002</v>
      </c>
      <c r="V119" s="424">
        <f t="shared" si="156"/>
        <v>1068383.2803199999</v>
      </c>
      <c r="W119" s="431">
        <v>12</v>
      </c>
      <c r="X119" s="424">
        <f t="shared" si="157"/>
        <v>89031.940026666707</v>
      </c>
      <c r="Y119" s="427"/>
      <c r="Z119" s="873">
        <f t="shared" si="158"/>
        <v>89031.940026666707</v>
      </c>
      <c r="AA119" s="753">
        <v>70189.308746666706</v>
      </c>
      <c r="AB119" s="753">
        <f t="shared" si="159"/>
        <v>18842.631280000001</v>
      </c>
      <c r="AC119" s="436"/>
      <c r="AD119" s="436"/>
      <c r="AE119" s="436"/>
    </row>
    <row r="120" spans="1:31" ht="14.25" x14ac:dyDescent="0.15">
      <c r="A120" s="421">
        <v>103</v>
      </c>
      <c r="B120" s="597" t="s">
        <v>260</v>
      </c>
      <c r="C120" s="424">
        <v>643911.08333333395</v>
      </c>
      <c r="D120" s="423">
        <v>12</v>
      </c>
      <c r="E120" s="424">
        <f t="shared" si="145"/>
        <v>7726933.0000000102</v>
      </c>
      <c r="F120" s="430">
        <v>107120</v>
      </c>
      <c r="G120" s="425">
        <v>550954.64</v>
      </c>
      <c r="H120" s="427"/>
      <c r="I120" s="424">
        <f t="shared" si="146"/>
        <v>7068858.3600000096</v>
      </c>
      <c r="J120" s="424">
        <v>200000</v>
      </c>
      <c r="K120" s="424">
        <v>0.2</v>
      </c>
      <c r="L120" s="424">
        <f t="shared" si="147"/>
        <v>1413771.672</v>
      </c>
      <c r="M120" s="424">
        <f t="shared" si="148"/>
        <v>1613771.672</v>
      </c>
      <c r="N120" s="424">
        <f t="shared" si="149"/>
        <v>2271846.3119999999</v>
      </c>
      <c r="O120" s="424">
        <f t="shared" si="150"/>
        <v>5455086.6880000103</v>
      </c>
      <c r="P120" s="424">
        <f t="shared" si="151"/>
        <v>21000</v>
      </c>
      <c r="Q120" s="424">
        <f t="shared" si="152"/>
        <v>33000</v>
      </c>
      <c r="R120" s="424">
        <f t="shared" si="153"/>
        <v>75000</v>
      </c>
      <c r="S120" s="424">
        <f t="shared" si="154"/>
        <v>95000</v>
      </c>
      <c r="T120" s="424">
        <f t="shared" si="155"/>
        <v>336000</v>
      </c>
      <c r="U120" s="424">
        <f t="shared" si="160"/>
        <v>541220.80512000096</v>
      </c>
      <c r="V120" s="424">
        <f t="shared" si="156"/>
        <v>1101220.8051199999</v>
      </c>
      <c r="W120" s="431">
        <v>12</v>
      </c>
      <c r="X120" s="424">
        <f t="shared" si="157"/>
        <v>91768.400426666805</v>
      </c>
      <c r="Y120" s="427"/>
      <c r="Z120" s="873">
        <f t="shared" si="158"/>
        <v>91768.400426666805</v>
      </c>
      <c r="AA120" s="753">
        <v>72636.104186666693</v>
      </c>
      <c r="AB120" s="753">
        <f t="shared" si="159"/>
        <v>19132.296240000102</v>
      </c>
      <c r="AC120" s="436"/>
      <c r="AD120" s="436"/>
      <c r="AE120" s="436"/>
    </row>
    <row r="121" spans="1:31" ht="14.25" x14ac:dyDescent="0.15">
      <c r="A121" s="421">
        <v>105</v>
      </c>
      <c r="B121" s="597" t="s">
        <v>263</v>
      </c>
      <c r="C121" s="424">
        <v>415320.66666666698</v>
      </c>
      <c r="D121" s="423">
        <v>12</v>
      </c>
      <c r="E121" s="424">
        <f t="shared" si="145"/>
        <v>4983848</v>
      </c>
      <c r="F121" s="430"/>
      <c r="G121" s="425">
        <v>341107.84000000102</v>
      </c>
      <c r="H121" s="427"/>
      <c r="I121" s="424">
        <f t="shared" si="146"/>
        <v>4642740.16</v>
      </c>
      <c r="J121" s="424">
        <v>200000</v>
      </c>
      <c r="K121" s="424">
        <v>0.2</v>
      </c>
      <c r="L121" s="424">
        <f t="shared" si="147"/>
        <v>928548.03200000105</v>
      </c>
      <c r="M121" s="424">
        <f t="shared" si="148"/>
        <v>1128548.0319999999</v>
      </c>
      <c r="N121" s="424">
        <f t="shared" si="149"/>
        <v>1469655.872</v>
      </c>
      <c r="O121" s="424">
        <f t="shared" si="150"/>
        <v>3514192.128</v>
      </c>
      <c r="P121" s="424">
        <f t="shared" si="151"/>
        <v>21000</v>
      </c>
      <c r="Q121" s="424">
        <f t="shared" si="152"/>
        <v>33000</v>
      </c>
      <c r="R121" s="424">
        <f t="shared" si="153"/>
        <v>75000</v>
      </c>
      <c r="S121" s="424">
        <f t="shared" si="154"/>
        <v>95000</v>
      </c>
      <c r="T121" s="424">
        <f t="shared" si="155"/>
        <v>336000</v>
      </c>
      <c r="U121" s="424">
        <f t="shared" si="160"/>
        <v>75406.110720000594</v>
      </c>
      <c r="V121" s="424">
        <f t="shared" si="156"/>
        <v>635406.11072000104</v>
      </c>
      <c r="W121" s="431">
        <v>12</v>
      </c>
      <c r="X121" s="424">
        <f t="shared" si="157"/>
        <v>52950.509226666698</v>
      </c>
      <c r="Y121" s="427"/>
      <c r="Z121" s="873">
        <f t="shared" si="158"/>
        <v>52950.509226666698</v>
      </c>
      <c r="AA121" s="753">
        <v>39052.313066666698</v>
      </c>
      <c r="AB121" s="753">
        <f t="shared" si="159"/>
        <v>13898.19616</v>
      </c>
      <c r="AC121" s="436"/>
      <c r="AD121" s="436"/>
      <c r="AE121" s="436"/>
    </row>
    <row r="122" spans="1:31" ht="14.25" x14ac:dyDescent="0.15">
      <c r="A122" s="421">
        <v>106</v>
      </c>
      <c r="B122" s="313" t="s">
        <v>265</v>
      </c>
      <c r="C122" s="424">
        <v>351910.75</v>
      </c>
      <c r="D122" s="423">
        <v>12</v>
      </c>
      <c r="E122" s="424">
        <f t="shared" si="145"/>
        <v>4222929</v>
      </c>
      <c r="F122" s="424"/>
      <c r="G122" s="425">
        <v>289834.32</v>
      </c>
      <c r="H122" s="427"/>
      <c r="I122" s="424">
        <f t="shared" si="146"/>
        <v>3933094.68</v>
      </c>
      <c r="J122" s="424">
        <v>200000</v>
      </c>
      <c r="K122" s="424">
        <v>0.2</v>
      </c>
      <c r="L122" s="424">
        <f t="shared" si="147"/>
        <v>786618.93599999999</v>
      </c>
      <c r="M122" s="424">
        <f t="shared" si="148"/>
        <v>986618.93599999999</v>
      </c>
      <c r="N122" s="424">
        <f t="shared" si="149"/>
        <v>1276453.2560000001</v>
      </c>
      <c r="O122" s="424">
        <f t="shared" si="150"/>
        <v>2946475.7439999999</v>
      </c>
      <c r="P122" s="424">
        <f t="shared" si="151"/>
        <v>21000</v>
      </c>
      <c r="Q122" s="424">
        <f t="shared" si="152"/>
        <v>33000</v>
      </c>
      <c r="R122" s="424">
        <f t="shared" si="153"/>
        <v>75000</v>
      </c>
      <c r="S122" s="424">
        <f t="shared" si="154"/>
        <v>95000</v>
      </c>
      <c r="T122" s="424">
        <f t="shared" si="155"/>
        <v>282759.90623999998</v>
      </c>
      <c r="U122" s="424"/>
      <c r="V122" s="424">
        <f t="shared" si="156"/>
        <v>506759.90623999998</v>
      </c>
      <c r="W122" s="431">
        <v>12</v>
      </c>
      <c r="X122" s="424">
        <f t="shared" si="157"/>
        <v>42229.992186666699</v>
      </c>
      <c r="Y122" s="427"/>
      <c r="Z122" s="873">
        <f t="shared" si="158"/>
        <v>42229.992186666699</v>
      </c>
      <c r="AA122" s="753">
        <v>30259.165626666701</v>
      </c>
      <c r="AB122" s="753">
        <f t="shared" si="159"/>
        <v>11970.82656</v>
      </c>
      <c r="AC122" s="436"/>
      <c r="AD122" s="436"/>
      <c r="AE122" s="436"/>
    </row>
    <row r="123" spans="1:31" ht="14.25" x14ac:dyDescent="0.15">
      <c r="A123" s="421">
        <v>107</v>
      </c>
      <c r="B123" s="313" t="s">
        <v>267</v>
      </c>
      <c r="C123" s="424">
        <v>351910.75</v>
      </c>
      <c r="D123" s="423">
        <v>12</v>
      </c>
      <c r="E123" s="424">
        <f t="shared" si="145"/>
        <v>4222929</v>
      </c>
      <c r="F123" s="424"/>
      <c r="G123" s="425">
        <v>289834.32</v>
      </c>
      <c r="H123" s="427"/>
      <c r="I123" s="424">
        <f t="shared" si="146"/>
        <v>3933094.68</v>
      </c>
      <c r="J123" s="424">
        <v>200000</v>
      </c>
      <c r="K123" s="424">
        <v>0.2</v>
      </c>
      <c r="L123" s="424">
        <f t="shared" si="147"/>
        <v>786618.93599999999</v>
      </c>
      <c r="M123" s="424">
        <f t="shared" si="148"/>
        <v>986618.93599999999</v>
      </c>
      <c r="N123" s="424">
        <f t="shared" si="149"/>
        <v>1276453.2560000001</v>
      </c>
      <c r="O123" s="424">
        <f t="shared" si="150"/>
        <v>2946475.7439999999</v>
      </c>
      <c r="P123" s="424">
        <f t="shared" si="151"/>
        <v>21000</v>
      </c>
      <c r="Q123" s="424">
        <f t="shared" si="152"/>
        <v>33000</v>
      </c>
      <c r="R123" s="424">
        <f t="shared" si="153"/>
        <v>75000</v>
      </c>
      <c r="S123" s="424">
        <f t="shared" si="154"/>
        <v>95000</v>
      </c>
      <c r="T123" s="424">
        <f t="shared" si="155"/>
        <v>282759.90623999998</v>
      </c>
      <c r="U123" s="424"/>
      <c r="V123" s="424">
        <f t="shared" si="156"/>
        <v>506759.90623999998</v>
      </c>
      <c r="W123" s="431">
        <v>12</v>
      </c>
      <c r="X123" s="424">
        <f t="shared" si="157"/>
        <v>42229.992186666699</v>
      </c>
      <c r="Y123" s="427"/>
      <c r="Z123" s="873">
        <f t="shared" si="158"/>
        <v>42229.992186666699</v>
      </c>
      <c r="AA123" s="753">
        <v>30259.165626666701</v>
      </c>
      <c r="AB123" s="753">
        <f t="shared" si="159"/>
        <v>11970.82656</v>
      </c>
      <c r="AC123" s="436"/>
      <c r="AD123" s="436"/>
      <c r="AE123" s="436"/>
    </row>
    <row r="124" spans="1:31" ht="14.25" x14ac:dyDescent="0.15">
      <c r="A124" s="421">
        <v>108</v>
      </c>
      <c r="B124" s="313" t="s">
        <v>268</v>
      </c>
      <c r="C124" s="424">
        <v>344900.83333333401</v>
      </c>
      <c r="D124" s="423">
        <v>12</v>
      </c>
      <c r="E124" s="424">
        <f t="shared" si="145"/>
        <v>4138810.0000000098</v>
      </c>
      <c r="F124" s="424"/>
      <c r="G124" s="425">
        <v>283104.8</v>
      </c>
      <c r="H124" s="427"/>
      <c r="I124" s="424">
        <f t="shared" si="146"/>
        <v>3855705.20000001</v>
      </c>
      <c r="J124" s="424">
        <v>200000</v>
      </c>
      <c r="K124" s="424">
        <v>0.2</v>
      </c>
      <c r="L124" s="424">
        <f t="shared" si="147"/>
        <v>771141.04000000202</v>
      </c>
      <c r="M124" s="424">
        <f t="shared" si="148"/>
        <v>971141.04000000202</v>
      </c>
      <c r="N124" s="424">
        <f t="shared" si="149"/>
        <v>1254245.8400000001</v>
      </c>
      <c r="O124" s="424">
        <f t="shared" si="150"/>
        <v>2884564.1600000099</v>
      </c>
      <c r="P124" s="424">
        <f t="shared" si="151"/>
        <v>21000</v>
      </c>
      <c r="Q124" s="424">
        <f t="shared" si="152"/>
        <v>33000</v>
      </c>
      <c r="R124" s="424">
        <f t="shared" si="153"/>
        <v>75000</v>
      </c>
      <c r="S124" s="424">
        <f t="shared" si="154"/>
        <v>95000</v>
      </c>
      <c r="T124" s="424">
        <f t="shared" si="155"/>
        <v>269758.47360000102</v>
      </c>
      <c r="U124" s="424"/>
      <c r="V124" s="424">
        <f t="shared" si="156"/>
        <v>493758.47360000102</v>
      </c>
      <c r="W124" s="431">
        <v>12</v>
      </c>
      <c r="X124" s="424">
        <f t="shared" si="157"/>
        <v>41146.5394666668</v>
      </c>
      <c r="Y124" s="427"/>
      <c r="Z124" s="873">
        <f t="shared" si="158"/>
        <v>41146.5394666668</v>
      </c>
      <c r="AA124" s="753">
        <v>29305.195546666699</v>
      </c>
      <c r="AB124" s="753">
        <f t="shared" si="159"/>
        <v>11841.343920000099</v>
      </c>
      <c r="AC124" s="436"/>
      <c r="AD124" s="436"/>
      <c r="AE124" s="436"/>
    </row>
    <row r="125" spans="1:31" ht="14.25" x14ac:dyDescent="0.15">
      <c r="A125" s="421">
        <v>109</v>
      </c>
      <c r="B125" s="809" t="s">
        <v>111</v>
      </c>
      <c r="C125" s="424"/>
      <c r="D125" s="423"/>
      <c r="E125" s="424"/>
      <c r="F125" s="424"/>
      <c r="G125" s="427"/>
      <c r="H125" s="427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31"/>
      <c r="X125" s="424"/>
      <c r="Y125" s="427"/>
      <c r="Z125" s="873"/>
      <c r="AA125" s="753"/>
      <c r="AB125" s="753"/>
      <c r="AC125" s="436"/>
      <c r="AD125" s="436"/>
      <c r="AE125" s="436"/>
    </row>
    <row r="126" spans="1:31" ht="14.25" x14ac:dyDescent="0.15">
      <c r="A126" s="421">
        <v>110</v>
      </c>
      <c r="B126" s="812"/>
      <c r="C126" s="424"/>
      <c r="U126" s="437"/>
      <c r="AA126" s="244"/>
      <c r="AB126" s="753"/>
      <c r="AC126" s="436"/>
      <c r="AD126" s="436"/>
      <c r="AE126" s="436"/>
    </row>
    <row r="127" spans="1:31" ht="14.25" x14ac:dyDescent="0.15">
      <c r="A127" s="421">
        <v>111</v>
      </c>
      <c r="B127" s="809" t="s">
        <v>270</v>
      </c>
      <c r="C127" s="424"/>
      <c r="U127" s="437"/>
      <c r="AA127" s="244"/>
      <c r="AB127" s="753"/>
      <c r="AC127" s="436"/>
      <c r="AD127" s="436"/>
      <c r="AE127" s="436"/>
    </row>
    <row r="128" spans="1:31" ht="14.25" x14ac:dyDescent="0.15">
      <c r="A128" s="421">
        <v>112</v>
      </c>
      <c r="B128" s="593" t="s">
        <v>271</v>
      </c>
      <c r="C128" s="424">
        <v>1747612</v>
      </c>
      <c r="D128" s="423">
        <v>12</v>
      </c>
      <c r="E128" s="424">
        <f t="shared" ref="E128:E177" si="161">C128*D128</f>
        <v>20971344</v>
      </c>
      <c r="F128" s="424">
        <v>307730.49999999901</v>
      </c>
      <c r="G128" s="425">
        <v>1581707.52</v>
      </c>
      <c r="H128" s="427"/>
      <c r="I128" s="424">
        <f t="shared" ref="I128:I177" si="162">E128-F128-G128-H128</f>
        <v>19081905.98</v>
      </c>
      <c r="J128" s="424">
        <v>200000</v>
      </c>
      <c r="K128" s="424">
        <v>0.2</v>
      </c>
      <c r="L128" s="424">
        <f t="shared" ref="L128:L177" si="163">I128*K128</f>
        <v>3816381.196</v>
      </c>
      <c r="M128" s="424">
        <f t="shared" ref="M128:M177" si="164">J128+L128</f>
        <v>4016381.196</v>
      </c>
      <c r="N128" s="424">
        <f t="shared" ref="N128:N187" si="165">F128+G128+H128+M128</f>
        <v>5905819.216</v>
      </c>
      <c r="O128" s="424">
        <f t="shared" ref="O128:O187" si="166">E128-N128</f>
        <v>15065524.784</v>
      </c>
      <c r="P128" s="424">
        <f t="shared" ref="P128:P187" si="167">IF(O128&lt;300000,0.07*O128,21000)</f>
        <v>21000</v>
      </c>
      <c r="Q128" s="424">
        <f t="shared" ref="Q128:Q187" si="168">IF((O128-300000)&lt;0,0,IF((O128-300000)&lt;300000,0.11*(O128-300000),33000))</f>
        <v>33000</v>
      </c>
      <c r="R128" s="424">
        <f t="shared" ref="R128:R187" si="169">IF((O128-600000)&lt;0,0,IF((O128-600000)&lt;500000,0.15*(O128-600000),75000))</f>
        <v>75000</v>
      </c>
      <c r="S128" s="424">
        <f t="shared" ref="S128:S187" si="170">IF((O128-1100000)&lt;0,0,IF((O128-1100000)&lt;500000,0.19*(O128-1100000),95000))</f>
        <v>95000</v>
      </c>
      <c r="T128" s="424">
        <f t="shared" ref="T128:T187" si="171">IF((O128-1600000)&lt;0,0,IF((O128-1600000)&lt;1600000,0.21*(O128-1600000),336000))</f>
        <v>336000</v>
      </c>
      <c r="U128" s="424">
        <f t="shared" ref="U128:U148" si="172">0.24*(O128-3200000)</f>
        <v>2847725.9481600001</v>
      </c>
      <c r="V128" s="424">
        <f t="shared" ref="V128:V187" si="173">P128+Q128+R128+S128+T128+U128</f>
        <v>3407725.9481600001</v>
      </c>
      <c r="W128" s="431">
        <v>12</v>
      </c>
      <c r="X128" s="424">
        <f t="shared" ref="X128:X187" si="174">V128/W128</f>
        <v>283977.16234666703</v>
      </c>
      <c r="Y128" s="427"/>
      <c r="Z128" s="873">
        <f t="shared" ref="Z128:Z187" si="175">X128</f>
        <v>283977.16234666703</v>
      </c>
      <c r="AA128" s="753">
        <v>236486.74867946701</v>
      </c>
      <c r="AB128" s="753">
        <f t="shared" ref="AB128:AB177" si="176">Z128-AA128</f>
        <v>47490.413667199602</v>
      </c>
      <c r="AC128" s="436"/>
      <c r="AD128" s="436"/>
      <c r="AE128" s="436"/>
    </row>
    <row r="129" spans="1:31" ht="14.25" x14ac:dyDescent="0.15">
      <c r="A129" s="421">
        <v>113</v>
      </c>
      <c r="B129" s="593" t="s">
        <v>274</v>
      </c>
      <c r="C129" s="424">
        <v>1045306.75</v>
      </c>
      <c r="D129" s="423">
        <v>12</v>
      </c>
      <c r="E129" s="424">
        <f t="shared" si="161"/>
        <v>12543681</v>
      </c>
      <c r="F129" s="424">
        <v>166400.85</v>
      </c>
      <c r="G129" s="425">
        <v>869094.48</v>
      </c>
      <c r="H129" s="427"/>
      <c r="I129" s="424">
        <f t="shared" si="162"/>
        <v>11508185.67</v>
      </c>
      <c r="J129" s="424">
        <v>200000</v>
      </c>
      <c r="K129" s="424">
        <v>0.2</v>
      </c>
      <c r="L129" s="424">
        <f t="shared" si="163"/>
        <v>2301637.1340000001</v>
      </c>
      <c r="M129" s="424">
        <f t="shared" si="164"/>
        <v>2501637.1340000001</v>
      </c>
      <c r="N129" s="424">
        <f t="shared" si="165"/>
        <v>3537132.4640000002</v>
      </c>
      <c r="O129" s="424">
        <f t="shared" si="166"/>
        <v>9006548.5360000003</v>
      </c>
      <c r="P129" s="424">
        <f t="shared" si="167"/>
        <v>21000</v>
      </c>
      <c r="Q129" s="424">
        <f t="shared" si="168"/>
        <v>33000</v>
      </c>
      <c r="R129" s="424">
        <f t="shared" si="169"/>
        <v>75000</v>
      </c>
      <c r="S129" s="424">
        <f t="shared" si="170"/>
        <v>95000</v>
      </c>
      <c r="T129" s="424">
        <f t="shared" si="171"/>
        <v>336000</v>
      </c>
      <c r="U129" s="424">
        <f t="shared" si="172"/>
        <v>1393571.64864</v>
      </c>
      <c r="V129" s="424">
        <f t="shared" si="173"/>
        <v>1953571.64864</v>
      </c>
      <c r="W129" s="431">
        <v>12</v>
      </c>
      <c r="X129" s="424">
        <f t="shared" si="174"/>
        <v>162797.63738666699</v>
      </c>
      <c r="Y129" s="427"/>
      <c r="Z129" s="873">
        <f t="shared" si="175"/>
        <v>162797.63738666699</v>
      </c>
      <c r="AA129" s="753">
        <v>140007.52761066699</v>
      </c>
      <c r="AB129" s="753">
        <f t="shared" si="176"/>
        <v>22790.109775999699</v>
      </c>
      <c r="AC129" s="436"/>
      <c r="AD129" s="436"/>
      <c r="AE129" s="436"/>
    </row>
    <row r="130" spans="1:31" ht="14.25" x14ac:dyDescent="0.15">
      <c r="A130" s="421">
        <v>114</v>
      </c>
      <c r="B130" s="597" t="s">
        <v>276</v>
      </c>
      <c r="C130" s="424">
        <v>780713.91666666605</v>
      </c>
      <c r="D130" s="423">
        <v>12</v>
      </c>
      <c r="E130" s="424">
        <f t="shared" si="161"/>
        <v>9368566.9999999907</v>
      </c>
      <c r="F130" s="424">
        <v>129894.325</v>
      </c>
      <c r="G130" s="425">
        <v>672685.36</v>
      </c>
      <c r="H130" s="427"/>
      <c r="I130" s="424">
        <f t="shared" si="162"/>
        <v>8565987.3149999902</v>
      </c>
      <c r="J130" s="424">
        <v>200000</v>
      </c>
      <c r="K130" s="424">
        <v>0.2</v>
      </c>
      <c r="L130" s="424">
        <f t="shared" si="163"/>
        <v>1713197.463</v>
      </c>
      <c r="M130" s="424">
        <f t="shared" si="164"/>
        <v>1913197.463</v>
      </c>
      <c r="N130" s="424">
        <f t="shared" si="165"/>
        <v>2715777.148</v>
      </c>
      <c r="O130" s="424">
        <f t="shared" si="166"/>
        <v>6652789.8519999897</v>
      </c>
      <c r="P130" s="424">
        <f t="shared" si="167"/>
        <v>21000</v>
      </c>
      <c r="Q130" s="424">
        <f t="shared" si="168"/>
        <v>33000</v>
      </c>
      <c r="R130" s="424">
        <f t="shared" si="169"/>
        <v>75000</v>
      </c>
      <c r="S130" s="424">
        <f t="shared" si="170"/>
        <v>95000</v>
      </c>
      <c r="T130" s="424">
        <f t="shared" si="171"/>
        <v>336000</v>
      </c>
      <c r="U130" s="424">
        <f t="shared" si="172"/>
        <v>828669.56447999901</v>
      </c>
      <c r="V130" s="424">
        <f t="shared" si="173"/>
        <v>1388669.5644799999</v>
      </c>
      <c r="W130" s="431">
        <v>12</v>
      </c>
      <c r="X130" s="424">
        <f t="shared" si="174"/>
        <v>115722.463706667</v>
      </c>
      <c r="Y130" s="427"/>
      <c r="Z130" s="873">
        <f t="shared" si="175"/>
        <v>115722.463706667</v>
      </c>
      <c r="AA130" s="753">
        <v>95312.1873578667</v>
      </c>
      <c r="AB130" s="753">
        <f t="shared" si="176"/>
        <v>20410.2763487999</v>
      </c>
      <c r="AC130" s="436"/>
      <c r="AD130" s="436"/>
      <c r="AE130" s="436"/>
    </row>
    <row r="131" spans="1:31" ht="14.25" x14ac:dyDescent="0.15">
      <c r="A131" s="421">
        <v>115</v>
      </c>
      <c r="B131" s="597" t="s">
        <v>278</v>
      </c>
      <c r="C131" s="424">
        <v>780713.91666666605</v>
      </c>
      <c r="D131" s="423">
        <v>12</v>
      </c>
      <c r="E131" s="424">
        <f t="shared" si="161"/>
        <v>9368566.9999999907</v>
      </c>
      <c r="F131" s="424">
        <v>129894.325</v>
      </c>
      <c r="G131" s="425">
        <v>672685.36</v>
      </c>
      <c r="H131" s="427"/>
      <c r="I131" s="424">
        <f t="shared" si="162"/>
        <v>8565987.3149999902</v>
      </c>
      <c r="J131" s="424">
        <v>200000</v>
      </c>
      <c r="K131" s="424">
        <v>0.2</v>
      </c>
      <c r="L131" s="424">
        <f t="shared" si="163"/>
        <v>1713197.463</v>
      </c>
      <c r="M131" s="424">
        <f t="shared" si="164"/>
        <v>1913197.463</v>
      </c>
      <c r="N131" s="424">
        <f t="shared" si="165"/>
        <v>2715777.148</v>
      </c>
      <c r="O131" s="424">
        <f t="shared" si="166"/>
        <v>6652789.8519999897</v>
      </c>
      <c r="P131" s="424">
        <f t="shared" si="167"/>
        <v>21000</v>
      </c>
      <c r="Q131" s="424">
        <f t="shared" si="168"/>
        <v>33000</v>
      </c>
      <c r="R131" s="424">
        <f t="shared" si="169"/>
        <v>75000</v>
      </c>
      <c r="S131" s="424">
        <f t="shared" si="170"/>
        <v>95000</v>
      </c>
      <c r="T131" s="424">
        <f t="shared" si="171"/>
        <v>336000</v>
      </c>
      <c r="U131" s="424">
        <f t="shared" si="172"/>
        <v>828669.56447999901</v>
      </c>
      <c r="V131" s="424">
        <f t="shared" si="173"/>
        <v>1388669.5644799999</v>
      </c>
      <c r="W131" s="431">
        <v>12</v>
      </c>
      <c r="X131" s="424">
        <f t="shared" si="174"/>
        <v>115722.463706667</v>
      </c>
      <c r="Y131" s="427"/>
      <c r="Z131" s="873">
        <f t="shared" si="175"/>
        <v>115722.463706667</v>
      </c>
      <c r="AA131" s="753">
        <v>95312.1873578667</v>
      </c>
      <c r="AB131" s="753">
        <f t="shared" si="176"/>
        <v>20410.2763487999</v>
      </c>
      <c r="AC131" s="436"/>
      <c r="AD131" s="436"/>
      <c r="AE131" s="436"/>
    </row>
    <row r="132" spans="1:31" ht="14.25" x14ac:dyDescent="0.15">
      <c r="A132" s="421">
        <v>116</v>
      </c>
      <c r="B132" s="597" t="s">
        <v>280</v>
      </c>
      <c r="C132" s="424">
        <v>780713.91666666605</v>
      </c>
      <c r="D132" s="423">
        <v>12</v>
      </c>
      <c r="E132" s="424">
        <f t="shared" si="161"/>
        <v>9368566.9999999907</v>
      </c>
      <c r="F132" s="424">
        <v>129894.325</v>
      </c>
      <c r="G132" s="425">
        <v>672685.36</v>
      </c>
      <c r="H132" s="427"/>
      <c r="I132" s="424">
        <f t="shared" si="162"/>
        <v>8565987.3149999902</v>
      </c>
      <c r="J132" s="424">
        <v>200000</v>
      </c>
      <c r="K132" s="424">
        <v>0.2</v>
      </c>
      <c r="L132" s="424">
        <f t="shared" si="163"/>
        <v>1713197.463</v>
      </c>
      <c r="M132" s="424">
        <f t="shared" si="164"/>
        <v>1913197.463</v>
      </c>
      <c r="N132" s="424">
        <f t="shared" si="165"/>
        <v>2715777.148</v>
      </c>
      <c r="O132" s="424">
        <f t="shared" si="166"/>
        <v>6652789.8519999897</v>
      </c>
      <c r="P132" s="424">
        <f t="shared" si="167"/>
        <v>21000</v>
      </c>
      <c r="Q132" s="424">
        <f t="shared" si="168"/>
        <v>33000</v>
      </c>
      <c r="R132" s="424">
        <f t="shared" si="169"/>
        <v>75000</v>
      </c>
      <c r="S132" s="424">
        <f t="shared" si="170"/>
        <v>95000</v>
      </c>
      <c r="T132" s="424">
        <f t="shared" si="171"/>
        <v>336000</v>
      </c>
      <c r="U132" s="424">
        <f t="shared" si="172"/>
        <v>828669.56447999901</v>
      </c>
      <c r="V132" s="424">
        <f t="shared" si="173"/>
        <v>1388669.5644799999</v>
      </c>
      <c r="W132" s="431">
        <v>12</v>
      </c>
      <c r="X132" s="424">
        <f t="shared" si="174"/>
        <v>115722.463706667</v>
      </c>
      <c r="Y132" s="427"/>
      <c r="Z132" s="873">
        <f t="shared" si="175"/>
        <v>115722.463706667</v>
      </c>
      <c r="AA132" s="753">
        <v>95312.1873578667</v>
      </c>
      <c r="AB132" s="753">
        <f t="shared" si="176"/>
        <v>20410.2763487999</v>
      </c>
      <c r="AC132" s="436"/>
      <c r="AD132" s="436"/>
      <c r="AE132" s="436"/>
    </row>
    <row r="133" spans="1:31" ht="14.25" x14ac:dyDescent="0.15">
      <c r="A133" s="421">
        <v>117</v>
      </c>
      <c r="B133" s="597" t="s">
        <v>281</v>
      </c>
      <c r="C133" s="424">
        <v>567472.75</v>
      </c>
      <c r="D133" s="423">
        <v>12</v>
      </c>
      <c r="E133" s="424">
        <f t="shared" si="161"/>
        <v>6809673</v>
      </c>
      <c r="F133" s="424"/>
      <c r="G133" s="425">
        <v>477573.84</v>
      </c>
      <c r="H133" s="427"/>
      <c r="I133" s="424">
        <f t="shared" si="162"/>
        <v>6332099.1600000001</v>
      </c>
      <c r="J133" s="424">
        <v>200000</v>
      </c>
      <c r="K133" s="424">
        <v>0.2</v>
      </c>
      <c r="L133" s="424">
        <f t="shared" si="163"/>
        <v>1266419.8319999999</v>
      </c>
      <c r="M133" s="424">
        <f t="shared" si="164"/>
        <v>1466419.8319999999</v>
      </c>
      <c r="N133" s="424">
        <f t="shared" si="165"/>
        <v>1943993.672</v>
      </c>
      <c r="O133" s="424">
        <f t="shared" si="166"/>
        <v>4865679.3279999997</v>
      </c>
      <c r="P133" s="424">
        <f t="shared" si="167"/>
        <v>21000</v>
      </c>
      <c r="Q133" s="424">
        <f t="shared" si="168"/>
        <v>33000</v>
      </c>
      <c r="R133" s="424">
        <f t="shared" si="169"/>
        <v>75000</v>
      </c>
      <c r="S133" s="424">
        <f t="shared" si="170"/>
        <v>95000</v>
      </c>
      <c r="T133" s="424">
        <f t="shared" si="171"/>
        <v>336000</v>
      </c>
      <c r="U133" s="424">
        <f t="shared" si="172"/>
        <v>399763.03872000001</v>
      </c>
      <c r="V133" s="424">
        <f t="shared" si="173"/>
        <v>959763.03871999995</v>
      </c>
      <c r="W133" s="431">
        <v>12</v>
      </c>
      <c r="X133" s="424">
        <f t="shared" si="174"/>
        <v>79980.253226666697</v>
      </c>
      <c r="Y133" s="427"/>
      <c r="Z133" s="873">
        <f t="shared" si="175"/>
        <v>79980.253226666697</v>
      </c>
      <c r="AA133" s="753">
        <v>61040.235255466701</v>
      </c>
      <c r="AB133" s="753">
        <f t="shared" si="176"/>
        <v>18940.017971199999</v>
      </c>
      <c r="AC133" s="436"/>
      <c r="AD133" s="436"/>
      <c r="AE133" s="436"/>
    </row>
    <row r="134" spans="1:31" ht="14.25" x14ac:dyDescent="0.15">
      <c r="A134" s="421">
        <v>118</v>
      </c>
      <c r="B134" s="597" t="s">
        <v>282</v>
      </c>
      <c r="C134" s="424">
        <v>602846.58333333395</v>
      </c>
      <c r="D134" s="423">
        <v>12</v>
      </c>
      <c r="E134" s="424">
        <f t="shared" si="161"/>
        <v>7234159.0000000102</v>
      </c>
      <c r="F134" s="424"/>
      <c r="G134" s="425">
        <v>463532.72</v>
      </c>
      <c r="H134" s="427"/>
      <c r="I134" s="424">
        <f t="shared" si="162"/>
        <v>6770626.2800000096</v>
      </c>
      <c r="J134" s="424">
        <v>200000</v>
      </c>
      <c r="K134" s="424">
        <v>0.2</v>
      </c>
      <c r="L134" s="424">
        <f t="shared" si="163"/>
        <v>1354125.2560000001</v>
      </c>
      <c r="M134" s="424">
        <f t="shared" si="164"/>
        <v>1554125.2560000001</v>
      </c>
      <c r="N134" s="424">
        <f t="shared" si="165"/>
        <v>2017657.976</v>
      </c>
      <c r="O134" s="424">
        <f t="shared" si="166"/>
        <v>5216501.0240000105</v>
      </c>
      <c r="P134" s="424">
        <f t="shared" si="167"/>
        <v>21000</v>
      </c>
      <c r="Q134" s="424">
        <f t="shared" si="168"/>
        <v>33000</v>
      </c>
      <c r="R134" s="424">
        <f t="shared" si="169"/>
        <v>75000</v>
      </c>
      <c r="S134" s="424">
        <f t="shared" si="170"/>
        <v>95000</v>
      </c>
      <c r="T134" s="424">
        <f t="shared" si="171"/>
        <v>336000</v>
      </c>
      <c r="U134" s="424">
        <f t="shared" si="172"/>
        <v>483960.24576000101</v>
      </c>
      <c r="V134" s="424">
        <f t="shared" si="173"/>
        <v>1043960.24576</v>
      </c>
      <c r="W134" s="431">
        <v>12</v>
      </c>
      <c r="X134" s="424">
        <f t="shared" si="174"/>
        <v>86996.687146666794</v>
      </c>
      <c r="Y134" s="427"/>
      <c r="Z134" s="873">
        <f t="shared" si="175"/>
        <v>86996.687146666794</v>
      </c>
      <c r="AA134" s="753">
        <v>70642.73</v>
      </c>
      <c r="AB134" s="753">
        <f t="shared" si="176"/>
        <v>16353.9571466668</v>
      </c>
      <c r="AC134" s="436"/>
      <c r="AD134" s="436"/>
      <c r="AE134" s="436"/>
    </row>
    <row r="135" spans="1:31" ht="27" x14ac:dyDescent="0.15">
      <c r="A135" s="421">
        <v>119</v>
      </c>
      <c r="B135" s="597" t="s">
        <v>284</v>
      </c>
      <c r="C135" s="424">
        <v>542662.66666666698</v>
      </c>
      <c r="D135" s="423">
        <v>12</v>
      </c>
      <c r="E135" s="424">
        <f t="shared" si="161"/>
        <v>6511952</v>
      </c>
      <c r="F135" s="424"/>
      <c r="G135" s="425">
        <v>463356.16000000102</v>
      </c>
      <c r="H135" s="427"/>
      <c r="I135" s="424">
        <f t="shared" si="162"/>
        <v>6048595.8399999999</v>
      </c>
      <c r="J135" s="424">
        <v>200000</v>
      </c>
      <c r="K135" s="424">
        <v>0.2</v>
      </c>
      <c r="L135" s="424">
        <f t="shared" si="163"/>
        <v>1209719.1680000001</v>
      </c>
      <c r="M135" s="424">
        <f t="shared" si="164"/>
        <v>1409719.1680000001</v>
      </c>
      <c r="N135" s="424">
        <f t="shared" si="165"/>
        <v>1873075.328</v>
      </c>
      <c r="O135" s="424">
        <f t="shared" si="166"/>
        <v>4638876.6720000003</v>
      </c>
      <c r="P135" s="424">
        <f t="shared" si="167"/>
        <v>21000</v>
      </c>
      <c r="Q135" s="424">
        <f t="shared" si="168"/>
        <v>33000</v>
      </c>
      <c r="R135" s="424">
        <f t="shared" si="169"/>
        <v>75000</v>
      </c>
      <c r="S135" s="424">
        <f t="shared" si="170"/>
        <v>95000</v>
      </c>
      <c r="T135" s="424">
        <f t="shared" si="171"/>
        <v>336000</v>
      </c>
      <c r="U135" s="424">
        <f t="shared" si="172"/>
        <v>345330.40128000098</v>
      </c>
      <c r="V135" s="424">
        <f t="shared" si="173"/>
        <v>905330.40128000104</v>
      </c>
      <c r="W135" s="431">
        <v>12</v>
      </c>
      <c r="X135" s="424">
        <f t="shared" si="174"/>
        <v>75444.2001066667</v>
      </c>
      <c r="Y135" s="427"/>
      <c r="Z135" s="873">
        <f t="shared" si="175"/>
        <v>75444.2001066667</v>
      </c>
      <c r="AA135" s="753">
        <v>56938.068906666696</v>
      </c>
      <c r="AB135" s="753">
        <f t="shared" si="176"/>
        <v>18506.1312</v>
      </c>
      <c r="AC135" s="436"/>
      <c r="AD135" s="436"/>
      <c r="AE135" s="436"/>
    </row>
    <row r="136" spans="1:31" ht="14.25" x14ac:dyDescent="0.15">
      <c r="A136" s="421">
        <v>120</v>
      </c>
      <c r="B136" s="597" t="s">
        <v>286</v>
      </c>
      <c r="C136" s="424">
        <v>528828.16666666698</v>
      </c>
      <c r="D136" s="423">
        <v>12</v>
      </c>
      <c r="E136" s="424">
        <f t="shared" si="161"/>
        <v>6345938</v>
      </c>
      <c r="F136" s="424">
        <v>88398.875000000102</v>
      </c>
      <c r="G136" s="425">
        <v>450075.04000000103</v>
      </c>
      <c r="H136" s="427"/>
      <c r="I136" s="424">
        <f t="shared" si="162"/>
        <v>5807464.085</v>
      </c>
      <c r="J136" s="424">
        <v>200000</v>
      </c>
      <c r="K136" s="424">
        <v>0.2</v>
      </c>
      <c r="L136" s="424">
        <f t="shared" si="163"/>
        <v>1161492.817</v>
      </c>
      <c r="M136" s="424">
        <f t="shared" si="164"/>
        <v>1361492.817</v>
      </c>
      <c r="N136" s="424">
        <f t="shared" si="165"/>
        <v>1899966.7320000001</v>
      </c>
      <c r="O136" s="424">
        <f t="shared" si="166"/>
        <v>4445971.2680000002</v>
      </c>
      <c r="P136" s="424">
        <f t="shared" si="167"/>
        <v>21000</v>
      </c>
      <c r="Q136" s="424">
        <f t="shared" si="168"/>
        <v>33000</v>
      </c>
      <c r="R136" s="424">
        <f t="shared" si="169"/>
        <v>75000</v>
      </c>
      <c r="S136" s="424">
        <f t="shared" si="170"/>
        <v>95000</v>
      </c>
      <c r="T136" s="424">
        <f t="shared" si="171"/>
        <v>336000</v>
      </c>
      <c r="U136" s="424">
        <f t="shared" si="172"/>
        <v>299033.10431999998</v>
      </c>
      <c r="V136" s="424">
        <f t="shared" si="173"/>
        <v>859033.10432000004</v>
      </c>
      <c r="W136" s="431">
        <v>12</v>
      </c>
      <c r="X136" s="424">
        <f t="shared" si="174"/>
        <v>71586.092026666694</v>
      </c>
      <c r="Y136" s="427"/>
      <c r="Z136" s="873">
        <f t="shared" si="175"/>
        <v>71586.092026666694</v>
      </c>
      <c r="AA136" s="753">
        <v>54681.291562666702</v>
      </c>
      <c r="AB136" s="753">
        <f t="shared" si="176"/>
        <v>16904.800464</v>
      </c>
      <c r="AC136" s="436"/>
      <c r="AD136" s="436"/>
      <c r="AE136" s="436"/>
    </row>
    <row r="137" spans="1:31" ht="14.25" x14ac:dyDescent="0.15">
      <c r="A137" s="421">
        <v>121</v>
      </c>
      <c r="B137" s="313" t="s">
        <v>288</v>
      </c>
      <c r="C137" s="424">
        <v>514993.58333333302</v>
      </c>
      <c r="D137" s="423">
        <v>12</v>
      </c>
      <c r="E137" s="424">
        <f t="shared" si="161"/>
        <v>6179923</v>
      </c>
      <c r="F137" s="424"/>
      <c r="G137" s="425">
        <v>436793.83999999898</v>
      </c>
      <c r="H137" s="427"/>
      <c r="I137" s="424">
        <f t="shared" si="162"/>
        <v>5743129.1600000001</v>
      </c>
      <c r="J137" s="424">
        <v>200000</v>
      </c>
      <c r="K137" s="424">
        <v>0.2</v>
      </c>
      <c r="L137" s="424">
        <f t="shared" si="163"/>
        <v>1148625.8319999999</v>
      </c>
      <c r="M137" s="424">
        <f t="shared" si="164"/>
        <v>1348625.8319999999</v>
      </c>
      <c r="N137" s="424">
        <f t="shared" si="165"/>
        <v>1785419.672</v>
      </c>
      <c r="O137" s="424">
        <f t="shared" si="166"/>
        <v>4394503.3279999997</v>
      </c>
      <c r="P137" s="424">
        <f t="shared" si="167"/>
        <v>21000</v>
      </c>
      <c r="Q137" s="424">
        <f t="shared" si="168"/>
        <v>33000</v>
      </c>
      <c r="R137" s="424">
        <f t="shared" si="169"/>
        <v>75000</v>
      </c>
      <c r="S137" s="424">
        <f t="shared" si="170"/>
        <v>95000</v>
      </c>
      <c r="T137" s="424">
        <f t="shared" si="171"/>
        <v>336000</v>
      </c>
      <c r="U137" s="424">
        <f t="shared" si="172"/>
        <v>286680.79871999897</v>
      </c>
      <c r="V137" s="424">
        <f t="shared" si="173"/>
        <v>846680.79871999903</v>
      </c>
      <c r="W137" s="431">
        <v>12</v>
      </c>
      <c r="X137" s="424">
        <f t="shared" si="174"/>
        <v>70556.733226666605</v>
      </c>
      <c r="Y137" s="427"/>
      <c r="Z137" s="873">
        <f t="shared" si="175"/>
        <v>70556.733226666605</v>
      </c>
      <c r="AA137" s="753">
        <v>52631.114666666697</v>
      </c>
      <c r="AB137" s="753">
        <f t="shared" si="176"/>
        <v>17925.618559999901</v>
      </c>
      <c r="AC137" s="436"/>
      <c r="AD137" s="436"/>
      <c r="AE137" s="436"/>
    </row>
    <row r="138" spans="1:31" ht="14.25" x14ac:dyDescent="0.15">
      <c r="A138" s="421">
        <v>122</v>
      </c>
      <c r="B138" s="597" t="s">
        <v>290</v>
      </c>
      <c r="C138" s="424">
        <v>501159</v>
      </c>
      <c r="D138" s="423">
        <v>12</v>
      </c>
      <c r="E138" s="424">
        <f t="shared" si="161"/>
        <v>6013908</v>
      </c>
      <c r="F138" s="424"/>
      <c r="G138" s="425">
        <v>423512.64</v>
      </c>
      <c r="H138" s="427"/>
      <c r="I138" s="424">
        <f t="shared" si="162"/>
        <v>5590395.3600000003</v>
      </c>
      <c r="J138" s="424">
        <v>200000</v>
      </c>
      <c r="K138" s="424">
        <v>0.2</v>
      </c>
      <c r="L138" s="424">
        <f t="shared" si="163"/>
        <v>1118079.0719999999</v>
      </c>
      <c r="M138" s="424">
        <f t="shared" si="164"/>
        <v>1318079.0719999999</v>
      </c>
      <c r="N138" s="424">
        <f t="shared" si="165"/>
        <v>1741591.7120000001</v>
      </c>
      <c r="O138" s="424">
        <f t="shared" si="166"/>
        <v>4272316.2879999997</v>
      </c>
      <c r="P138" s="424">
        <f t="shared" si="167"/>
        <v>21000</v>
      </c>
      <c r="Q138" s="424">
        <f t="shared" si="168"/>
        <v>33000</v>
      </c>
      <c r="R138" s="424">
        <f t="shared" si="169"/>
        <v>75000</v>
      </c>
      <c r="S138" s="424">
        <f t="shared" si="170"/>
        <v>95000</v>
      </c>
      <c r="T138" s="424">
        <f t="shared" si="171"/>
        <v>336000</v>
      </c>
      <c r="U138" s="424">
        <f t="shared" si="172"/>
        <v>257355.90912</v>
      </c>
      <c r="V138" s="424">
        <f t="shared" si="173"/>
        <v>817355.90911999997</v>
      </c>
      <c r="W138" s="431">
        <v>12</v>
      </c>
      <c r="X138" s="424">
        <f t="shared" si="174"/>
        <v>68112.992426666693</v>
      </c>
      <c r="Y138" s="427"/>
      <c r="Z138" s="873">
        <f t="shared" si="175"/>
        <v>68112.992426666693</v>
      </c>
      <c r="AA138" s="753">
        <v>52631.114666666697</v>
      </c>
      <c r="AB138" s="753">
        <f t="shared" si="176"/>
        <v>15481.877759999999</v>
      </c>
      <c r="AC138" s="436"/>
      <c r="AD138" s="436"/>
      <c r="AE138" s="436"/>
    </row>
    <row r="139" spans="1:31" ht="14.25" x14ac:dyDescent="0.15">
      <c r="A139" s="421">
        <v>123</v>
      </c>
      <c r="B139" s="597" t="s">
        <v>291</v>
      </c>
      <c r="C139" s="424">
        <v>501159</v>
      </c>
      <c r="D139" s="423">
        <v>12</v>
      </c>
      <c r="E139" s="424">
        <f t="shared" si="161"/>
        <v>6013908</v>
      </c>
      <c r="F139" s="424">
        <v>83469.375</v>
      </c>
      <c r="G139" s="425">
        <v>423512.64</v>
      </c>
      <c r="H139" s="427"/>
      <c r="I139" s="424">
        <f t="shared" si="162"/>
        <v>5506925.9850000003</v>
      </c>
      <c r="J139" s="424">
        <v>200000</v>
      </c>
      <c r="K139" s="424">
        <v>0.2</v>
      </c>
      <c r="L139" s="424">
        <f t="shared" si="163"/>
        <v>1101385.1969999999</v>
      </c>
      <c r="M139" s="424">
        <f t="shared" si="164"/>
        <v>1301385.1969999999</v>
      </c>
      <c r="N139" s="424">
        <f t="shared" si="165"/>
        <v>1808367.2120000001</v>
      </c>
      <c r="O139" s="424">
        <f t="shared" si="166"/>
        <v>4205540.7879999997</v>
      </c>
      <c r="P139" s="424">
        <f t="shared" si="167"/>
        <v>21000</v>
      </c>
      <c r="Q139" s="424">
        <f t="shared" si="168"/>
        <v>33000</v>
      </c>
      <c r="R139" s="424">
        <f t="shared" si="169"/>
        <v>75000</v>
      </c>
      <c r="S139" s="424">
        <f t="shared" si="170"/>
        <v>95000</v>
      </c>
      <c r="T139" s="424">
        <f t="shared" si="171"/>
        <v>336000</v>
      </c>
      <c r="U139" s="424">
        <f t="shared" si="172"/>
        <v>241329.78912</v>
      </c>
      <c r="V139" s="424">
        <f t="shared" si="173"/>
        <v>801329.78911999997</v>
      </c>
      <c r="W139" s="431">
        <v>12</v>
      </c>
      <c r="X139" s="424">
        <f t="shared" si="174"/>
        <v>66777.482426666698</v>
      </c>
      <c r="Y139" s="427"/>
      <c r="Z139" s="873">
        <f t="shared" si="175"/>
        <v>66777.482426666698</v>
      </c>
      <c r="AA139" s="753">
        <v>52631.114666666697</v>
      </c>
      <c r="AB139" s="753">
        <f t="shared" si="176"/>
        <v>14146.367759999999</v>
      </c>
      <c r="AC139" s="436"/>
      <c r="AD139" s="436"/>
      <c r="AE139" s="436"/>
    </row>
    <row r="140" spans="1:31" ht="14.25" x14ac:dyDescent="0.15">
      <c r="A140" s="421">
        <v>124</v>
      </c>
      <c r="B140" s="597" t="s">
        <v>293</v>
      </c>
      <c r="C140" s="424">
        <v>514993.58333333302</v>
      </c>
      <c r="D140" s="423">
        <v>12</v>
      </c>
      <c r="E140" s="424">
        <f t="shared" si="161"/>
        <v>6179923</v>
      </c>
      <c r="F140" s="424"/>
      <c r="G140" s="425">
        <v>436793.83999999898</v>
      </c>
      <c r="H140" s="427"/>
      <c r="I140" s="424">
        <f t="shared" si="162"/>
        <v>5743129.1600000001</v>
      </c>
      <c r="J140" s="424">
        <v>200000</v>
      </c>
      <c r="K140" s="424">
        <v>0.2</v>
      </c>
      <c r="L140" s="424">
        <f t="shared" si="163"/>
        <v>1148625.8319999999</v>
      </c>
      <c r="M140" s="424">
        <f t="shared" si="164"/>
        <v>1348625.8319999999</v>
      </c>
      <c r="N140" s="424">
        <f t="shared" si="165"/>
        <v>1785419.672</v>
      </c>
      <c r="O140" s="424">
        <f t="shared" si="166"/>
        <v>4394503.3279999997</v>
      </c>
      <c r="P140" s="424">
        <f t="shared" si="167"/>
        <v>21000</v>
      </c>
      <c r="Q140" s="424">
        <f t="shared" si="168"/>
        <v>33000</v>
      </c>
      <c r="R140" s="424">
        <f t="shared" si="169"/>
        <v>75000</v>
      </c>
      <c r="S140" s="424">
        <f t="shared" si="170"/>
        <v>95000</v>
      </c>
      <c r="T140" s="424">
        <f t="shared" si="171"/>
        <v>336000</v>
      </c>
      <c r="U140" s="424">
        <f t="shared" si="172"/>
        <v>286680.79871999897</v>
      </c>
      <c r="V140" s="424">
        <f t="shared" si="173"/>
        <v>846680.79871999903</v>
      </c>
      <c r="W140" s="431">
        <v>12</v>
      </c>
      <c r="X140" s="424">
        <f t="shared" si="174"/>
        <v>70556.733226666605</v>
      </c>
      <c r="Y140" s="427"/>
      <c r="Z140" s="873">
        <f t="shared" si="175"/>
        <v>70556.733226666605</v>
      </c>
      <c r="AA140" s="753">
        <v>52631.114666666697</v>
      </c>
      <c r="AB140" s="753">
        <f t="shared" si="176"/>
        <v>17925.618559999901</v>
      </c>
      <c r="AC140" s="436"/>
      <c r="AD140" s="436"/>
      <c r="AE140" s="436"/>
    </row>
    <row r="141" spans="1:31" ht="14.25" x14ac:dyDescent="0.15">
      <c r="A141" s="421">
        <v>125</v>
      </c>
      <c r="B141" s="597" t="s">
        <v>294</v>
      </c>
      <c r="C141" s="424">
        <v>450135.83333333401</v>
      </c>
      <c r="D141" s="423">
        <v>12</v>
      </c>
      <c r="E141" s="424">
        <f t="shared" si="161"/>
        <v>5401630.0000000102</v>
      </c>
      <c r="F141" s="424"/>
      <c r="G141" s="425">
        <v>374530.4</v>
      </c>
      <c r="H141" s="427"/>
      <c r="I141" s="424">
        <f t="shared" si="162"/>
        <v>5027099.6000000099</v>
      </c>
      <c r="J141" s="424">
        <v>200000</v>
      </c>
      <c r="K141" s="424">
        <v>0.2</v>
      </c>
      <c r="L141" s="424">
        <f t="shared" si="163"/>
        <v>1005419.92</v>
      </c>
      <c r="M141" s="424">
        <f t="shared" si="164"/>
        <v>1205419.92</v>
      </c>
      <c r="N141" s="424">
        <f t="shared" si="165"/>
        <v>1579950.32</v>
      </c>
      <c r="O141" s="424">
        <f t="shared" si="166"/>
        <v>3821679.6800000099</v>
      </c>
      <c r="P141" s="424">
        <f t="shared" si="167"/>
        <v>21000</v>
      </c>
      <c r="Q141" s="424">
        <f t="shared" si="168"/>
        <v>33000</v>
      </c>
      <c r="R141" s="424">
        <f t="shared" si="169"/>
        <v>75000</v>
      </c>
      <c r="S141" s="424">
        <f t="shared" si="170"/>
        <v>95000</v>
      </c>
      <c r="T141" s="424">
        <f t="shared" si="171"/>
        <v>336000</v>
      </c>
      <c r="U141" s="424">
        <f t="shared" si="172"/>
        <v>149203.12320000201</v>
      </c>
      <c r="V141" s="424">
        <f t="shared" si="173"/>
        <v>709203.12320000201</v>
      </c>
      <c r="W141" s="431">
        <v>12</v>
      </c>
      <c r="X141" s="424">
        <f t="shared" si="174"/>
        <v>59100.260266666803</v>
      </c>
      <c r="Y141" s="427"/>
      <c r="Z141" s="873">
        <f t="shared" si="175"/>
        <v>59100.260266666803</v>
      </c>
      <c r="AA141" s="753">
        <v>43763.907226666699</v>
      </c>
      <c r="AB141" s="753">
        <f t="shared" si="176"/>
        <v>15336.3530400001</v>
      </c>
      <c r="AC141" s="436"/>
      <c r="AD141" s="436"/>
      <c r="AE141" s="436"/>
    </row>
    <row r="142" spans="1:31" ht="27" x14ac:dyDescent="0.15">
      <c r="A142" s="421">
        <v>126</v>
      </c>
      <c r="B142" s="597" t="s">
        <v>296</v>
      </c>
      <c r="C142" s="424">
        <v>407016.16666666599</v>
      </c>
      <c r="D142" s="423">
        <v>12</v>
      </c>
      <c r="E142" s="424">
        <f t="shared" si="161"/>
        <v>4884193.9999999898</v>
      </c>
      <c r="F142" s="424"/>
      <c r="G142" s="425">
        <v>333135.52</v>
      </c>
      <c r="H142" s="427"/>
      <c r="I142" s="424">
        <f t="shared" si="162"/>
        <v>4551058.4799999902</v>
      </c>
      <c r="J142" s="424">
        <v>200000</v>
      </c>
      <c r="K142" s="424">
        <v>0.2</v>
      </c>
      <c r="L142" s="424">
        <f t="shared" si="163"/>
        <v>910211.69599999802</v>
      </c>
      <c r="M142" s="424">
        <f t="shared" si="164"/>
        <v>1110211.696</v>
      </c>
      <c r="N142" s="424">
        <f t="shared" si="165"/>
        <v>1443347.216</v>
      </c>
      <c r="O142" s="424">
        <f t="shared" si="166"/>
        <v>3440846.7839999902</v>
      </c>
      <c r="P142" s="424">
        <f t="shared" si="167"/>
        <v>21000</v>
      </c>
      <c r="Q142" s="424">
        <f t="shared" si="168"/>
        <v>33000</v>
      </c>
      <c r="R142" s="424">
        <f t="shared" si="169"/>
        <v>75000</v>
      </c>
      <c r="S142" s="424">
        <f t="shared" si="170"/>
        <v>95000</v>
      </c>
      <c r="T142" s="424">
        <f t="shared" si="171"/>
        <v>336000</v>
      </c>
      <c r="U142" s="424">
        <f t="shared" si="172"/>
        <v>57803.228159998398</v>
      </c>
      <c r="V142" s="424">
        <f t="shared" si="173"/>
        <v>617803.22815999796</v>
      </c>
      <c r="W142" s="431">
        <v>12</v>
      </c>
      <c r="X142" s="424">
        <f t="shared" si="174"/>
        <v>51483.602346666499</v>
      </c>
      <c r="Y142" s="427"/>
      <c r="Z142" s="873">
        <f t="shared" si="175"/>
        <v>51483.602346666499</v>
      </c>
      <c r="AA142" s="753">
        <v>37921.500586666698</v>
      </c>
      <c r="AB142" s="753">
        <f t="shared" si="176"/>
        <v>13562.101759999799</v>
      </c>
      <c r="AC142" s="436"/>
      <c r="AD142" s="436"/>
      <c r="AE142" s="436"/>
    </row>
    <row r="143" spans="1:31" ht="14.25" x14ac:dyDescent="0.15">
      <c r="A143" s="421">
        <v>127</v>
      </c>
      <c r="B143" s="597" t="s">
        <v>298</v>
      </c>
      <c r="C143" s="424">
        <v>516564.75</v>
      </c>
      <c r="D143" s="423">
        <v>12</v>
      </c>
      <c r="E143" s="424">
        <f t="shared" si="161"/>
        <v>6198777</v>
      </c>
      <c r="F143" s="424"/>
      <c r="G143" s="425">
        <v>438302.16</v>
      </c>
      <c r="H143" s="427"/>
      <c r="I143" s="424">
        <f t="shared" si="162"/>
        <v>5760474.8399999999</v>
      </c>
      <c r="J143" s="424">
        <v>200000</v>
      </c>
      <c r="K143" s="424">
        <v>0.2</v>
      </c>
      <c r="L143" s="424">
        <f t="shared" si="163"/>
        <v>1152094.9680000001</v>
      </c>
      <c r="M143" s="424">
        <f t="shared" si="164"/>
        <v>1352094.9680000001</v>
      </c>
      <c r="N143" s="424">
        <f t="shared" si="165"/>
        <v>1790397.128</v>
      </c>
      <c r="O143" s="424">
        <f t="shared" si="166"/>
        <v>4408379.8720000004</v>
      </c>
      <c r="P143" s="424">
        <f t="shared" si="167"/>
        <v>21000</v>
      </c>
      <c r="Q143" s="424">
        <f t="shared" si="168"/>
        <v>33000</v>
      </c>
      <c r="R143" s="424">
        <f t="shared" si="169"/>
        <v>75000</v>
      </c>
      <c r="S143" s="424">
        <f t="shared" si="170"/>
        <v>95000</v>
      </c>
      <c r="T143" s="424">
        <f t="shared" si="171"/>
        <v>336000</v>
      </c>
      <c r="U143" s="424">
        <f t="shared" si="172"/>
        <v>290011.16927999997</v>
      </c>
      <c r="V143" s="424">
        <f t="shared" si="173"/>
        <v>850011.16928000003</v>
      </c>
      <c r="W143" s="431">
        <v>12</v>
      </c>
      <c r="X143" s="424">
        <f t="shared" si="174"/>
        <v>70834.264106666698</v>
      </c>
      <c r="Y143" s="427"/>
      <c r="Z143" s="873">
        <f t="shared" si="175"/>
        <v>70834.264106666698</v>
      </c>
      <c r="AA143" s="753">
        <v>44990.482506666704</v>
      </c>
      <c r="AB143" s="753">
        <f t="shared" si="176"/>
        <v>25843.781599999998</v>
      </c>
      <c r="AC143" s="436"/>
      <c r="AD143" s="436"/>
      <c r="AE143" s="436"/>
    </row>
    <row r="144" spans="1:31" ht="14.25" x14ac:dyDescent="0.15">
      <c r="A144" s="421">
        <v>128</v>
      </c>
      <c r="B144" s="597" t="s">
        <v>301</v>
      </c>
      <c r="C144" s="424">
        <v>415320.66666666698</v>
      </c>
      <c r="D144" s="423">
        <v>12</v>
      </c>
      <c r="E144" s="424">
        <f t="shared" si="161"/>
        <v>4983848</v>
      </c>
      <c r="F144" s="424"/>
      <c r="G144" s="425">
        <v>341107.84000000102</v>
      </c>
      <c r="H144" s="427"/>
      <c r="I144" s="424">
        <f t="shared" si="162"/>
        <v>4642740.16</v>
      </c>
      <c r="J144" s="424">
        <v>200000</v>
      </c>
      <c r="K144" s="424">
        <v>0.2</v>
      </c>
      <c r="L144" s="424">
        <f t="shared" si="163"/>
        <v>928548.03200000105</v>
      </c>
      <c r="M144" s="424">
        <f t="shared" si="164"/>
        <v>1128548.0319999999</v>
      </c>
      <c r="N144" s="424">
        <f t="shared" si="165"/>
        <v>1469655.872</v>
      </c>
      <c r="O144" s="424">
        <f t="shared" si="166"/>
        <v>3514192.128</v>
      </c>
      <c r="P144" s="424">
        <f t="shared" si="167"/>
        <v>21000</v>
      </c>
      <c r="Q144" s="424">
        <f t="shared" si="168"/>
        <v>33000</v>
      </c>
      <c r="R144" s="424">
        <f t="shared" si="169"/>
        <v>75000</v>
      </c>
      <c r="S144" s="424">
        <f t="shared" si="170"/>
        <v>95000</v>
      </c>
      <c r="T144" s="424">
        <f t="shared" si="171"/>
        <v>336000</v>
      </c>
      <c r="U144" s="424">
        <f t="shared" si="172"/>
        <v>75406.110720000594</v>
      </c>
      <c r="V144" s="424">
        <f t="shared" si="173"/>
        <v>635406.11072000104</v>
      </c>
      <c r="W144" s="431">
        <v>12</v>
      </c>
      <c r="X144" s="424">
        <f t="shared" si="174"/>
        <v>52950.509226666698</v>
      </c>
      <c r="Y144" s="427"/>
      <c r="Z144" s="873">
        <f t="shared" si="175"/>
        <v>52950.509226666698</v>
      </c>
      <c r="AA144" s="753">
        <v>39052.313066666698</v>
      </c>
      <c r="AB144" s="753">
        <f t="shared" si="176"/>
        <v>13898.19616</v>
      </c>
      <c r="AC144" s="436"/>
      <c r="AD144" s="436"/>
      <c r="AE144" s="436"/>
    </row>
    <row r="145" spans="1:31" ht="14.25" x14ac:dyDescent="0.15">
      <c r="A145" s="421">
        <v>129</v>
      </c>
      <c r="B145" s="597" t="s">
        <v>303</v>
      </c>
      <c r="C145" s="424">
        <v>516564.75</v>
      </c>
      <c r="D145" s="423">
        <v>12</v>
      </c>
      <c r="E145" s="424">
        <f t="shared" si="161"/>
        <v>6198777</v>
      </c>
      <c r="F145" s="424">
        <v>92670.45</v>
      </c>
      <c r="G145" s="425">
        <v>438302.16</v>
      </c>
      <c r="H145" s="427"/>
      <c r="I145" s="424">
        <f t="shared" si="162"/>
        <v>5667804.3899999997</v>
      </c>
      <c r="J145" s="424">
        <v>200000</v>
      </c>
      <c r="K145" s="424">
        <v>0.2</v>
      </c>
      <c r="L145" s="424">
        <f t="shared" si="163"/>
        <v>1133560.878</v>
      </c>
      <c r="M145" s="424">
        <f t="shared" si="164"/>
        <v>1333560.878</v>
      </c>
      <c r="N145" s="424">
        <f t="shared" si="165"/>
        <v>1864533.4879999999</v>
      </c>
      <c r="O145" s="424">
        <f t="shared" si="166"/>
        <v>4334243.5120000001</v>
      </c>
      <c r="P145" s="424">
        <f t="shared" si="167"/>
        <v>21000</v>
      </c>
      <c r="Q145" s="424">
        <f t="shared" si="168"/>
        <v>33000</v>
      </c>
      <c r="R145" s="424">
        <f t="shared" si="169"/>
        <v>75000</v>
      </c>
      <c r="S145" s="424">
        <f t="shared" si="170"/>
        <v>95000</v>
      </c>
      <c r="T145" s="424">
        <f t="shared" si="171"/>
        <v>336000</v>
      </c>
      <c r="U145" s="424">
        <f t="shared" si="172"/>
        <v>272218.44287999999</v>
      </c>
      <c r="V145" s="424">
        <f t="shared" si="173"/>
        <v>832218.44287999999</v>
      </c>
      <c r="W145" s="431">
        <v>12</v>
      </c>
      <c r="X145" s="424">
        <f t="shared" si="174"/>
        <v>69351.536906666704</v>
      </c>
      <c r="Y145" s="427"/>
      <c r="Z145" s="873">
        <f t="shared" si="175"/>
        <v>69351.536906666704</v>
      </c>
      <c r="AA145" s="753">
        <v>44913.699618666702</v>
      </c>
      <c r="AB145" s="753">
        <f t="shared" si="176"/>
        <v>24437.837287999999</v>
      </c>
      <c r="AC145" s="436"/>
      <c r="AD145" s="436"/>
      <c r="AE145" s="436"/>
    </row>
    <row r="146" spans="1:31" ht="14.25" x14ac:dyDescent="0.15">
      <c r="A146" s="421">
        <v>130</v>
      </c>
      <c r="B146" s="597" t="s">
        <v>305</v>
      </c>
      <c r="C146" s="424">
        <v>415320.66666666698</v>
      </c>
      <c r="D146" s="423">
        <v>12</v>
      </c>
      <c r="E146" s="424">
        <f t="shared" si="161"/>
        <v>4983848</v>
      </c>
      <c r="F146" s="424"/>
      <c r="G146" s="425">
        <v>341107.84000000102</v>
      </c>
      <c r="H146" s="427"/>
      <c r="I146" s="424">
        <f t="shared" si="162"/>
        <v>4642740.16</v>
      </c>
      <c r="J146" s="424">
        <v>200000</v>
      </c>
      <c r="K146" s="424">
        <v>0.2</v>
      </c>
      <c r="L146" s="424">
        <f t="shared" si="163"/>
        <v>928548.03200000105</v>
      </c>
      <c r="M146" s="424">
        <f t="shared" si="164"/>
        <v>1128548.0319999999</v>
      </c>
      <c r="N146" s="424">
        <f t="shared" si="165"/>
        <v>1469655.872</v>
      </c>
      <c r="O146" s="424">
        <f t="shared" si="166"/>
        <v>3514192.128</v>
      </c>
      <c r="P146" s="424">
        <f t="shared" si="167"/>
        <v>21000</v>
      </c>
      <c r="Q146" s="424">
        <f t="shared" si="168"/>
        <v>33000</v>
      </c>
      <c r="R146" s="424">
        <f t="shared" si="169"/>
        <v>75000</v>
      </c>
      <c r="S146" s="424">
        <f t="shared" si="170"/>
        <v>95000</v>
      </c>
      <c r="T146" s="424">
        <f t="shared" si="171"/>
        <v>336000</v>
      </c>
      <c r="U146" s="424">
        <f t="shared" si="172"/>
        <v>75406.110720000594</v>
      </c>
      <c r="V146" s="424">
        <f t="shared" si="173"/>
        <v>635406.11072000104</v>
      </c>
      <c r="W146" s="431">
        <v>12</v>
      </c>
      <c r="X146" s="424">
        <f t="shared" si="174"/>
        <v>52950.509226666698</v>
      </c>
      <c r="Y146" s="427"/>
      <c r="Z146" s="873">
        <f t="shared" si="175"/>
        <v>52950.509226666698</v>
      </c>
      <c r="AA146" s="753">
        <v>39052.313066666698</v>
      </c>
      <c r="AB146" s="753">
        <f t="shared" si="176"/>
        <v>13898.19616</v>
      </c>
      <c r="AC146" s="436"/>
      <c r="AD146" s="436"/>
      <c r="AE146" s="436"/>
    </row>
    <row r="147" spans="1:31" ht="14.25" x14ac:dyDescent="0.15">
      <c r="A147" s="421">
        <v>131</v>
      </c>
      <c r="B147" s="313" t="s">
        <v>307</v>
      </c>
      <c r="C147" s="424">
        <v>398711.66666666698</v>
      </c>
      <c r="D147" s="423">
        <v>12</v>
      </c>
      <c r="E147" s="424">
        <f t="shared" si="161"/>
        <v>4784540</v>
      </c>
      <c r="F147" s="424"/>
      <c r="G147" s="425">
        <v>325163.200000001</v>
      </c>
      <c r="H147" s="427"/>
      <c r="I147" s="424">
        <f t="shared" si="162"/>
        <v>4459376.8</v>
      </c>
      <c r="J147" s="424">
        <v>200000</v>
      </c>
      <c r="K147" s="424">
        <v>0.2</v>
      </c>
      <c r="L147" s="424">
        <f t="shared" si="163"/>
        <v>891875.36000000103</v>
      </c>
      <c r="M147" s="424">
        <f t="shared" si="164"/>
        <v>1091875.3600000001</v>
      </c>
      <c r="N147" s="424">
        <f t="shared" si="165"/>
        <v>1417038.56</v>
      </c>
      <c r="O147" s="424">
        <f t="shared" si="166"/>
        <v>3367501.44</v>
      </c>
      <c r="P147" s="424">
        <f t="shared" si="167"/>
        <v>21000</v>
      </c>
      <c r="Q147" s="424">
        <f t="shared" si="168"/>
        <v>33000</v>
      </c>
      <c r="R147" s="424">
        <f t="shared" si="169"/>
        <v>75000</v>
      </c>
      <c r="S147" s="424">
        <f t="shared" si="170"/>
        <v>95000</v>
      </c>
      <c r="T147" s="424">
        <f t="shared" si="171"/>
        <v>336000</v>
      </c>
      <c r="U147" s="424">
        <f t="shared" si="172"/>
        <v>40200.345600000503</v>
      </c>
      <c r="V147" s="424">
        <f t="shared" si="173"/>
        <v>600200.34560000105</v>
      </c>
      <c r="W147" s="431">
        <v>12</v>
      </c>
      <c r="X147" s="424">
        <f t="shared" si="174"/>
        <v>50016.695466666701</v>
      </c>
      <c r="Y147" s="427"/>
      <c r="Z147" s="873">
        <f t="shared" si="175"/>
        <v>50016.695466666701</v>
      </c>
      <c r="AA147" s="753">
        <v>36790.688106666697</v>
      </c>
      <c r="AB147" s="753">
        <f t="shared" si="176"/>
        <v>13226.00736</v>
      </c>
      <c r="AC147" s="436"/>
      <c r="AD147" s="436"/>
      <c r="AE147" s="436"/>
    </row>
    <row r="148" spans="1:31" ht="14.25" x14ac:dyDescent="0.15">
      <c r="A148" s="421">
        <v>132</v>
      </c>
      <c r="B148" s="313" t="s">
        <v>309</v>
      </c>
      <c r="C148" s="424">
        <v>398711.66666666698</v>
      </c>
      <c r="D148" s="423">
        <v>12</v>
      </c>
      <c r="E148" s="424">
        <f t="shared" si="161"/>
        <v>4784540</v>
      </c>
      <c r="F148" s="424"/>
      <c r="G148" s="425">
        <v>325163.200000001</v>
      </c>
      <c r="H148" s="427"/>
      <c r="I148" s="424">
        <f t="shared" si="162"/>
        <v>4459376.8</v>
      </c>
      <c r="J148" s="424">
        <v>200000</v>
      </c>
      <c r="K148" s="424">
        <v>0.2</v>
      </c>
      <c r="L148" s="424">
        <f t="shared" si="163"/>
        <v>891875.36000000103</v>
      </c>
      <c r="M148" s="424">
        <f t="shared" si="164"/>
        <v>1091875.3600000001</v>
      </c>
      <c r="N148" s="424">
        <f t="shared" si="165"/>
        <v>1417038.56</v>
      </c>
      <c r="O148" s="424">
        <f t="shared" si="166"/>
        <v>3367501.44</v>
      </c>
      <c r="P148" s="424">
        <f t="shared" si="167"/>
        <v>21000</v>
      </c>
      <c r="Q148" s="424">
        <f t="shared" si="168"/>
        <v>33000</v>
      </c>
      <c r="R148" s="424">
        <f t="shared" si="169"/>
        <v>75000</v>
      </c>
      <c r="S148" s="424">
        <f t="shared" si="170"/>
        <v>95000</v>
      </c>
      <c r="T148" s="424">
        <f t="shared" si="171"/>
        <v>336000</v>
      </c>
      <c r="U148" s="424">
        <f t="shared" si="172"/>
        <v>40200.345600000503</v>
      </c>
      <c r="V148" s="424">
        <f t="shared" si="173"/>
        <v>600200.34560000105</v>
      </c>
      <c r="W148" s="431">
        <v>12</v>
      </c>
      <c r="X148" s="424">
        <f t="shared" si="174"/>
        <v>50016.695466666701</v>
      </c>
      <c r="Y148" s="427"/>
      <c r="Z148" s="873">
        <f t="shared" si="175"/>
        <v>50016.695466666701</v>
      </c>
      <c r="AA148" s="753">
        <v>35110.688106666697</v>
      </c>
      <c r="AB148" s="753">
        <f t="shared" si="176"/>
        <v>14906.00736</v>
      </c>
      <c r="AC148" s="436"/>
      <c r="AD148" s="436"/>
      <c r="AE148" s="436"/>
    </row>
    <row r="149" spans="1:31" ht="14.25" x14ac:dyDescent="0.15">
      <c r="A149" s="421">
        <v>133</v>
      </c>
      <c r="B149" s="313" t="s">
        <v>312</v>
      </c>
      <c r="C149" s="424">
        <v>351910.75</v>
      </c>
      <c r="D149" s="423">
        <v>12</v>
      </c>
      <c r="E149" s="424">
        <f t="shared" si="161"/>
        <v>4222929</v>
      </c>
      <c r="F149" s="424"/>
      <c r="G149" s="425">
        <v>289834.32</v>
      </c>
      <c r="H149" s="427"/>
      <c r="I149" s="424">
        <f t="shared" si="162"/>
        <v>3933094.68</v>
      </c>
      <c r="J149" s="424">
        <v>200000</v>
      </c>
      <c r="K149" s="424">
        <v>0.2</v>
      </c>
      <c r="L149" s="424">
        <f t="shared" si="163"/>
        <v>786618.93599999999</v>
      </c>
      <c r="M149" s="424">
        <f t="shared" si="164"/>
        <v>986618.93599999999</v>
      </c>
      <c r="N149" s="424">
        <f t="shared" si="165"/>
        <v>1276453.2560000001</v>
      </c>
      <c r="O149" s="424">
        <f t="shared" si="166"/>
        <v>2946475.7439999999</v>
      </c>
      <c r="P149" s="424">
        <f t="shared" si="167"/>
        <v>21000</v>
      </c>
      <c r="Q149" s="424">
        <f t="shared" si="168"/>
        <v>33000</v>
      </c>
      <c r="R149" s="424">
        <f t="shared" si="169"/>
        <v>75000</v>
      </c>
      <c r="S149" s="424">
        <f t="shared" si="170"/>
        <v>95000</v>
      </c>
      <c r="T149" s="424">
        <f t="shared" si="171"/>
        <v>282759.90623999998</v>
      </c>
      <c r="U149" s="424"/>
      <c r="V149" s="424">
        <f t="shared" si="173"/>
        <v>506759.90623999998</v>
      </c>
      <c r="W149" s="431">
        <v>12</v>
      </c>
      <c r="X149" s="424">
        <f t="shared" si="174"/>
        <v>42229.992186666699</v>
      </c>
      <c r="Y149" s="427"/>
      <c r="Z149" s="873">
        <f t="shared" si="175"/>
        <v>42229.992186666699</v>
      </c>
      <c r="AA149" s="753">
        <v>30259.165626666701</v>
      </c>
      <c r="AB149" s="753">
        <f t="shared" si="176"/>
        <v>11970.82656</v>
      </c>
      <c r="AC149" s="436"/>
      <c r="AD149" s="436"/>
      <c r="AE149" s="436"/>
    </row>
    <row r="150" spans="1:31" ht="14.25" x14ac:dyDescent="0.15">
      <c r="A150" s="421">
        <v>134</v>
      </c>
      <c r="B150" s="313" t="s">
        <v>314</v>
      </c>
      <c r="C150" s="424">
        <v>351910.75</v>
      </c>
      <c r="D150" s="423">
        <v>12</v>
      </c>
      <c r="E150" s="424">
        <f t="shared" si="161"/>
        <v>4222929</v>
      </c>
      <c r="F150" s="424"/>
      <c r="G150" s="425">
        <v>289834.32</v>
      </c>
      <c r="H150" s="427"/>
      <c r="I150" s="424">
        <f t="shared" si="162"/>
        <v>3933094.68</v>
      </c>
      <c r="J150" s="424">
        <v>200000</v>
      </c>
      <c r="K150" s="424">
        <v>0.2</v>
      </c>
      <c r="L150" s="424">
        <f t="shared" si="163"/>
        <v>786618.93599999999</v>
      </c>
      <c r="M150" s="424">
        <f t="shared" si="164"/>
        <v>986618.93599999999</v>
      </c>
      <c r="N150" s="424">
        <f t="shared" si="165"/>
        <v>1276453.2560000001</v>
      </c>
      <c r="O150" s="424">
        <f t="shared" si="166"/>
        <v>2946475.7439999999</v>
      </c>
      <c r="P150" s="424">
        <f t="shared" si="167"/>
        <v>21000</v>
      </c>
      <c r="Q150" s="424">
        <f t="shared" si="168"/>
        <v>33000</v>
      </c>
      <c r="R150" s="424">
        <f t="shared" si="169"/>
        <v>75000</v>
      </c>
      <c r="S150" s="424">
        <f t="shared" si="170"/>
        <v>95000</v>
      </c>
      <c r="T150" s="424">
        <f t="shared" si="171"/>
        <v>282759.90623999998</v>
      </c>
      <c r="U150" s="424"/>
      <c r="V150" s="424">
        <f t="shared" si="173"/>
        <v>506759.90623999998</v>
      </c>
      <c r="W150" s="431">
        <v>12</v>
      </c>
      <c r="X150" s="424">
        <f t="shared" si="174"/>
        <v>42229.992186666699</v>
      </c>
      <c r="Y150" s="427"/>
      <c r="Z150" s="873">
        <f t="shared" si="175"/>
        <v>42229.992186666699</v>
      </c>
      <c r="AA150" s="753">
        <v>30259.165626666701</v>
      </c>
      <c r="AB150" s="753">
        <f t="shared" si="176"/>
        <v>11970.82656</v>
      </c>
      <c r="AC150" s="436"/>
      <c r="AD150" s="436"/>
      <c r="AE150" s="436"/>
    </row>
    <row r="151" spans="1:31" ht="14.25" x14ac:dyDescent="0.15">
      <c r="A151" s="421">
        <v>135</v>
      </c>
      <c r="B151" s="313" t="s">
        <v>316</v>
      </c>
      <c r="C151" s="424">
        <v>351910.75</v>
      </c>
      <c r="D151" s="423">
        <v>12</v>
      </c>
      <c r="E151" s="424">
        <f t="shared" si="161"/>
        <v>4222929</v>
      </c>
      <c r="F151" s="424"/>
      <c r="G151" s="425">
        <v>289834.32</v>
      </c>
      <c r="H151" s="427"/>
      <c r="I151" s="424">
        <f t="shared" si="162"/>
        <v>3933094.68</v>
      </c>
      <c r="J151" s="424">
        <v>200000</v>
      </c>
      <c r="K151" s="424">
        <v>0.2</v>
      </c>
      <c r="L151" s="424">
        <f t="shared" si="163"/>
        <v>786618.93599999999</v>
      </c>
      <c r="M151" s="424">
        <f t="shared" si="164"/>
        <v>986618.93599999999</v>
      </c>
      <c r="N151" s="424">
        <f t="shared" si="165"/>
        <v>1276453.2560000001</v>
      </c>
      <c r="O151" s="424">
        <f t="shared" si="166"/>
        <v>2946475.7439999999</v>
      </c>
      <c r="P151" s="424">
        <f t="shared" si="167"/>
        <v>21000</v>
      </c>
      <c r="Q151" s="424">
        <f t="shared" si="168"/>
        <v>33000</v>
      </c>
      <c r="R151" s="424">
        <f t="shared" si="169"/>
        <v>75000</v>
      </c>
      <c r="S151" s="424">
        <f t="shared" si="170"/>
        <v>95000</v>
      </c>
      <c r="T151" s="424">
        <f t="shared" si="171"/>
        <v>282759.90623999998</v>
      </c>
      <c r="U151" s="424"/>
      <c r="V151" s="424">
        <f t="shared" si="173"/>
        <v>506759.90623999998</v>
      </c>
      <c r="W151" s="431">
        <v>12</v>
      </c>
      <c r="X151" s="424">
        <f t="shared" si="174"/>
        <v>42229.992186666699</v>
      </c>
      <c r="Y151" s="427"/>
      <c r="Z151" s="873">
        <f t="shared" si="175"/>
        <v>42229.992186666699</v>
      </c>
      <c r="AA151" s="753">
        <v>30259.165626666701</v>
      </c>
      <c r="AB151" s="753">
        <f t="shared" si="176"/>
        <v>11970.82656</v>
      </c>
      <c r="AC151" s="436"/>
      <c r="AD151" s="436"/>
      <c r="AE151" s="436"/>
    </row>
    <row r="152" spans="1:31" ht="14.25" x14ac:dyDescent="0.15">
      <c r="A152" s="421">
        <v>136</v>
      </c>
      <c r="B152" s="313" t="s">
        <v>318</v>
      </c>
      <c r="C152" s="424">
        <v>358920.66666666698</v>
      </c>
      <c r="D152" s="423">
        <v>12</v>
      </c>
      <c r="E152" s="424">
        <f t="shared" si="161"/>
        <v>4307048</v>
      </c>
      <c r="F152" s="424"/>
      <c r="G152" s="425">
        <v>296563.84000000102</v>
      </c>
      <c r="H152" s="427"/>
      <c r="I152" s="424">
        <f t="shared" si="162"/>
        <v>4010484.16</v>
      </c>
      <c r="J152" s="424">
        <v>200000</v>
      </c>
      <c r="K152" s="424">
        <v>0.2</v>
      </c>
      <c r="L152" s="424">
        <f t="shared" si="163"/>
        <v>802096.83200000098</v>
      </c>
      <c r="M152" s="424">
        <f t="shared" si="164"/>
        <v>1002096.8320000001</v>
      </c>
      <c r="N152" s="424">
        <f t="shared" si="165"/>
        <v>1298660.672</v>
      </c>
      <c r="O152" s="424">
        <f t="shared" si="166"/>
        <v>3008387.3280000002</v>
      </c>
      <c r="P152" s="424">
        <f t="shared" si="167"/>
        <v>21000</v>
      </c>
      <c r="Q152" s="424">
        <f t="shared" si="168"/>
        <v>33000</v>
      </c>
      <c r="R152" s="424">
        <f t="shared" si="169"/>
        <v>75000</v>
      </c>
      <c r="S152" s="424">
        <f t="shared" si="170"/>
        <v>95000</v>
      </c>
      <c r="T152" s="424">
        <f t="shared" si="171"/>
        <v>295761.33888</v>
      </c>
      <c r="U152" s="424"/>
      <c r="V152" s="424">
        <f t="shared" si="173"/>
        <v>519761.33888</v>
      </c>
      <c r="W152" s="431">
        <v>12</v>
      </c>
      <c r="X152" s="424">
        <f t="shared" si="174"/>
        <v>43313.4449066667</v>
      </c>
      <c r="Y152" s="427"/>
      <c r="Z152" s="873">
        <f t="shared" si="175"/>
        <v>43313.4449066667</v>
      </c>
      <c r="AA152" s="753">
        <v>31213.135706666701</v>
      </c>
      <c r="AB152" s="753">
        <f t="shared" si="176"/>
        <v>12100.3092</v>
      </c>
      <c r="AC152" s="436"/>
      <c r="AD152" s="436"/>
      <c r="AE152" s="436"/>
    </row>
    <row r="153" spans="1:31" ht="14.25" x14ac:dyDescent="0.15">
      <c r="A153" s="421">
        <v>137</v>
      </c>
      <c r="B153" s="313" t="s">
        <v>320</v>
      </c>
      <c r="C153" s="424">
        <v>351910.75</v>
      </c>
      <c r="D153" s="423">
        <v>12</v>
      </c>
      <c r="E153" s="424">
        <f t="shared" si="161"/>
        <v>4222929</v>
      </c>
      <c r="F153" s="424"/>
      <c r="G153" s="425">
        <v>289834.32</v>
      </c>
      <c r="H153" s="427"/>
      <c r="I153" s="424">
        <f t="shared" si="162"/>
        <v>3933094.68</v>
      </c>
      <c r="J153" s="424">
        <v>200000</v>
      </c>
      <c r="K153" s="424">
        <v>0.2</v>
      </c>
      <c r="L153" s="424">
        <f t="shared" si="163"/>
        <v>786618.93599999999</v>
      </c>
      <c r="M153" s="424">
        <f t="shared" si="164"/>
        <v>986618.93599999999</v>
      </c>
      <c r="N153" s="424">
        <f t="shared" si="165"/>
        <v>1276453.2560000001</v>
      </c>
      <c r="O153" s="424">
        <f t="shared" si="166"/>
        <v>2946475.7439999999</v>
      </c>
      <c r="P153" s="424">
        <f t="shared" si="167"/>
        <v>21000</v>
      </c>
      <c r="Q153" s="424">
        <f t="shared" si="168"/>
        <v>33000</v>
      </c>
      <c r="R153" s="424">
        <f t="shared" si="169"/>
        <v>75000</v>
      </c>
      <c r="S153" s="424">
        <f t="shared" si="170"/>
        <v>95000</v>
      </c>
      <c r="T153" s="424">
        <f t="shared" si="171"/>
        <v>282759.90623999998</v>
      </c>
      <c r="U153" s="424"/>
      <c r="V153" s="424">
        <f t="shared" si="173"/>
        <v>506759.90623999998</v>
      </c>
      <c r="W153" s="431">
        <v>12</v>
      </c>
      <c r="X153" s="424">
        <f t="shared" si="174"/>
        <v>42229.992186666699</v>
      </c>
      <c r="Y153" s="427"/>
      <c r="Z153" s="873">
        <f t="shared" si="175"/>
        <v>42229.992186666699</v>
      </c>
      <c r="AA153" s="753">
        <v>30259.165626666701</v>
      </c>
      <c r="AB153" s="753">
        <f t="shared" si="176"/>
        <v>11970.82656</v>
      </c>
      <c r="AC153" s="436"/>
      <c r="AD153" s="436"/>
      <c r="AE153" s="436"/>
    </row>
    <row r="154" spans="1:31" ht="14.25" x14ac:dyDescent="0.15">
      <c r="A154" s="421">
        <v>138</v>
      </c>
      <c r="B154" s="313" t="s">
        <v>321</v>
      </c>
      <c r="C154" s="424">
        <v>344900.83333333401</v>
      </c>
      <c r="D154" s="423">
        <v>12</v>
      </c>
      <c r="E154" s="424">
        <f t="shared" si="161"/>
        <v>4138810.0000000098</v>
      </c>
      <c r="F154" s="424"/>
      <c r="G154" s="425">
        <v>283104.8</v>
      </c>
      <c r="H154" s="427"/>
      <c r="I154" s="424">
        <f t="shared" si="162"/>
        <v>3855705.20000001</v>
      </c>
      <c r="J154" s="424">
        <v>200000</v>
      </c>
      <c r="K154" s="424">
        <v>0.2</v>
      </c>
      <c r="L154" s="424">
        <f t="shared" si="163"/>
        <v>771141.04000000202</v>
      </c>
      <c r="M154" s="424">
        <f t="shared" si="164"/>
        <v>971141.04000000202</v>
      </c>
      <c r="N154" s="424">
        <f t="shared" si="165"/>
        <v>1254245.8400000001</v>
      </c>
      <c r="O154" s="424">
        <f t="shared" si="166"/>
        <v>2884564.1600000099</v>
      </c>
      <c r="P154" s="424">
        <f t="shared" si="167"/>
        <v>21000</v>
      </c>
      <c r="Q154" s="424">
        <f t="shared" si="168"/>
        <v>33000</v>
      </c>
      <c r="R154" s="424">
        <f t="shared" si="169"/>
        <v>75000</v>
      </c>
      <c r="S154" s="424">
        <f t="shared" si="170"/>
        <v>95000</v>
      </c>
      <c r="T154" s="424">
        <f t="shared" si="171"/>
        <v>269758.47360000102</v>
      </c>
      <c r="U154" s="424"/>
      <c r="V154" s="424">
        <f t="shared" si="173"/>
        <v>493758.47360000102</v>
      </c>
      <c r="W154" s="431">
        <v>12</v>
      </c>
      <c r="X154" s="424">
        <f t="shared" si="174"/>
        <v>41146.5394666668</v>
      </c>
      <c r="Y154" s="427"/>
      <c r="Z154" s="873">
        <f t="shared" si="175"/>
        <v>41146.5394666668</v>
      </c>
      <c r="AA154" s="753">
        <v>29305.1955466666</v>
      </c>
      <c r="AB154" s="753">
        <f t="shared" si="176"/>
        <v>11841.343920000199</v>
      </c>
      <c r="AC154" s="436"/>
      <c r="AD154" s="436"/>
      <c r="AE154" s="436"/>
    </row>
    <row r="155" spans="1:31" ht="14.25" x14ac:dyDescent="0.15">
      <c r="A155" s="421">
        <v>139</v>
      </c>
      <c r="B155" s="313" t="s">
        <v>323</v>
      </c>
      <c r="C155" s="424">
        <v>344900.83333333401</v>
      </c>
      <c r="D155" s="423">
        <v>12</v>
      </c>
      <c r="E155" s="424">
        <f t="shared" si="161"/>
        <v>4138810.0000000098</v>
      </c>
      <c r="F155" s="424"/>
      <c r="G155" s="425">
        <v>283104.8</v>
      </c>
      <c r="H155" s="427"/>
      <c r="I155" s="424">
        <f t="shared" si="162"/>
        <v>3855705.20000001</v>
      </c>
      <c r="J155" s="424">
        <v>200000</v>
      </c>
      <c r="K155" s="424">
        <v>0.2</v>
      </c>
      <c r="L155" s="424">
        <f t="shared" si="163"/>
        <v>771141.04000000202</v>
      </c>
      <c r="M155" s="424">
        <f t="shared" si="164"/>
        <v>971141.04000000202</v>
      </c>
      <c r="N155" s="424">
        <f t="shared" si="165"/>
        <v>1254245.8400000001</v>
      </c>
      <c r="O155" s="424">
        <f t="shared" si="166"/>
        <v>2884564.1600000099</v>
      </c>
      <c r="P155" s="424">
        <f t="shared" si="167"/>
        <v>21000</v>
      </c>
      <c r="Q155" s="424">
        <f t="shared" si="168"/>
        <v>33000</v>
      </c>
      <c r="R155" s="424">
        <f t="shared" si="169"/>
        <v>75000</v>
      </c>
      <c r="S155" s="424">
        <f t="shared" si="170"/>
        <v>95000</v>
      </c>
      <c r="T155" s="424">
        <f t="shared" si="171"/>
        <v>269758.47360000102</v>
      </c>
      <c r="U155" s="424"/>
      <c r="V155" s="424">
        <f t="shared" si="173"/>
        <v>493758.47360000102</v>
      </c>
      <c r="W155" s="431">
        <v>12</v>
      </c>
      <c r="X155" s="424">
        <f t="shared" si="174"/>
        <v>41146.5394666668</v>
      </c>
      <c r="Y155" s="427"/>
      <c r="Z155" s="873">
        <f t="shared" si="175"/>
        <v>41146.5394666668</v>
      </c>
      <c r="AA155" s="753">
        <v>29305.1955466666</v>
      </c>
      <c r="AB155" s="753">
        <f t="shared" si="176"/>
        <v>11841.343920000199</v>
      </c>
      <c r="AC155" s="436"/>
      <c r="AD155" s="436"/>
      <c r="AE155" s="436"/>
    </row>
    <row r="156" spans="1:31" ht="14.25" x14ac:dyDescent="0.15">
      <c r="A156" s="421">
        <v>140</v>
      </c>
      <c r="B156" s="597" t="s">
        <v>329</v>
      </c>
      <c r="C156" s="424">
        <v>271717.16666666599</v>
      </c>
      <c r="D156" s="423">
        <v>12</v>
      </c>
      <c r="E156" s="424">
        <f t="shared" si="161"/>
        <v>3260605.9999999902</v>
      </c>
      <c r="F156" s="424">
        <v>47786.574999999903</v>
      </c>
      <c r="G156" s="425">
        <v>228208.48</v>
      </c>
      <c r="H156" s="427"/>
      <c r="I156" s="424">
        <f t="shared" si="162"/>
        <v>2984610.9449999901</v>
      </c>
      <c r="J156" s="424">
        <v>200000</v>
      </c>
      <c r="K156" s="424">
        <v>0.2</v>
      </c>
      <c r="L156" s="424">
        <f t="shared" si="163"/>
        <v>596922.18899999803</v>
      </c>
      <c r="M156" s="424">
        <f t="shared" si="164"/>
        <v>796922.18899999803</v>
      </c>
      <c r="N156" s="424">
        <f t="shared" si="165"/>
        <v>1072917.2439999999</v>
      </c>
      <c r="O156" s="424">
        <f t="shared" si="166"/>
        <v>2187688.7559999898</v>
      </c>
      <c r="P156" s="424">
        <f t="shared" si="167"/>
        <v>21000</v>
      </c>
      <c r="Q156" s="424">
        <f t="shared" si="168"/>
        <v>33000</v>
      </c>
      <c r="R156" s="424">
        <f t="shared" si="169"/>
        <v>75000</v>
      </c>
      <c r="S156" s="424">
        <f t="shared" si="170"/>
        <v>95000</v>
      </c>
      <c r="T156" s="424">
        <f t="shared" si="171"/>
        <v>123414.638759999</v>
      </c>
      <c r="U156" s="424"/>
      <c r="V156" s="424">
        <f t="shared" si="173"/>
        <v>347414.63875999901</v>
      </c>
      <c r="W156" s="431">
        <v>12</v>
      </c>
      <c r="X156" s="424">
        <f t="shared" si="174"/>
        <v>28951.219896666498</v>
      </c>
      <c r="Y156" s="427"/>
      <c r="Z156" s="873">
        <f t="shared" si="175"/>
        <v>28951.219896666498</v>
      </c>
      <c r="AA156" s="753">
        <v>18892.9833866667</v>
      </c>
      <c r="AB156" s="753">
        <f t="shared" si="176"/>
        <v>10058.236509999801</v>
      </c>
      <c r="AC156" s="436"/>
      <c r="AD156" s="436"/>
      <c r="AE156" s="436"/>
    </row>
    <row r="157" spans="1:31" ht="14.25" x14ac:dyDescent="0.15">
      <c r="A157" s="421">
        <v>141</v>
      </c>
      <c r="B157" s="597" t="s">
        <v>332</v>
      </c>
      <c r="C157" s="424">
        <v>274717.16666666599</v>
      </c>
      <c r="D157" s="423">
        <v>12</v>
      </c>
      <c r="E157" s="424">
        <f t="shared" si="161"/>
        <v>3296605.9999999902</v>
      </c>
      <c r="F157" s="424"/>
      <c r="G157" s="425">
        <v>228208.48</v>
      </c>
      <c r="H157" s="427"/>
      <c r="I157" s="424">
        <f t="shared" si="162"/>
        <v>3068397.5199999898</v>
      </c>
      <c r="J157" s="424">
        <v>200000</v>
      </c>
      <c r="K157" s="424">
        <v>0.2</v>
      </c>
      <c r="L157" s="424">
        <f t="shared" si="163"/>
        <v>613679.50399999798</v>
      </c>
      <c r="M157" s="424">
        <f t="shared" si="164"/>
        <v>813679.50399999798</v>
      </c>
      <c r="N157" s="424">
        <f t="shared" si="165"/>
        <v>1041887.9840000001</v>
      </c>
      <c r="O157" s="424">
        <f t="shared" si="166"/>
        <v>2254718.01599999</v>
      </c>
      <c r="P157" s="424">
        <f t="shared" si="167"/>
        <v>21000</v>
      </c>
      <c r="Q157" s="424">
        <f t="shared" si="168"/>
        <v>33000</v>
      </c>
      <c r="R157" s="424">
        <f t="shared" si="169"/>
        <v>75000</v>
      </c>
      <c r="S157" s="424">
        <f t="shared" si="170"/>
        <v>95000</v>
      </c>
      <c r="T157" s="424">
        <f t="shared" si="171"/>
        <v>137490.78335999901</v>
      </c>
      <c r="U157" s="424"/>
      <c r="V157" s="424">
        <f t="shared" si="173"/>
        <v>361490.78335999901</v>
      </c>
      <c r="W157" s="431">
        <v>12</v>
      </c>
      <c r="X157" s="424">
        <f t="shared" si="174"/>
        <v>30124.231946666601</v>
      </c>
      <c r="Y157" s="427"/>
      <c r="Z157" s="873">
        <f t="shared" si="175"/>
        <v>30124.231946666601</v>
      </c>
      <c r="AA157" s="753">
        <v>19441.199306666698</v>
      </c>
      <c r="AB157" s="753">
        <f t="shared" si="176"/>
        <v>10683.032639999899</v>
      </c>
      <c r="AC157" s="436"/>
      <c r="AD157" s="436"/>
      <c r="AE157" s="436"/>
    </row>
    <row r="158" spans="1:31" ht="15.75" customHeight="1" x14ac:dyDescent="0.15">
      <c r="A158" s="421">
        <v>142</v>
      </c>
      <c r="B158" s="597" t="s">
        <v>333</v>
      </c>
      <c r="C158" s="424">
        <v>271717.16666666599</v>
      </c>
      <c r="D158" s="423">
        <v>12</v>
      </c>
      <c r="E158" s="424">
        <f t="shared" si="161"/>
        <v>3260605.9999999902</v>
      </c>
      <c r="F158" s="424"/>
      <c r="G158" s="425">
        <v>228208.48</v>
      </c>
      <c r="H158" s="427"/>
      <c r="I158" s="424">
        <f t="shared" si="162"/>
        <v>3032397.5199999898</v>
      </c>
      <c r="J158" s="424">
        <v>200000</v>
      </c>
      <c r="K158" s="424">
        <v>0.2</v>
      </c>
      <c r="L158" s="424">
        <f t="shared" si="163"/>
        <v>606479.50399999798</v>
      </c>
      <c r="M158" s="424">
        <f t="shared" si="164"/>
        <v>806479.50399999798</v>
      </c>
      <c r="N158" s="424">
        <f t="shared" si="165"/>
        <v>1034687.9840000001</v>
      </c>
      <c r="O158" s="424">
        <f t="shared" si="166"/>
        <v>2225918.01599999</v>
      </c>
      <c r="P158" s="424">
        <f t="shared" si="167"/>
        <v>21000</v>
      </c>
      <c r="Q158" s="424">
        <f t="shared" si="168"/>
        <v>33000</v>
      </c>
      <c r="R158" s="424">
        <f t="shared" si="169"/>
        <v>75000</v>
      </c>
      <c r="S158" s="424">
        <f t="shared" si="170"/>
        <v>95000</v>
      </c>
      <c r="T158" s="424">
        <f t="shared" si="171"/>
        <v>131442.78335999901</v>
      </c>
      <c r="U158" s="424"/>
      <c r="V158" s="424">
        <f t="shared" si="173"/>
        <v>355442.78335999901</v>
      </c>
      <c r="W158" s="431">
        <v>12</v>
      </c>
      <c r="X158" s="424">
        <f t="shared" si="174"/>
        <v>29620.231946666601</v>
      </c>
      <c r="Y158" s="427"/>
      <c r="Z158" s="873">
        <f t="shared" si="175"/>
        <v>29620.231946666601</v>
      </c>
      <c r="AA158" s="753">
        <v>18937.199306666698</v>
      </c>
      <c r="AB158" s="753">
        <f t="shared" si="176"/>
        <v>10683.032639999899</v>
      </c>
      <c r="AC158" s="436"/>
      <c r="AD158" s="436"/>
      <c r="AE158" s="436"/>
    </row>
    <row r="159" spans="1:31" ht="14.25" x14ac:dyDescent="0.15">
      <c r="A159" s="421">
        <v>143</v>
      </c>
      <c r="B159" s="597" t="s">
        <v>334</v>
      </c>
      <c r="C159" s="424">
        <v>271717.16666666599</v>
      </c>
      <c r="D159" s="423">
        <v>12</v>
      </c>
      <c r="E159" s="424">
        <f t="shared" si="161"/>
        <v>3260605.9999999902</v>
      </c>
      <c r="F159" s="424">
        <v>47786.574999999903</v>
      </c>
      <c r="G159" s="425">
        <v>228208.48</v>
      </c>
      <c r="H159" s="427"/>
      <c r="I159" s="424">
        <f t="shared" si="162"/>
        <v>2984610.9449999901</v>
      </c>
      <c r="J159" s="424">
        <v>200000</v>
      </c>
      <c r="K159" s="424">
        <v>0.2</v>
      </c>
      <c r="L159" s="424">
        <f t="shared" si="163"/>
        <v>596922.18899999803</v>
      </c>
      <c r="M159" s="424">
        <f t="shared" si="164"/>
        <v>796922.18899999803</v>
      </c>
      <c r="N159" s="424">
        <f t="shared" si="165"/>
        <v>1072917.2439999999</v>
      </c>
      <c r="O159" s="424">
        <f t="shared" si="166"/>
        <v>2187688.7559999898</v>
      </c>
      <c r="P159" s="424">
        <f t="shared" si="167"/>
        <v>21000</v>
      </c>
      <c r="Q159" s="424">
        <f t="shared" si="168"/>
        <v>33000</v>
      </c>
      <c r="R159" s="424">
        <f t="shared" si="169"/>
        <v>75000</v>
      </c>
      <c r="S159" s="424">
        <f t="shared" si="170"/>
        <v>95000</v>
      </c>
      <c r="T159" s="424">
        <f t="shared" si="171"/>
        <v>123414.638759999</v>
      </c>
      <c r="U159" s="424"/>
      <c r="V159" s="424">
        <f t="shared" si="173"/>
        <v>347414.63875999901</v>
      </c>
      <c r="W159" s="431">
        <v>12</v>
      </c>
      <c r="X159" s="424">
        <f t="shared" si="174"/>
        <v>28951.219896666498</v>
      </c>
      <c r="Y159" s="427"/>
      <c r="Z159" s="873">
        <f t="shared" si="175"/>
        <v>28951.219896666498</v>
      </c>
      <c r="AA159" s="753">
        <v>18892.9833866667</v>
      </c>
      <c r="AB159" s="753">
        <f t="shared" si="176"/>
        <v>10058.236509999801</v>
      </c>
      <c r="AC159" s="436"/>
      <c r="AD159" s="436"/>
      <c r="AE159" s="436"/>
    </row>
    <row r="160" spans="1:31" ht="14.25" x14ac:dyDescent="0.15">
      <c r="A160" s="421">
        <v>144</v>
      </c>
      <c r="B160" s="597" t="s">
        <v>335</v>
      </c>
      <c r="C160" s="424">
        <v>271717.16666666599</v>
      </c>
      <c r="D160" s="423">
        <v>12</v>
      </c>
      <c r="E160" s="424">
        <f t="shared" si="161"/>
        <v>3260605.9999999902</v>
      </c>
      <c r="F160" s="424"/>
      <c r="G160" s="425">
        <v>228208.48</v>
      </c>
      <c r="H160" s="427"/>
      <c r="I160" s="424">
        <f t="shared" si="162"/>
        <v>3032397.5199999898</v>
      </c>
      <c r="J160" s="424">
        <v>200000</v>
      </c>
      <c r="K160" s="424">
        <v>0.2</v>
      </c>
      <c r="L160" s="424">
        <f t="shared" si="163"/>
        <v>606479.50399999798</v>
      </c>
      <c r="M160" s="424">
        <f t="shared" si="164"/>
        <v>806479.50399999798</v>
      </c>
      <c r="N160" s="424">
        <f t="shared" si="165"/>
        <v>1034687.9840000001</v>
      </c>
      <c r="O160" s="424">
        <f t="shared" si="166"/>
        <v>2225918.01599999</v>
      </c>
      <c r="P160" s="424">
        <f t="shared" si="167"/>
        <v>21000</v>
      </c>
      <c r="Q160" s="424">
        <f t="shared" si="168"/>
        <v>33000</v>
      </c>
      <c r="R160" s="424">
        <f t="shared" si="169"/>
        <v>75000</v>
      </c>
      <c r="S160" s="424">
        <f t="shared" si="170"/>
        <v>95000</v>
      </c>
      <c r="T160" s="424">
        <f t="shared" si="171"/>
        <v>131442.78335999901</v>
      </c>
      <c r="U160" s="424"/>
      <c r="V160" s="424">
        <f t="shared" si="173"/>
        <v>355442.78335999901</v>
      </c>
      <c r="W160" s="431">
        <v>12</v>
      </c>
      <c r="X160" s="424">
        <f t="shared" si="174"/>
        <v>29620.231946666601</v>
      </c>
      <c r="Y160" s="427"/>
      <c r="Z160" s="873">
        <f t="shared" si="175"/>
        <v>29620.231946666601</v>
      </c>
      <c r="AA160" s="753">
        <v>18937.199306666698</v>
      </c>
      <c r="AB160" s="753">
        <f t="shared" si="176"/>
        <v>10683.032639999899</v>
      </c>
      <c r="AC160" s="436"/>
      <c r="AD160" s="436"/>
      <c r="AE160" s="436"/>
    </row>
    <row r="161" spans="1:31" ht="14.25" x14ac:dyDescent="0.15">
      <c r="A161" s="421">
        <v>145</v>
      </c>
      <c r="B161" s="597" t="s">
        <v>336</v>
      </c>
      <c r="C161" s="424">
        <v>268733.83333333401</v>
      </c>
      <c r="D161" s="423">
        <v>12</v>
      </c>
      <c r="E161" s="424">
        <f t="shared" si="161"/>
        <v>3224806.0000000098</v>
      </c>
      <c r="F161" s="424"/>
      <c r="G161" s="425">
        <v>222464.48</v>
      </c>
      <c r="H161" s="427"/>
      <c r="I161" s="424">
        <f t="shared" si="162"/>
        <v>3002341.5200000098</v>
      </c>
      <c r="J161" s="424">
        <v>200000</v>
      </c>
      <c r="K161" s="424">
        <v>0.2</v>
      </c>
      <c r="L161" s="424">
        <f t="shared" si="163"/>
        <v>600468.30400000198</v>
      </c>
      <c r="M161" s="424">
        <f t="shared" si="164"/>
        <v>800468.30400000198</v>
      </c>
      <c r="N161" s="424">
        <f t="shared" si="165"/>
        <v>1022932.784</v>
      </c>
      <c r="O161" s="424">
        <f t="shared" si="166"/>
        <v>2201873.2160000098</v>
      </c>
      <c r="P161" s="424">
        <f t="shared" si="167"/>
        <v>21000</v>
      </c>
      <c r="Q161" s="424">
        <f t="shared" si="168"/>
        <v>33000</v>
      </c>
      <c r="R161" s="424">
        <f t="shared" si="169"/>
        <v>75000</v>
      </c>
      <c r="S161" s="424">
        <f t="shared" si="170"/>
        <v>95000</v>
      </c>
      <c r="T161" s="424">
        <f t="shared" si="171"/>
        <v>126393.37536000099</v>
      </c>
      <c r="U161" s="424"/>
      <c r="V161" s="424">
        <f t="shared" si="173"/>
        <v>350393.37536000099</v>
      </c>
      <c r="W161" s="431">
        <v>12</v>
      </c>
      <c r="X161" s="424">
        <f t="shared" si="174"/>
        <v>29199.447946666802</v>
      </c>
      <c r="Y161" s="427"/>
      <c r="Z161" s="873">
        <f t="shared" si="175"/>
        <v>29199.447946666802</v>
      </c>
      <c r="AA161" s="753">
        <v>18631.689439999998</v>
      </c>
      <c r="AB161" s="753">
        <f t="shared" si="176"/>
        <v>10567.7585066668</v>
      </c>
      <c r="AC161" s="436"/>
      <c r="AD161" s="436"/>
      <c r="AE161" s="436"/>
    </row>
    <row r="162" spans="1:31" ht="14.25" x14ac:dyDescent="0.15">
      <c r="A162" s="421">
        <v>146</v>
      </c>
      <c r="B162" s="597" t="s">
        <v>338</v>
      </c>
      <c r="C162" s="424">
        <v>265733.83333333401</v>
      </c>
      <c r="D162" s="423">
        <v>12</v>
      </c>
      <c r="E162" s="424">
        <f t="shared" si="161"/>
        <v>3188806.0000000098</v>
      </c>
      <c r="F162" s="424"/>
      <c r="G162" s="425">
        <v>222464.48</v>
      </c>
      <c r="H162" s="427"/>
      <c r="I162" s="424">
        <f t="shared" si="162"/>
        <v>2966341.5200000098</v>
      </c>
      <c r="J162" s="424">
        <v>200000</v>
      </c>
      <c r="K162" s="424">
        <v>0.2</v>
      </c>
      <c r="L162" s="424">
        <f t="shared" si="163"/>
        <v>593268.30400000198</v>
      </c>
      <c r="M162" s="424">
        <f t="shared" si="164"/>
        <v>793268.30400000198</v>
      </c>
      <c r="N162" s="424">
        <f t="shared" si="165"/>
        <v>1015732.784</v>
      </c>
      <c r="O162" s="424">
        <f t="shared" si="166"/>
        <v>2173073.2160000098</v>
      </c>
      <c r="P162" s="424">
        <f t="shared" si="167"/>
        <v>21000</v>
      </c>
      <c r="Q162" s="424">
        <f t="shared" si="168"/>
        <v>33000</v>
      </c>
      <c r="R162" s="424">
        <f t="shared" si="169"/>
        <v>75000</v>
      </c>
      <c r="S162" s="424">
        <f t="shared" si="170"/>
        <v>95000</v>
      </c>
      <c r="T162" s="424">
        <f t="shared" si="171"/>
        <v>120345.37536000099</v>
      </c>
      <c r="U162" s="424"/>
      <c r="V162" s="424">
        <f t="shared" si="173"/>
        <v>344345.37536000099</v>
      </c>
      <c r="W162" s="431">
        <v>12</v>
      </c>
      <c r="X162" s="424">
        <f t="shared" si="174"/>
        <v>28695.447946666802</v>
      </c>
      <c r="Y162" s="427"/>
      <c r="Z162" s="873">
        <f t="shared" si="175"/>
        <v>28695.447946666802</v>
      </c>
      <c r="AA162" s="753">
        <v>18175.689439999998</v>
      </c>
      <c r="AB162" s="753">
        <f t="shared" si="176"/>
        <v>10519.7585066668</v>
      </c>
      <c r="AC162" s="436"/>
      <c r="AD162" s="436"/>
      <c r="AE162" s="436"/>
    </row>
    <row r="163" spans="1:31" ht="14.25" x14ac:dyDescent="0.15">
      <c r="A163" s="421">
        <v>147</v>
      </c>
      <c r="B163" s="593" t="s">
        <v>339</v>
      </c>
      <c r="C163" s="424">
        <v>268733.83333333401</v>
      </c>
      <c r="D163" s="423">
        <v>12</v>
      </c>
      <c r="E163" s="424">
        <f t="shared" si="161"/>
        <v>3224806.0000000098</v>
      </c>
      <c r="F163" s="424"/>
      <c r="G163" s="425">
        <v>222464.48</v>
      </c>
      <c r="H163" s="427"/>
      <c r="I163" s="424">
        <f t="shared" si="162"/>
        <v>3002341.5200000098</v>
      </c>
      <c r="J163" s="424">
        <v>200000</v>
      </c>
      <c r="K163" s="424">
        <v>0.2</v>
      </c>
      <c r="L163" s="424">
        <f t="shared" si="163"/>
        <v>600468.30400000198</v>
      </c>
      <c r="M163" s="424">
        <f t="shared" si="164"/>
        <v>800468.30400000198</v>
      </c>
      <c r="N163" s="424">
        <f t="shared" si="165"/>
        <v>1022932.784</v>
      </c>
      <c r="O163" s="424">
        <f t="shared" si="166"/>
        <v>2201873.2160000098</v>
      </c>
      <c r="P163" s="424">
        <f t="shared" si="167"/>
        <v>21000</v>
      </c>
      <c r="Q163" s="424">
        <f t="shared" si="168"/>
        <v>33000</v>
      </c>
      <c r="R163" s="424">
        <f t="shared" si="169"/>
        <v>75000</v>
      </c>
      <c r="S163" s="424">
        <f t="shared" si="170"/>
        <v>95000</v>
      </c>
      <c r="T163" s="424">
        <f t="shared" si="171"/>
        <v>126393.37536000099</v>
      </c>
      <c r="U163" s="424"/>
      <c r="V163" s="424">
        <f t="shared" si="173"/>
        <v>350393.37536000099</v>
      </c>
      <c r="W163" s="431">
        <v>12</v>
      </c>
      <c r="X163" s="424">
        <f t="shared" si="174"/>
        <v>29199.447946666802</v>
      </c>
      <c r="Y163" s="427"/>
      <c r="Z163" s="873">
        <f t="shared" si="175"/>
        <v>29199.447946666802</v>
      </c>
      <c r="AA163" s="753">
        <v>18631.689439999998</v>
      </c>
      <c r="AB163" s="753">
        <f t="shared" si="176"/>
        <v>10567.7585066668</v>
      </c>
      <c r="AC163" s="436"/>
      <c r="AD163" s="436"/>
      <c r="AE163" s="436"/>
    </row>
    <row r="164" spans="1:31" ht="14.25" x14ac:dyDescent="0.15">
      <c r="A164" s="421">
        <v>148</v>
      </c>
      <c r="B164" s="597" t="s">
        <v>340</v>
      </c>
      <c r="C164" s="424">
        <v>265733.83333333401</v>
      </c>
      <c r="D164" s="423">
        <v>12</v>
      </c>
      <c r="E164" s="424">
        <f t="shared" si="161"/>
        <v>3188806.0000000098</v>
      </c>
      <c r="F164" s="424"/>
      <c r="G164" s="425">
        <v>222464.48</v>
      </c>
      <c r="H164" s="427"/>
      <c r="I164" s="424">
        <f t="shared" si="162"/>
        <v>2966341.5200000098</v>
      </c>
      <c r="J164" s="424">
        <v>200000</v>
      </c>
      <c r="K164" s="424">
        <v>0.2</v>
      </c>
      <c r="L164" s="424">
        <f t="shared" si="163"/>
        <v>593268.30400000198</v>
      </c>
      <c r="M164" s="424">
        <f t="shared" si="164"/>
        <v>793268.30400000198</v>
      </c>
      <c r="N164" s="424">
        <f t="shared" si="165"/>
        <v>1015732.784</v>
      </c>
      <c r="O164" s="424">
        <f t="shared" si="166"/>
        <v>2173073.2160000098</v>
      </c>
      <c r="P164" s="424">
        <f t="shared" si="167"/>
        <v>21000</v>
      </c>
      <c r="Q164" s="424">
        <f t="shared" si="168"/>
        <v>33000</v>
      </c>
      <c r="R164" s="424">
        <f t="shared" si="169"/>
        <v>75000</v>
      </c>
      <c r="S164" s="424">
        <f t="shared" si="170"/>
        <v>95000</v>
      </c>
      <c r="T164" s="424">
        <f t="shared" si="171"/>
        <v>120345.37536000099</v>
      </c>
      <c r="U164" s="424"/>
      <c r="V164" s="424">
        <f t="shared" si="173"/>
        <v>344345.37536000099</v>
      </c>
      <c r="W164" s="431">
        <v>12</v>
      </c>
      <c r="X164" s="424">
        <f t="shared" si="174"/>
        <v>28695.447946666802</v>
      </c>
      <c r="Y164" s="427"/>
      <c r="Z164" s="873">
        <f t="shared" si="175"/>
        <v>28695.447946666802</v>
      </c>
      <c r="AA164" s="753">
        <v>18175.689439999998</v>
      </c>
      <c r="AB164" s="753">
        <f t="shared" si="176"/>
        <v>10519.7585066668</v>
      </c>
      <c r="AC164" s="436"/>
      <c r="AD164" s="436"/>
      <c r="AE164" s="436"/>
    </row>
    <row r="165" spans="1:31" ht="14.25" x14ac:dyDescent="0.15">
      <c r="A165" s="421">
        <v>149</v>
      </c>
      <c r="B165" s="313" t="s">
        <v>341</v>
      </c>
      <c r="C165" s="424">
        <v>265733.83333333401</v>
      </c>
      <c r="D165" s="423">
        <v>12</v>
      </c>
      <c r="E165" s="424">
        <f t="shared" si="161"/>
        <v>3188806.0000000098</v>
      </c>
      <c r="F165" s="424"/>
      <c r="G165" s="425">
        <v>222464.48</v>
      </c>
      <c r="H165" s="427"/>
      <c r="I165" s="424">
        <f t="shared" si="162"/>
        <v>2966341.5200000098</v>
      </c>
      <c r="J165" s="424">
        <v>200000</v>
      </c>
      <c r="K165" s="424">
        <v>0.2</v>
      </c>
      <c r="L165" s="424">
        <f t="shared" si="163"/>
        <v>593268.30400000198</v>
      </c>
      <c r="M165" s="424">
        <f t="shared" si="164"/>
        <v>793268.30400000198</v>
      </c>
      <c r="N165" s="424">
        <f t="shared" si="165"/>
        <v>1015732.784</v>
      </c>
      <c r="O165" s="424">
        <f t="shared" si="166"/>
        <v>2173073.2160000098</v>
      </c>
      <c r="P165" s="424">
        <f t="shared" si="167"/>
        <v>21000</v>
      </c>
      <c r="Q165" s="424">
        <f t="shared" si="168"/>
        <v>33000</v>
      </c>
      <c r="R165" s="424">
        <f t="shared" si="169"/>
        <v>75000</v>
      </c>
      <c r="S165" s="424">
        <f t="shared" si="170"/>
        <v>95000</v>
      </c>
      <c r="T165" s="424">
        <f t="shared" si="171"/>
        <v>120345.37536000099</v>
      </c>
      <c r="U165" s="424"/>
      <c r="V165" s="424">
        <f t="shared" si="173"/>
        <v>344345.37536000099</v>
      </c>
      <c r="W165" s="431">
        <v>12</v>
      </c>
      <c r="X165" s="424">
        <f t="shared" si="174"/>
        <v>28695.447946666802</v>
      </c>
      <c r="Y165" s="427"/>
      <c r="Z165" s="873">
        <f t="shared" si="175"/>
        <v>28695.447946666802</v>
      </c>
      <c r="AA165" s="753">
        <v>18175.689439999998</v>
      </c>
      <c r="AB165" s="753">
        <f t="shared" si="176"/>
        <v>10519.7585066668</v>
      </c>
      <c r="AC165" s="436"/>
      <c r="AD165" s="436"/>
      <c r="AE165" s="436"/>
    </row>
    <row r="166" spans="1:31" ht="14.25" x14ac:dyDescent="0.15">
      <c r="A166" s="421">
        <v>150</v>
      </c>
      <c r="B166" s="313" t="s">
        <v>342</v>
      </c>
      <c r="C166" s="424">
        <v>268733.83333333401</v>
      </c>
      <c r="D166" s="423">
        <v>12</v>
      </c>
      <c r="E166" s="424">
        <f t="shared" si="161"/>
        <v>3224806.0000000098</v>
      </c>
      <c r="F166" s="424"/>
      <c r="G166" s="425">
        <v>222464.48</v>
      </c>
      <c r="H166" s="427"/>
      <c r="I166" s="424">
        <f t="shared" si="162"/>
        <v>3002341.5200000098</v>
      </c>
      <c r="J166" s="424">
        <v>200000</v>
      </c>
      <c r="K166" s="424">
        <v>0.2</v>
      </c>
      <c r="L166" s="424">
        <f t="shared" si="163"/>
        <v>600468.30400000198</v>
      </c>
      <c r="M166" s="424">
        <f t="shared" si="164"/>
        <v>800468.30400000198</v>
      </c>
      <c r="N166" s="424">
        <f t="shared" si="165"/>
        <v>1022932.784</v>
      </c>
      <c r="O166" s="424">
        <f t="shared" si="166"/>
        <v>2201873.2160000098</v>
      </c>
      <c r="P166" s="424">
        <f t="shared" si="167"/>
        <v>21000</v>
      </c>
      <c r="Q166" s="424">
        <f t="shared" si="168"/>
        <v>33000</v>
      </c>
      <c r="R166" s="424">
        <f t="shared" si="169"/>
        <v>75000</v>
      </c>
      <c r="S166" s="424">
        <f t="shared" si="170"/>
        <v>95000</v>
      </c>
      <c r="T166" s="424">
        <f t="shared" si="171"/>
        <v>126393.37536000099</v>
      </c>
      <c r="U166" s="424"/>
      <c r="V166" s="424">
        <f t="shared" si="173"/>
        <v>350393.37536000099</v>
      </c>
      <c r="W166" s="431">
        <v>12</v>
      </c>
      <c r="X166" s="424">
        <f t="shared" si="174"/>
        <v>29199.447946666802</v>
      </c>
      <c r="Y166" s="427"/>
      <c r="Z166" s="873">
        <f t="shared" si="175"/>
        <v>29199.447946666802</v>
      </c>
      <c r="AA166" s="753">
        <v>18631.689439999998</v>
      </c>
      <c r="AB166" s="753">
        <f t="shared" si="176"/>
        <v>10567.7585066668</v>
      </c>
      <c r="AC166" s="436"/>
      <c r="AD166" s="436"/>
      <c r="AE166" s="436"/>
    </row>
    <row r="167" spans="1:31" ht="27" x14ac:dyDescent="0.15">
      <c r="A167" s="421">
        <v>151</v>
      </c>
      <c r="B167" s="597" t="s">
        <v>343</v>
      </c>
      <c r="C167" s="424">
        <v>256767.33333333299</v>
      </c>
      <c r="D167" s="423">
        <v>12</v>
      </c>
      <c r="E167" s="424">
        <f t="shared" si="161"/>
        <v>3081208</v>
      </c>
      <c r="F167" s="424"/>
      <c r="G167" s="425">
        <v>210976.639999999</v>
      </c>
      <c r="H167" s="427"/>
      <c r="I167" s="424">
        <f t="shared" si="162"/>
        <v>2870231.36</v>
      </c>
      <c r="J167" s="424">
        <v>200000</v>
      </c>
      <c r="K167" s="424">
        <v>0.2</v>
      </c>
      <c r="L167" s="424">
        <f t="shared" si="163"/>
        <v>574046.27199999895</v>
      </c>
      <c r="M167" s="424">
        <f t="shared" si="164"/>
        <v>774046.27199999895</v>
      </c>
      <c r="N167" s="424">
        <f t="shared" si="165"/>
        <v>985022.91199999803</v>
      </c>
      <c r="O167" s="424">
        <f t="shared" si="166"/>
        <v>2096185.088</v>
      </c>
      <c r="P167" s="424">
        <f t="shared" si="167"/>
        <v>21000</v>
      </c>
      <c r="Q167" s="424">
        <f t="shared" si="168"/>
        <v>33000</v>
      </c>
      <c r="R167" s="424">
        <f t="shared" si="169"/>
        <v>75000</v>
      </c>
      <c r="S167" s="424">
        <f t="shared" si="170"/>
        <v>95000</v>
      </c>
      <c r="T167" s="424">
        <f t="shared" si="171"/>
        <v>104198.86848</v>
      </c>
      <c r="U167" s="424"/>
      <c r="V167" s="424">
        <f t="shared" si="173"/>
        <v>328198.86847999902</v>
      </c>
      <c r="W167" s="431">
        <v>12</v>
      </c>
      <c r="X167" s="424">
        <f t="shared" si="174"/>
        <v>27349.905706666599</v>
      </c>
      <c r="Y167" s="427"/>
      <c r="Z167" s="873">
        <f t="shared" si="175"/>
        <v>27349.905706666599</v>
      </c>
      <c r="AA167" s="753">
        <v>17160.199733333298</v>
      </c>
      <c r="AB167" s="753">
        <f t="shared" si="176"/>
        <v>10189.705973333301</v>
      </c>
      <c r="AC167" s="436"/>
      <c r="AD167" s="436"/>
      <c r="AE167" s="436"/>
    </row>
    <row r="168" spans="1:31" ht="14.25" x14ac:dyDescent="0.15">
      <c r="A168" s="421">
        <v>152</v>
      </c>
      <c r="B168" s="597" t="s">
        <v>346</v>
      </c>
      <c r="C168" s="424">
        <v>256767.33333333299</v>
      </c>
      <c r="D168" s="423">
        <v>12</v>
      </c>
      <c r="E168" s="424">
        <f t="shared" si="161"/>
        <v>3081208</v>
      </c>
      <c r="F168" s="424"/>
      <c r="G168" s="425">
        <v>210976.639999999</v>
      </c>
      <c r="H168" s="427"/>
      <c r="I168" s="424">
        <f t="shared" si="162"/>
        <v>2870231.36</v>
      </c>
      <c r="J168" s="424">
        <v>200000</v>
      </c>
      <c r="K168" s="424">
        <v>0.2</v>
      </c>
      <c r="L168" s="424">
        <f t="shared" si="163"/>
        <v>574046.27199999895</v>
      </c>
      <c r="M168" s="424">
        <f t="shared" si="164"/>
        <v>774046.27199999895</v>
      </c>
      <c r="N168" s="424">
        <f t="shared" si="165"/>
        <v>985022.91199999803</v>
      </c>
      <c r="O168" s="424">
        <f t="shared" si="166"/>
        <v>2096185.088</v>
      </c>
      <c r="P168" s="424">
        <f t="shared" si="167"/>
        <v>21000</v>
      </c>
      <c r="Q168" s="424">
        <f t="shared" si="168"/>
        <v>33000</v>
      </c>
      <c r="R168" s="424">
        <f t="shared" si="169"/>
        <v>75000</v>
      </c>
      <c r="S168" s="424">
        <f t="shared" si="170"/>
        <v>95000</v>
      </c>
      <c r="T168" s="424">
        <f t="shared" si="171"/>
        <v>104198.86848</v>
      </c>
      <c r="U168" s="424"/>
      <c r="V168" s="424">
        <f t="shared" si="173"/>
        <v>328198.86847999902</v>
      </c>
      <c r="W168" s="431">
        <v>12</v>
      </c>
      <c r="X168" s="424">
        <f t="shared" si="174"/>
        <v>27349.905706666599</v>
      </c>
      <c r="Y168" s="427"/>
      <c r="Z168" s="873">
        <f t="shared" si="175"/>
        <v>27349.905706666599</v>
      </c>
      <c r="AA168" s="753">
        <v>17160.199733333298</v>
      </c>
      <c r="AB168" s="753">
        <f t="shared" si="176"/>
        <v>10189.705973333301</v>
      </c>
      <c r="AC168" s="436"/>
      <c r="AD168" s="436"/>
      <c r="AE168" s="436"/>
    </row>
    <row r="169" spans="1:31" ht="14.25" x14ac:dyDescent="0.15">
      <c r="A169" s="421">
        <v>153</v>
      </c>
      <c r="B169" s="313" t="s">
        <v>347</v>
      </c>
      <c r="C169" s="424">
        <v>262750.58333333302</v>
      </c>
      <c r="D169" s="423">
        <v>12</v>
      </c>
      <c r="E169" s="424">
        <f t="shared" si="161"/>
        <v>3153007</v>
      </c>
      <c r="F169" s="424"/>
      <c r="G169" s="425">
        <v>216720.55999999901</v>
      </c>
      <c r="H169" s="427"/>
      <c r="I169" s="424">
        <f t="shared" si="162"/>
        <v>2936286.44</v>
      </c>
      <c r="J169" s="424">
        <v>200000</v>
      </c>
      <c r="K169" s="424">
        <v>0.2</v>
      </c>
      <c r="L169" s="424">
        <f t="shared" si="163"/>
        <v>587257.28799999901</v>
      </c>
      <c r="M169" s="424">
        <f t="shared" si="164"/>
        <v>787257.28799999901</v>
      </c>
      <c r="N169" s="424">
        <f t="shared" si="165"/>
        <v>1003977.848</v>
      </c>
      <c r="O169" s="424">
        <f t="shared" si="166"/>
        <v>2149029.1519999998</v>
      </c>
      <c r="P169" s="424">
        <f t="shared" si="167"/>
        <v>21000</v>
      </c>
      <c r="Q169" s="424">
        <f t="shared" si="168"/>
        <v>33000</v>
      </c>
      <c r="R169" s="424">
        <f t="shared" si="169"/>
        <v>75000</v>
      </c>
      <c r="S169" s="424">
        <f t="shared" si="170"/>
        <v>95000</v>
      </c>
      <c r="T169" s="424">
        <f t="shared" si="171"/>
        <v>115296.12192000001</v>
      </c>
      <c r="U169" s="424"/>
      <c r="V169" s="424">
        <f t="shared" si="173"/>
        <v>339296.12192000001</v>
      </c>
      <c r="W169" s="431">
        <v>12</v>
      </c>
      <c r="X169" s="424">
        <f t="shared" si="174"/>
        <v>28274.6768266666</v>
      </c>
      <c r="Y169" s="427"/>
      <c r="Z169" s="873">
        <f t="shared" si="175"/>
        <v>28274.6768266666</v>
      </c>
      <c r="AA169" s="753">
        <v>17895.944586666701</v>
      </c>
      <c r="AB169" s="753">
        <f t="shared" si="176"/>
        <v>10378.732239999899</v>
      </c>
      <c r="AC169" s="436"/>
      <c r="AD169" s="436"/>
      <c r="AE169" s="436"/>
    </row>
    <row r="170" spans="1:31" ht="29.25" customHeight="1" x14ac:dyDescent="0.15">
      <c r="A170" s="421">
        <v>154</v>
      </c>
      <c r="B170" s="597" t="s">
        <v>349</v>
      </c>
      <c r="C170" s="424">
        <v>240784</v>
      </c>
      <c r="D170" s="423">
        <v>12</v>
      </c>
      <c r="E170" s="424">
        <f t="shared" si="161"/>
        <v>2889408</v>
      </c>
      <c r="F170" s="424"/>
      <c r="G170" s="425">
        <v>205232.64000000001</v>
      </c>
      <c r="H170" s="427"/>
      <c r="I170" s="424">
        <f t="shared" si="162"/>
        <v>2684175.3599999999</v>
      </c>
      <c r="J170" s="424">
        <v>200000</v>
      </c>
      <c r="K170" s="424">
        <v>0.2</v>
      </c>
      <c r="L170" s="424">
        <f t="shared" si="163"/>
        <v>536835.07200000004</v>
      </c>
      <c r="M170" s="424">
        <f t="shared" si="164"/>
        <v>736835.07200000004</v>
      </c>
      <c r="N170" s="424">
        <f t="shared" si="165"/>
        <v>942067.71200000006</v>
      </c>
      <c r="O170" s="424">
        <f t="shared" si="166"/>
        <v>1947340.2879999999</v>
      </c>
      <c r="P170" s="424">
        <f t="shared" si="167"/>
        <v>21000</v>
      </c>
      <c r="Q170" s="424">
        <f t="shared" si="168"/>
        <v>33000</v>
      </c>
      <c r="R170" s="424">
        <f t="shared" si="169"/>
        <v>75000</v>
      </c>
      <c r="S170" s="424">
        <f t="shared" si="170"/>
        <v>95000</v>
      </c>
      <c r="T170" s="424">
        <f t="shared" si="171"/>
        <v>72941.460479999994</v>
      </c>
      <c r="U170" s="424"/>
      <c r="V170" s="424">
        <f t="shared" si="173"/>
        <v>296941.46048000001</v>
      </c>
      <c r="W170" s="431">
        <v>12</v>
      </c>
      <c r="X170" s="424">
        <f t="shared" si="174"/>
        <v>24745.121706666701</v>
      </c>
      <c r="Y170" s="427"/>
      <c r="Z170" s="873">
        <f t="shared" si="175"/>
        <v>24745.121706666701</v>
      </c>
      <c r="AA170" s="753">
        <v>17160.199733333298</v>
      </c>
      <c r="AB170" s="753">
        <f t="shared" si="176"/>
        <v>7584.9219733333703</v>
      </c>
      <c r="AC170" s="436"/>
      <c r="AD170" s="436"/>
      <c r="AE170" s="436"/>
    </row>
    <row r="171" spans="1:31" ht="14.25" x14ac:dyDescent="0.15">
      <c r="A171" s="421">
        <v>155</v>
      </c>
      <c r="B171" s="597" t="s">
        <v>352</v>
      </c>
      <c r="C171" s="424">
        <v>173356.75</v>
      </c>
      <c r="D171" s="423">
        <v>12</v>
      </c>
      <c r="E171" s="424">
        <f t="shared" si="161"/>
        <v>2080281</v>
      </c>
      <c r="F171" s="424"/>
      <c r="G171" s="425">
        <v>140502.48000000001</v>
      </c>
      <c r="H171" s="427"/>
      <c r="I171" s="424">
        <f t="shared" si="162"/>
        <v>1939778.52</v>
      </c>
      <c r="J171" s="424">
        <v>200000</v>
      </c>
      <c r="K171" s="424">
        <v>0.2</v>
      </c>
      <c r="L171" s="424">
        <f t="shared" si="163"/>
        <v>387955.70400000003</v>
      </c>
      <c r="M171" s="424">
        <f t="shared" si="164"/>
        <v>587955.70400000003</v>
      </c>
      <c r="N171" s="424">
        <f t="shared" si="165"/>
        <v>728458.18400000001</v>
      </c>
      <c r="O171" s="424">
        <f t="shared" si="166"/>
        <v>1351822.8160000001</v>
      </c>
      <c r="P171" s="424">
        <f t="shared" si="167"/>
        <v>21000</v>
      </c>
      <c r="Q171" s="424">
        <f t="shared" si="168"/>
        <v>33000</v>
      </c>
      <c r="R171" s="424">
        <f t="shared" si="169"/>
        <v>75000</v>
      </c>
      <c r="S171" s="424">
        <f t="shared" si="170"/>
        <v>47846.335039999998</v>
      </c>
      <c r="T171" s="424">
        <f t="shared" si="171"/>
        <v>0</v>
      </c>
      <c r="U171" s="424"/>
      <c r="V171" s="424">
        <f t="shared" si="173"/>
        <v>176846.33504000001</v>
      </c>
      <c r="W171" s="431">
        <v>12</v>
      </c>
      <c r="X171" s="424">
        <f t="shared" si="174"/>
        <v>14737.194586666699</v>
      </c>
      <c r="Y171" s="427"/>
      <c r="Z171" s="873">
        <f t="shared" si="175"/>
        <v>14737.194586666699</v>
      </c>
      <c r="AA171" s="753">
        <v>7852.4192000000003</v>
      </c>
      <c r="AB171" s="753">
        <f t="shared" si="176"/>
        <v>6884.7753866666699</v>
      </c>
      <c r="AC171" s="436"/>
      <c r="AD171" s="436"/>
      <c r="AE171" s="436"/>
    </row>
    <row r="172" spans="1:31" ht="14.25" x14ac:dyDescent="0.15">
      <c r="A172" s="421">
        <v>156</v>
      </c>
      <c r="B172" s="597" t="s">
        <v>355</v>
      </c>
      <c r="C172" s="424">
        <v>170356.75</v>
      </c>
      <c r="D172" s="423">
        <v>12</v>
      </c>
      <c r="E172" s="424">
        <f t="shared" si="161"/>
        <v>2044281</v>
      </c>
      <c r="F172" s="424"/>
      <c r="G172" s="425">
        <v>140502.48000000001</v>
      </c>
      <c r="H172" s="427"/>
      <c r="I172" s="424">
        <f t="shared" si="162"/>
        <v>1903778.52</v>
      </c>
      <c r="J172" s="424">
        <v>200000</v>
      </c>
      <c r="K172" s="424">
        <v>0.2</v>
      </c>
      <c r="L172" s="424">
        <f t="shared" si="163"/>
        <v>380755.70400000003</v>
      </c>
      <c r="M172" s="424">
        <f t="shared" si="164"/>
        <v>580755.70400000003</v>
      </c>
      <c r="N172" s="424">
        <f t="shared" si="165"/>
        <v>721258.18400000001</v>
      </c>
      <c r="O172" s="424">
        <f t="shared" si="166"/>
        <v>1323022.8160000001</v>
      </c>
      <c r="P172" s="424">
        <f t="shared" si="167"/>
        <v>21000</v>
      </c>
      <c r="Q172" s="424">
        <f t="shared" si="168"/>
        <v>33000</v>
      </c>
      <c r="R172" s="424">
        <f t="shared" si="169"/>
        <v>75000</v>
      </c>
      <c r="S172" s="424">
        <f t="shared" si="170"/>
        <v>42374.335039999998</v>
      </c>
      <c r="T172" s="424">
        <f t="shared" si="171"/>
        <v>0</v>
      </c>
      <c r="U172" s="424"/>
      <c r="V172" s="424">
        <f t="shared" si="173"/>
        <v>171374.33504000001</v>
      </c>
      <c r="W172" s="431">
        <v>12</v>
      </c>
      <c r="X172" s="424">
        <f t="shared" si="174"/>
        <v>14281.194586666699</v>
      </c>
      <c r="Y172" s="427"/>
      <c r="Z172" s="873">
        <f t="shared" si="175"/>
        <v>14281.194586666699</v>
      </c>
      <c r="AA172" s="753">
        <v>7492.4192000000003</v>
      </c>
      <c r="AB172" s="753">
        <f t="shared" si="176"/>
        <v>6788.7753866666699</v>
      </c>
      <c r="AC172" s="436"/>
      <c r="AD172" s="436"/>
      <c r="AE172" s="436"/>
    </row>
    <row r="173" spans="1:31" ht="14.25" x14ac:dyDescent="0.15">
      <c r="A173" s="421">
        <v>157</v>
      </c>
      <c r="B173" s="597" t="s">
        <v>356</v>
      </c>
      <c r="C173" s="424">
        <v>173356.75</v>
      </c>
      <c r="D173" s="423">
        <v>12</v>
      </c>
      <c r="E173" s="424">
        <f t="shared" si="161"/>
        <v>2080281</v>
      </c>
      <c r="F173" s="424"/>
      <c r="G173" s="425">
        <v>140502.48000000001</v>
      </c>
      <c r="H173" s="427"/>
      <c r="I173" s="424">
        <f t="shared" si="162"/>
        <v>1939778.52</v>
      </c>
      <c r="J173" s="424">
        <v>200000</v>
      </c>
      <c r="K173" s="424">
        <v>0.2</v>
      </c>
      <c r="L173" s="424">
        <f t="shared" si="163"/>
        <v>387955.70400000003</v>
      </c>
      <c r="M173" s="424">
        <f t="shared" si="164"/>
        <v>587955.70400000003</v>
      </c>
      <c r="N173" s="424">
        <f t="shared" si="165"/>
        <v>728458.18400000001</v>
      </c>
      <c r="O173" s="424">
        <f t="shared" si="166"/>
        <v>1351822.8160000001</v>
      </c>
      <c r="P173" s="424">
        <f t="shared" si="167"/>
        <v>21000</v>
      </c>
      <c r="Q173" s="424">
        <f t="shared" si="168"/>
        <v>33000</v>
      </c>
      <c r="R173" s="424">
        <f t="shared" si="169"/>
        <v>75000</v>
      </c>
      <c r="S173" s="424">
        <f t="shared" si="170"/>
        <v>47846.335039999998</v>
      </c>
      <c r="T173" s="424">
        <f t="shared" si="171"/>
        <v>0</v>
      </c>
      <c r="U173" s="424"/>
      <c r="V173" s="424">
        <f t="shared" si="173"/>
        <v>176846.33504000001</v>
      </c>
      <c r="W173" s="431">
        <v>12</v>
      </c>
      <c r="X173" s="424">
        <f t="shared" si="174"/>
        <v>14737.194586666699</v>
      </c>
      <c r="Y173" s="427"/>
      <c r="Z173" s="873">
        <f t="shared" si="175"/>
        <v>14737.194586666699</v>
      </c>
      <c r="AA173" s="753">
        <v>7852.4192000000003</v>
      </c>
      <c r="AB173" s="753">
        <f t="shared" si="176"/>
        <v>6884.7753866666699</v>
      </c>
      <c r="AC173" s="436"/>
      <c r="AD173" s="436"/>
      <c r="AE173" s="436"/>
    </row>
    <row r="174" spans="1:31" ht="14.25" x14ac:dyDescent="0.15">
      <c r="A174" s="432"/>
      <c r="B174" s="597" t="s">
        <v>357</v>
      </c>
      <c r="C174" s="440">
        <v>170356.75</v>
      </c>
      <c r="D174" s="423">
        <v>12</v>
      </c>
      <c r="E174" s="424">
        <f t="shared" si="161"/>
        <v>2044281</v>
      </c>
      <c r="F174" s="424"/>
      <c r="G174" s="425">
        <v>140502.48000000001</v>
      </c>
      <c r="H174" s="427"/>
      <c r="I174" s="424">
        <f t="shared" si="162"/>
        <v>1903778.52</v>
      </c>
      <c r="J174" s="424">
        <v>200000</v>
      </c>
      <c r="K174" s="424">
        <v>0.2</v>
      </c>
      <c r="L174" s="424">
        <f t="shared" si="163"/>
        <v>380755.70400000003</v>
      </c>
      <c r="M174" s="424">
        <f t="shared" si="164"/>
        <v>580755.70400000003</v>
      </c>
      <c r="N174" s="424">
        <f t="shared" si="165"/>
        <v>721258.18400000001</v>
      </c>
      <c r="O174" s="424">
        <f t="shared" si="166"/>
        <v>1323022.8160000001</v>
      </c>
      <c r="P174" s="424">
        <f t="shared" si="167"/>
        <v>21000</v>
      </c>
      <c r="Q174" s="424">
        <f t="shared" si="168"/>
        <v>33000</v>
      </c>
      <c r="R174" s="424">
        <f t="shared" si="169"/>
        <v>75000</v>
      </c>
      <c r="S174" s="424">
        <f t="shared" si="170"/>
        <v>42374.335039999998</v>
      </c>
      <c r="T174" s="424">
        <f t="shared" si="171"/>
        <v>0</v>
      </c>
      <c r="U174" s="424"/>
      <c r="V174" s="424">
        <f t="shared" si="173"/>
        <v>171374.33504000001</v>
      </c>
      <c r="W174" s="431">
        <v>12</v>
      </c>
      <c r="X174" s="424">
        <f t="shared" si="174"/>
        <v>14281.194586666699</v>
      </c>
      <c r="Y174" s="427"/>
      <c r="Z174" s="873">
        <f t="shared" si="175"/>
        <v>14281.194586666699</v>
      </c>
      <c r="AA174" s="753">
        <v>7492.4192000000003</v>
      </c>
      <c r="AB174" s="753">
        <f t="shared" si="176"/>
        <v>6788.7753866666699</v>
      </c>
      <c r="AC174" s="436"/>
      <c r="AD174" s="436"/>
      <c r="AE174" s="436"/>
    </row>
    <row r="175" spans="1:31" ht="14.25" x14ac:dyDescent="0.15">
      <c r="A175" s="432"/>
      <c r="B175" s="597" t="s">
        <v>358</v>
      </c>
      <c r="C175" s="440">
        <v>173356.75</v>
      </c>
      <c r="D175" s="423">
        <v>12</v>
      </c>
      <c r="E175" s="424">
        <f t="shared" si="161"/>
        <v>2080281</v>
      </c>
      <c r="F175" s="424"/>
      <c r="G175" s="425">
        <v>140502.48000000001</v>
      </c>
      <c r="H175" s="427"/>
      <c r="I175" s="424">
        <f t="shared" si="162"/>
        <v>1939778.52</v>
      </c>
      <c r="J175" s="424">
        <v>200000</v>
      </c>
      <c r="K175" s="424">
        <v>0.2</v>
      </c>
      <c r="L175" s="424">
        <f t="shared" si="163"/>
        <v>387955.70400000003</v>
      </c>
      <c r="M175" s="424">
        <f t="shared" si="164"/>
        <v>587955.70400000003</v>
      </c>
      <c r="N175" s="424">
        <f t="shared" si="165"/>
        <v>728458.18400000001</v>
      </c>
      <c r="O175" s="424">
        <f t="shared" si="166"/>
        <v>1351822.8160000001</v>
      </c>
      <c r="P175" s="424">
        <f t="shared" si="167"/>
        <v>21000</v>
      </c>
      <c r="Q175" s="424">
        <f t="shared" si="168"/>
        <v>33000</v>
      </c>
      <c r="R175" s="424">
        <f t="shared" si="169"/>
        <v>75000</v>
      </c>
      <c r="S175" s="424">
        <f t="shared" si="170"/>
        <v>47846.335039999998</v>
      </c>
      <c r="T175" s="424">
        <f t="shared" si="171"/>
        <v>0</v>
      </c>
      <c r="U175" s="424"/>
      <c r="V175" s="424">
        <f t="shared" si="173"/>
        <v>176846.33504000001</v>
      </c>
      <c r="W175" s="431">
        <v>12</v>
      </c>
      <c r="X175" s="424">
        <f t="shared" si="174"/>
        <v>14737.194586666699</v>
      </c>
      <c r="Y175" s="427"/>
      <c r="Z175" s="873">
        <f t="shared" si="175"/>
        <v>14737.194586666699</v>
      </c>
      <c r="AA175" s="753">
        <v>7852.4192000000003</v>
      </c>
      <c r="AB175" s="753">
        <f t="shared" si="176"/>
        <v>6884.7753866666699</v>
      </c>
    </row>
    <row r="176" spans="1:31" ht="14.25" x14ac:dyDescent="0.15">
      <c r="B176" s="313" t="s">
        <v>359</v>
      </c>
      <c r="C176" s="754">
        <v>170356.75</v>
      </c>
      <c r="D176" s="423">
        <v>12</v>
      </c>
      <c r="E176" s="424">
        <f t="shared" si="161"/>
        <v>2044281</v>
      </c>
      <c r="G176" s="425">
        <v>140502.48000000001</v>
      </c>
      <c r="I176" s="424">
        <f t="shared" si="162"/>
        <v>1903778.52</v>
      </c>
      <c r="J176" s="424">
        <v>200000</v>
      </c>
      <c r="K176" s="424">
        <v>0.2</v>
      </c>
      <c r="L176" s="424">
        <f t="shared" si="163"/>
        <v>380755.70400000003</v>
      </c>
      <c r="M176" s="424">
        <f t="shared" si="164"/>
        <v>580755.70400000003</v>
      </c>
      <c r="N176" s="424">
        <f t="shared" si="165"/>
        <v>721258.18400000001</v>
      </c>
      <c r="O176" s="424">
        <f t="shared" si="166"/>
        <v>1323022.8160000001</v>
      </c>
      <c r="P176" s="424">
        <f t="shared" si="167"/>
        <v>21000</v>
      </c>
      <c r="Q176" s="424">
        <f t="shared" si="168"/>
        <v>33000</v>
      </c>
      <c r="R176" s="424">
        <f t="shared" si="169"/>
        <v>75000</v>
      </c>
      <c r="S176" s="424">
        <f t="shared" si="170"/>
        <v>42374.335039999998</v>
      </c>
      <c r="T176" s="424">
        <f t="shared" si="171"/>
        <v>0</v>
      </c>
      <c r="U176" s="424"/>
      <c r="V176" s="424">
        <f t="shared" si="173"/>
        <v>171374.33504000001</v>
      </c>
      <c r="W176" s="431">
        <v>12</v>
      </c>
      <c r="X176" s="424">
        <f t="shared" si="174"/>
        <v>14281.194586666699</v>
      </c>
      <c r="Z176" s="873">
        <f t="shared" si="175"/>
        <v>14281.194586666699</v>
      </c>
      <c r="AA176" s="753">
        <v>7492.4192000000003</v>
      </c>
      <c r="AB176" s="753">
        <f t="shared" si="176"/>
        <v>6788.7753866666699</v>
      </c>
    </row>
    <row r="177" spans="2:28" ht="14.25" x14ac:dyDescent="0.15">
      <c r="B177" s="313" t="s">
        <v>360</v>
      </c>
      <c r="C177" s="754">
        <v>173356.75</v>
      </c>
      <c r="D177" s="423">
        <v>12</v>
      </c>
      <c r="E177" s="424">
        <f t="shared" si="161"/>
        <v>2080281</v>
      </c>
      <c r="G177" s="425">
        <v>140502.48000000001</v>
      </c>
      <c r="I177" s="424">
        <f t="shared" si="162"/>
        <v>1939778.52</v>
      </c>
      <c r="J177" s="424">
        <v>200000</v>
      </c>
      <c r="K177" s="424">
        <v>0.2</v>
      </c>
      <c r="L177" s="424">
        <f t="shared" si="163"/>
        <v>387955.70400000003</v>
      </c>
      <c r="M177" s="424">
        <f t="shared" si="164"/>
        <v>587955.70400000003</v>
      </c>
      <c r="N177" s="424">
        <f t="shared" si="165"/>
        <v>728458.18400000001</v>
      </c>
      <c r="O177" s="424">
        <f t="shared" si="166"/>
        <v>1351822.8160000001</v>
      </c>
      <c r="P177" s="424">
        <f t="shared" si="167"/>
        <v>21000</v>
      </c>
      <c r="Q177" s="424">
        <f t="shared" si="168"/>
        <v>33000</v>
      </c>
      <c r="R177" s="424">
        <f t="shared" si="169"/>
        <v>75000</v>
      </c>
      <c r="S177" s="424">
        <f t="shared" si="170"/>
        <v>47846.335039999998</v>
      </c>
      <c r="T177" s="424">
        <f t="shared" si="171"/>
        <v>0</v>
      </c>
      <c r="U177" s="424"/>
      <c r="V177" s="424">
        <f t="shared" si="173"/>
        <v>176846.33504000001</v>
      </c>
      <c r="W177" s="431">
        <v>12</v>
      </c>
      <c r="X177" s="424">
        <f t="shared" si="174"/>
        <v>14737.194586666699</v>
      </c>
      <c r="Z177" s="873">
        <f t="shared" si="175"/>
        <v>14737.194586666699</v>
      </c>
      <c r="AA177" s="753">
        <v>7852.4192000000003</v>
      </c>
      <c r="AB177" s="753">
        <f t="shared" si="176"/>
        <v>6884.7753866666699</v>
      </c>
    </row>
    <row r="178" spans="2:28" ht="14.25" x14ac:dyDescent="0.15">
      <c r="B178" s="597" t="s">
        <v>493</v>
      </c>
      <c r="C178" s="754"/>
      <c r="D178" s="423"/>
      <c r="E178" s="424"/>
      <c r="G178" s="425"/>
      <c r="I178" s="424"/>
      <c r="J178" s="424"/>
      <c r="K178" s="424"/>
      <c r="L178" s="424"/>
      <c r="M178" s="424"/>
      <c r="N178" s="424">
        <f t="shared" si="165"/>
        <v>0</v>
      </c>
      <c r="O178" s="424">
        <f t="shared" si="166"/>
        <v>0</v>
      </c>
      <c r="P178" s="424">
        <f t="shared" si="167"/>
        <v>0</v>
      </c>
      <c r="Q178" s="424">
        <f t="shared" si="168"/>
        <v>0</v>
      </c>
      <c r="R178" s="424">
        <f t="shared" si="169"/>
        <v>0</v>
      </c>
      <c r="S178" s="424">
        <f t="shared" si="170"/>
        <v>0</v>
      </c>
      <c r="T178" s="424">
        <f t="shared" si="171"/>
        <v>0</v>
      </c>
      <c r="V178" s="424">
        <f t="shared" si="173"/>
        <v>0</v>
      </c>
      <c r="W178" s="431">
        <v>12</v>
      </c>
      <c r="X178" s="424">
        <f t="shared" si="174"/>
        <v>0</v>
      </c>
      <c r="Z178" s="873">
        <f t="shared" si="175"/>
        <v>0</v>
      </c>
      <c r="AA178" s="753"/>
      <c r="AB178" s="753"/>
    </row>
    <row r="179" spans="2:28" ht="14.25" x14ac:dyDescent="0.15">
      <c r="B179" s="597" t="s">
        <v>361</v>
      </c>
      <c r="C179" s="754">
        <v>173356.75</v>
      </c>
      <c r="D179" s="423">
        <v>12</v>
      </c>
      <c r="E179" s="424">
        <f t="shared" ref="E179:E187" si="177">C179*D179</f>
        <v>2080281</v>
      </c>
      <c r="G179" s="425">
        <v>140502.48000000001</v>
      </c>
      <c r="I179" s="424">
        <f t="shared" ref="I179:I187" si="178">E179-F179-G179-H179</f>
        <v>1939778.52</v>
      </c>
      <c r="J179" s="424">
        <v>200000</v>
      </c>
      <c r="K179" s="424">
        <v>0.2</v>
      </c>
      <c r="L179" s="424">
        <f t="shared" ref="L179:L187" si="179">I179*K179</f>
        <v>387955.70400000003</v>
      </c>
      <c r="M179" s="424">
        <f t="shared" ref="M179:M187" si="180">J179+L179</f>
        <v>587955.70400000003</v>
      </c>
      <c r="N179" s="424">
        <f t="shared" si="165"/>
        <v>728458.18400000001</v>
      </c>
      <c r="O179" s="424">
        <f t="shared" si="166"/>
        <v>1351822.8160000001</v>
      </c>
      <c r="P179" s="424">
        <f t="shared" si="167"/>
        <v>21000</v>
      </c>
      <c r="Q179" s="424">
        <f t="shared" si="168"/>
        <v>33000</v>
      </c>
      <c r="R179" s="424">
        <f t="shared" si="169"/>
        <v>75000</v>
      </c>
      <c r="S179" s="424">
        <f t="shared" si="170"/>
        <v>47846.335039999998</v>
      </c>
      <c r="T179" s="424">
        <f t="shared" si="171"/>
        <v>0</v>
      </c>
      <c r="V179" s="424">
        <f t="shared" si="173"/>
        <v>176846.33504000001</v>
      </c>
      <c r="W179" s="431">
        <v>12</v>
      </c>
      <c r="X179" s="424">
        <f t="shared" si="174"/>
        <v>14737.194586666699</v>
      </c>
      <c r="Z179" s="873">
        <f t="shared" si="175"/>
        <v>14737.194586666699</v>
      </c>
      <c r="AA179" s="753">
        <v>7852.4192000000003</v>
      </c>
      <c r="AB179" s="753">
        <f t="shared" ref="AB179:AB187" si="181">Z179-AA179</f>
        <v>6884.7753866666699</v>
      </c>
    </row>
    <row r="180" spans="2:28" ht="14.25" x14ac:dyDescent="0.15">
      <c r="B180" s="313" t="s">
        <v>362</v>
      </c>
      <c r="C180" s="754">
        <v>170495.66666666701</v>
      </c>
      <c r="D180" s="423">
        <v>12</v>
      </c>
      <c r="E180" s="424">
        <f t="shared" si="177"/>
        <v>2045948</v>
      </c>
      <c r="G180" s="425">
        <v>137755.84</v>
      </c>
      <c r="I180" s="424">
        <f t="shared" si="178"/>
        <v>1908192.16</v>
      </c>
      <c r="J180" s="424">
        <v>200000</v>
      </c>
      <c r="K180" s="424">
        <v>0.2</v>
      </c>
      <c r="L180" s="424">
        <f t="shared" si="179"/>
        <v>381638.43200000102</v>
      </c>
      <c r="M180" s="424">
        <f t="shared" si="180"/>
        <v>581638.43200000096</v>
      </c>
      <c r="N180" s="424">
        <f t="shared" si="165"/>
        <v>719394.27200000104</v>
      </c>
      <c r="O180" s="424">
        <f t="shared" si="166"/>
        <v>1326553.7279999999</v>
      </c>
      <c r="P180" s="424">
        <f t="shared" si="167"/>
        <v>21000</v>
      </c>
      <c r="Q180" s="424">
        <f t="shared" si="168"/>
        <v>33000</v>
      </c>
      <c r="R180" s="424">
        <f t="shared" si="169"/>
        <v>75000</v>
      </c>
      <c r="S180" s="424">
        <f t="shared" si="170"/>
        <v>43045.208320000602</v>
      </c>
      <c r="T180" s="424">
        <f t="shared" si="171"/>
        <v>0</v>
      </c>
      <c r="V180" s="424">
        <f t="shared" si="173"/>
        <v>172045.20832000099</v>
      </c>
      <c r="W180" s="431">
        <v>12</v>
      </c>
      <c r="X180" s="424">
        <f t="shared" si="174"/>
        <v>14337.100693333399</v>
      </c>
      <c r="Z180" s="873">
        <f t="shared" si="175"/>
        <v>14337.100693333399</v>
      </c>
      <c r="AA180" s="753">
        <v>7571.1476000000002</v>
      </c>
      <c r="AB180" s="753">
        <f t="shared" si="181"/>
        <v>6765.9530933333899</v>
      </c>
    </row>
    <row r="181" spans="2:28" ht="14.25" x14ac:dyDescent="0.15">
      <c r="B181" s="313" t="s">
        <v>365</v>
      </c>
      <c r="C181" s="754">
        <v>134014.43</v>
      </c>
      <c r="D181" s="423">
        <v>12</v>
      </c>
      <c r="E181" s="424">
        <f t="shared" si="177"/>
        <v>1608173.16</v>
      </c>
      <c r="G181" s="425">
        <v>132262.56</v>
      </c>
      <c r="I181" s="424">
        <f t="shared" si="178"/>
        <v>1475910.6</v>
      </c>
      <c r="J181" s="424">
        <v>200000</v>
      </c>
      <c r="K181" s="424">
        <v>0.2</v>
      </c>
      <c r="L181" s="424">
        <f t="shared" si="179"/>
        <v>295182.12</v>
      </c>
      <c r="M181" s="424">
        <f t="shared" si="180"/>
        <v>495182.12</v>
      </c>
      <c r="N181" s="424">
        <f t="shared" si="165"/>
        <v>627444.68000000005</v>
      </c>
      <c r="O181" s="424">
        <f t="shared" si="166"/>
        <v>980728.48</v>
      </c>
      <c r="P181" s="424">
        <f t="shared" si="167"/>
        <v>21000</v>
      </c>
      <c r="Q181" s="424">
        <f t="shared" si="168"/>
        <v>33000</v>
      </c>
      <c r="R181" s="424">
        <f t="shared" si="169"/>
        <v>57109.271999999997</v>
      </c>
      <c r="S181" s="424">
        <f t="shared" si="170"/>
        <v>0</v>
      </c>
      <c r="T181" s="424">
        <f t="shared" si="171"/>
        <v>0</v>
      </c>
      <c r="V181" s="424">
        <f t="shared" si="173"/>
        <v>111109.272</v>
      </c>
      <c r="W181" s="431">
        <v>12</v>
      </c>
      <c r="X181" s="424">
        <f t="shared" si="174"/>
        <v>9259.1059999999998</v>
      </c>
      <c r="Z181" s="873">
        <f t="shared" si="175"/>
        <v>9259.1059999999998</v>
      </c>
      <c r="AA181" s="753">
        <v>3685.06</v>
      </c>
      <c r="AB181" s="753">
        <f t="shared" si="181"/>
        <v>5574.0460000000003</v>
      </c>
    </row>
    <row r="182" spans="2:28" ht="14.25" x14ac:dyDescent="0.15">
      <c r="B182" s="313" t="s">
        <v>367</v>
      </c>
      <c r="C182" s="754">
        <v>156912.66666666701</v>
      </c>
      <c r="D182" s="423">
        <v>12</v>
      </c>
      <c r="E182" s="424">
        <f t="shared" si="177"/>
        <v>1882952</v>
      </c>
      <c r="G182" s="425">
        <v>129516.16</v>
      </c>
      <c r="I182" s="424">
        <f t="shared" si="178"/>
        <v>1753435.84</v>
      </c>
      <c r="J182" s="424">
        <v>200000</v>
      </c>
      <c r="K182" s="424">
        <v>0.2</v>
      </c>
      <c r="L182" s="424">
        <f t="shared" si="179"/>
        <v>350687.16800000099</v>
      </c>
      <c r="M182" s="424">
        <f t="shared" si="180"/>
        <v>550687.16800000099</v>
      </c>
      <c r="N182" s="424">
        <f t="shared" si="165"/>
        <v>680203.32800000103</v>
      </c>
      <c r="O182" s="424">
        <f t="shared" si="166"/>
        <v>1202748.672</v>
      </c>
      <c r="P182" s="424">
        <f t="shared" si="167"/>
        <v>21000</v>
      </c>
      <c r="Q182" s="424">
        <f t="shared" si="168"/>
        <v>33000</v>
      </c>
      <c r="R182" s="424">
        <f t="shared" si="169"/>
        <v>75000</v>
      </c>
      <c r="S182" s="424">
        <f t="shared" si="170"/>
        <v>19522.247680000601</v>
      </c>
      <c r="T182" s="424">
        <f t="shared" si="171"/>
        <v>0</v>
      </c>
      <c r="V182" s="424">
        <f t="shared" si="173"/>
        <v>148522.24768000099</v>
      </c>
      <c r="W182" s="431">
        <v>12</v>
      </c>
      <c r="X182" s="424">
        <f t="shared" si="174"/>
        <v>12376.8539733334</v>
      </c>
      <c r="Z182" s="873">
        <f t="shared" si="175"/>
        <v>12376.8539733334</v>
      </c>
      <c r="AA182" s="753">
        <v>6435.0616</v>
      </c>
      <c r="AB182" s="753">
        <f t="shared" si="181"/>
        <v>5941.7923733333801</v>
      </c>
    </row>
    <row r="183" spans="2:28" ht="14.25" x14ac:dyDescent="0.15">
      <c r="B183" s="313" t="s">
        <v>369</v>
      </c>
      <c r="C183" s="754">
        <v>148049.41666666701</v>
      </c>
      <c r="D183" s="423">
        <v>12</v>
      </c>
      <c r="E183" s="424">
        <f t="shared" si="177"/>
        <v>1776593</v>
      </c>
      <c r="G183" s="425">
        <v>123887.44</v>
      </c>
      <c r="I183" s="424">
        <f t="shared" si="178"/>
        <v>1652705.56</v>
      </c>
      <c r="J183" s="424">
        <v>200000</v>
      </c>
      <c r="K183" s="424">
        <v>0.2</v>
      </c>
      <c r="L183" s="424">
        <f t="shared" si="179"/>
        <v>330541.11200000101</v>
      </c>
      <c r="M183" s="424">
        <f t="shared" si="180"/>
        <v>530541.11200000101</v>
      </c>
      <c r="N183" s="424">
        <f t="shared" si="165"/>
        <v>654428.55200000096</v>
      </c>
      <c r="O183" s="424">
        <f t="shared" si="166"/>
        <v>1122164.4480000001</v>
      </c>
      <c r="P183" s="424">
        <f t="shared" si="167"/>
        <v>21000</v>
      </c>
      <c r="Q183" s="424">
        <f t="shared" si="168"/>
        <v>33000</v>
      </c>
      <c r="R183" s="424">
        <f t="shared" si="169"/>
        <v>75000</v>
      </c>
      <c r="S183" s="424">
        <f t="shared" si="170"/>
        <v>4211.2451200006399</v>
      </c>
      <c r="T183" s="424">
        <f t="shared" si="171"/>
        <v>0</v>
      </c>
      <c r="V183" s="424">
        <f t="shared" si="173"/>
        <v>133211.245120001</v>
      </c>
      <c r="W183" s="431">
        <v>12</v>
      </c>
      <c r="X183" s="424">
        <f t="shared" si="174"/>
        <v>11100.937093333399</v>
      </c>
      <c r="Z183" s="873">
        <f t="shared" si="175"/>
        <v>11100.937093333399</v>
      </c>
      <c r="AA183" s="753">
        <v>5230.0987999999998</v>
      </c>
      <c r="AB183" s="753">
        <f t="shared" si="181"/>
        <v>5870.8382933333896</v>
      </c>
    </row>
    <row r="184" spans="2:28" ht="14.25" x14ac:dyDescent="0.15">
      <c r="B184" s="313" t="s">
        <v>372</v>
      </c>
      <c r="C184" s="754">
        <v>148049.41666666701</v>
      </c>
      <c r="D184" s="423">
        <v>12</v>
      </c>
      <c r="E184" s="424">
        <f t="shared" si="177"/>
        <v>1776593</v>
      </c>
      <c r="G184" s="425">
        <v>123887.44</v>
      </c>
      <c r="I184" s="424">
        <f t="shared" si="178"/>
        <v>1652705.56</v>
      </c>
      <c r="J184" s="424">
        <v>200000</v>
      </c>
      <c r="K184" s="424">
        <v>0.2</v>
      </c>
      <c r="L184" s="424">
        <f t="shared" si="179"/>
        <v>330541.11200000101</v>
      </c>
      <c r="M184" s="424">
        <f t="shared" si="180"/>
        <v>530541.11200000101</v>
      </c>
      <c r="N184" s="424">
        <f t="shared" si="165"/>
        <v>654428.55200000096</v>
      </c>
      <c r="O184" s="424">
        <f t="shared" si="166"/>
        <v>1122164.4480000001</v>
      </c>
      <c r="P184" s="424">
        <f t="shared" si="167"/>
        <v>21000</v>
      </c>
      <c r="Q184" s="424">
        <f t="shared" si="168"/>
        <v>33000</v>
      </c>
      <c r="R184" s="424">
        <f t="shared" si="169"/>
        <v>75000</v>
      </c>
      <c r="S184" s="424">
        <f t="shared" si="170"/>
        <v>4211.2451200006399</v>
      </c>
      <c r="T184" s="424">
        <f t="shared" si="171"/>
        <v>0</v>
      </c>
      <c r="V184" s="424">
        <f t="shared" si="173"/>
        <v>133211.245120001</v>
      </c>
      <c r="W184" s="431">
        <v>12</v>
      </c>
      <c r="X184" s="424">
        <f t="shared" si="174"/>
        <v>11100.937093333399</v>
      </c>
      <c r="Z184" s="873">
        <f t="shared" si="175"/>
        <v>11100.937093333399</v>
      </c>
      <c r="AA184" s="753">
        <v>5230.0987999999998</v>
      </c>
      <c r="AB184" s="753">
        <f t="shared" si="181"/>
        <v>5870.8382933333896</v>
      </c>
    </row>
    <row r="185" spans="2:28" ht="14.25" x14ac:dyDescent="0.15">
      <c r="B185" s="313" t="s">
        <v>373</v>
      </c>
      <c r="C185" s="754">
        <v>148049.41666666701</v>
      </c>
      <c r="D185" s="442">
        <v>12</v>
      </c>
      <c r="E185" s="443">
        <f t="shared" si="177"/>
        <v>1776593</v>
      </c>
      <c r="G185" s="444">
        <v>123887.44</v>
      </c>
      <c r="I185" s="443">
        <f t="shared" si="178"/>
        <v>1652705.56</v>
      </c>
      <c r="J185" s="424">
        <v>200000</v>
      </c>
      <c r="K185" s="424">
        <v>0.2</v>
      </c>
      <c r="L185" s="424">
        <f t="shared" si="179"/>
        <v>330541.11200000101</v>
      </c>
      <c r="M185" s="424">
        <f t="shared" si="180"/>
        <v>530541.11200000101</v>
      </c>
      <c r="N185" s="424">
        <f t="shared" si="165"/>
        <v>654428.55200000096</v>
      </c>
      <c r="O185" s="424">
        <f t="shared" si="166"/>
        <v>1122164.4480000001</v>
      </c>
      <c r="P185" s="424">
        <f t="shared" si="167"/>
        <v>21000</v>
      </c>
      <c r="Q185" s="424">
        <f t="shared" si="168"/>
        <v>33000</v>
      </c>
      <c r="R185" s="424">
        <f t="shared" si="169"/>
        <v>75000</v>
      </c>
      <c r="S185" s="424">
        <f t="shared" si="170"/>
        <v>4211.2451200006399</v>
      </c>
      <c r="T185" s="424">
        <f t="shared" si="171"/>
        <v>0</v>
      </c>
      <c r="V185" s="424">
        <f t="shared" si="173"/>
        <v>133211.245120001</v>
      </c>
      <c r="W185" s="431">
        <v>12</v>
      </c>
      <c r="X185" s="424">
        <f t="shared" si="174"/>
        <v>11100.937093333399</v>
      </c>
      <c r="Z185" s="873">
        <f t="shared" si="175"/>
        <v>11100.937093333399</v>
      </c>
      <c r="AA185" s="753">
        <v>5230.0987999999998</v>
      </c>
      <c r="AB185" s="753">
        <f t="shared" si="181"/>
        <v>5870.8382933333896</v>
      </c>
    </row>
    <row r="186" spans="2:28" ht="14.25" x14ac:dyDescent="0.15">
      <c r="B186" s="313" t="s">
        <v>374</v>
      </c>
      <c r="C186" s="875">
        <v>162634.66666666701</v>
      </c>
      <c r="D186" s="442">
        <v>12</v>
      </c>
      <c r="E186" s="443">
        <f t="shared" si="177"/>
        <v>1951616</v>
      </c>
      <c r="F186" s="446"/>
      <c r="G186" s="444">
        <v>135009.28</v>
      </c>
      <c r="H186" s="446"/>
      <c r="I186" s="443">
        <f t="shared" si="178"/>
        <v>1816606.72</v>
      </c>
      <c r="J186" s="443">
        <v>200000</v>
      </c>
      <c r="K186" s="443">
        <v>0.2</v>
      </c>
      <c r="L186" s="443">
        <f t="shared" si="179"/>
        <v>363321.34400000097</v>
      </c>
      <c r="M186" s="443">
        <f t="shared" si="180"/>
        <v>563321.34400000097</v>
      </c>
      <c r="N186" s="443">
        <f t="shared" si="165"/>
        <v>698330.624000001</v>
      </c>
      <c r="O186" s="443">
        <f t="shared" si="166"/>
        <v>1253285.3759999999</v>
      </c>
      <c r="P186" s="443">
        <f t="shared" si="167"/>
        <v>21000</v>
      </c>
      <c r="Q186" s="443">
        <f t="shared" si="168"/>
        <v>33000</v>
      </c>
      <c r="R186" s="443">
        <f t="shared" si="169"/>
        <v>75000</v>
      </c>
      <c r="S186" s="443">
        <f t="shared" si="170"/>
        <v>29124.2214400007</v>
      </c>
      <c r="T186" s="424">
        <f t="shared" si="171"/>
        <v>0</v>
      </c>
      <c r="V186" s="443">
        <f t="shared" si="173"/>
        <v>158124.22144000101</v>
      </c>
      <c r="W186" s="457">
        <v>12</v>
      </c>
      <c r="X186" s="443">
        <f t="shared" si="174"/>
        <v>13177.0184533334</v>
      </c>
      <c r="Z186" s="878">
        <f t="shared" si="175"/>
        <v>13177.0184533334</v>
      </c>
      <c r="AA186" s="753">
        <v>6689.8760000000002</v>
      </c>
      <c r="AB186" s="753">
        <f t="shared" si="181"/>
        <v>6487.1424533333902</v>
      </c>
    </row>
    <row r="187" spans="2:28" ht="21.95" customHeight="1" x14ac:dyDescent="0.15">
      <c r="B187" s="313" t="s">
        <v>377</v>
      </c>
      <c r="C187" s="753">
        <v>162634.66666666701</v>
      </c>
      <c r="D187" s="442">
        <v>12</v>
      </c>
      <c r="E187" s="443">
        <f t="shared" si="177"/>
        <v>1951616</v>
      </c>
      <c r="F187" s="446"/>
      <c r="G187" s="444">
        <v>135009.28</v>
      </c>
      <c r="H187" s="446"/>
      <c r="I187" s="443">
        <f t="shared" si="178"/>
        <v>1816606.72</v>
      </c>
      <c r="J187" s="443">
        <v>200000</v>
      </c>
      <c r="K187" s="443">
        <v>0.2</v>
      </c>
      <c r="L187" s="443">
        <f t="shared" si="179"/>
        <v>363321.34400000097</v>
      </c>
      <c r="M187" s="443">
        <f t="shared" si="180"/>
        <v>563321.34400000097</v>
      </c>
      <c r="N187" s="443">
        <f t="shared" si="165"/>
        <v>698330.624000001</v>
      </c>
      <c r="O187" s="443">
        <f t="shared" si="166"/>
        <v>1253285.3759999999</v>
      </c>
      <c r="P187" s="443">
        <f t="shared" si="167"/>
        <v>21000</v>
      </c>
      <c r="Q187" s="443">
        <f t="shared" si="168"/>
        <v>33000</v>
      </c>
      <c r="R187" s="443">
        <f t="shared" si="169"/>
        <v>75000</v>
      </c>
      <c r="S187" s="443">
        <f t="shared" si="170"/>
        <v>29124.2214400007</v>
      </c>
      <c r="T187" s="424">
        <f t="shared" si="171"/>
        <v>0</v>
      </c>
      <c r="V187" s="443">
        <f t="shared" si="173"/>
        <v>158124.22144000101</v>
      </c>
      <c r="W187" s="457">
        <v>12</v>
      </c>
      <c r="X187" s="443">
        <f t="shared" si="174"/>
        <v>13177.0184533334</v>
      </c>
      <c r="Z187" s="878">
        <f t="shared" si="175"/>
        <v>13177.0184533334</v>
      </c>
      <c r="AA187" s="753">
        <v>6689.8760000000002</v>
      </c>
      <c r="AB187" s="753">
        <f t="shared" si="181"/>
        <v>6487.1424533333902</v>
      </c>
    </row>
    <row r="188" spans="2:28" ht="26.25" customHeight="1" x14ac:dyDescent="0.15">
      <c r="B188" s="834"/>
      <c r="C188" s="571"/>
      <c r="D188" s="572"/>
      <c r="E188" s="572"/>
      <c r="F188" s="575"/>
      <c r="G188" s="575"/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876" t="s">
        <v>111</v>
      </c>
      <c r="W188" s="572"/>
      <c r="X188" s="877">
        <f t="shared" ref="X188:AB188" si="182">SUM(X6:X187)</f>
        <v>13659428.762119001</v>
      </c>
      <c r="Y188" s="877"/>
      <c r="Z188" s="879">
        <f t="shared" si="182"/>
        <v>13659428.762119001</v>
      </c>
      <c r="AA188" s="879">
        <f t="shared" si="182"/>
        <v>10905235.836174799</v>
      </c>
      <c r="AB188" s="880">
        <f t="shared" si="182"/>
        <v>2754192.9259441602</v>
      </c>
    </row>
    <row r="189" spans="2:28" ht="18" x14ac:dyDescent="0.2">
      <c r="B189" s="31"/>
      <c r="C189" s="436"/>
      <c r="F189" s="455"/>
      <c r="Z189" s="259"/>
    </row>
    <row r="190" spans="2:28" x14ac:dyDescent="0.15">
      <c r="F190" s="456"/>
      <c r="Z190" s="573"/>
    </row>
    <row r="191" spans="2:28" x14ac:dyDescent="0.15">
      <c r="Z191" s="259"/>
    </row>
    <row r="192" spans="2:28" x14ac:dyDescent="0.15">
      <c r="Z192" s="259"/>
    </row>
    <row r="193" spans="26:26" x14ac:dyDescent="0.15">
      <c r="Z193" s="259"/>
    </row>
    <row r="194" spans="26:26" x14ac:dyDescent="0.15">
      <c r="Z194" s="259"/>
    </row>
    <row r="195" spans="26:26" x14ac:dyDescent="0.15">
      <c r="Z195" s="259"/>
    </row>
    <row r="196" spans="26:26" x14ac:dyDescent="0.15">
      <c r="Z196" s="259"/>
    </row>
    <row r="197" spans="26:26" x14ac:dyDescent="0.15">
      <c r="Z197" s="259"/>
    </row>
    <row r="198" spans="26:26" x14ac:dyDescent="0.15">
      <c r="Z198" s="259"/>
    </row>
    <row r="199" spans="26:26" x14ac:dyDescent="0.15">
      <c r="Z199" s="259"/>
    </row>
    <row r="200" spans="26:26" x14ac:dyDescent="0.15">
      <c r="Z200" s="259"/>
    </row>
    <row r="201" spans="26:26" x14ac:dyDescent="0.15">
      <c r="Z201" s="259"/>
    </row>
    <row r="202" spans="26:26" x14ac:dyDescent="0.15">
      <c r="Z202" s="259"/>
    </row>
    <row r="203" spans="26:26" x14ac:dyDescent="0.15">
      <c r="Z203" s="259"/>
    </row>
    <row r="204" spans="26:26" x14ac:dyDescent="0.15">
      <c r="Z204" s="259"/>
    </row>
    <row r="205" spans="26:26" x14ac:dyDescent="0.15">
      <c r="Z205" s="259"/>
    </row>
    <row r="206" spans="26:26" x14ac:dyDescent="0.15">
      <c r="Z206" s="259"/>
    </row>
    <row r="207" spans="26:26" x14ac:dyDescent="0.15">
      <c r="Z207" s="259"/>
    </row>
    <row r="208" spans="26:26" x14ac:dyDescent="0.15">
      <c r="Z208" s="259"/>
    </row>
    <row r="209" spans="26:26" x14ac:dyDescent="0.15">
      <c r="Z209" s="259"/>
    </row>
    <row r="210" spans="26:26" x14ac:dyDescent="0.15">
      <c r="Z210" s="259"/>
    </row>
    <row r="211" spans="26:26" x14ac:dyDescent="0.15">
      <c r="Z211" s="259"/>
    </row>
    <row r="212" spans="26:26" x14ac:dyDescent="0.15">
      <c r="Z212" s="259"/>
    </row>
    <row r="213" spans="26:26" x14ac:dyDescent="0.15">
      <c r="Z213" s="259"/>
    </row>
    <row r="214" spans="26:26" x14ac:dyDescent="0.15">
      <c r="Z214" s="259"/>
    </row>
    <row r="215" spans="26:26" x14ac:dyDescent="0.15">
      <c r="Z215" s="259"/>
    </row>
    <row r="216" spans="26:26" x14ac:dyDescent="0.15">
      <c r="Z216" s="259"/>
    </row>
    <row r="217" spans="26:26" x14ac:dyDescent="0.15">
      <c r="Z217" s="259"/>
    </row>
    <row r="218" spans="26:26" x14ac:dyDescent="0.15">
      <c r="Z218" s="259"/>
    </row>
    <row r="219" spans="26:26" x14ac:dyDescent="0.15">
      <c r="Z219" s="259"/>
    </row>
    <row r="220" spans="26:26" x14ac:dyDescent="0.15">
      <c r="Z220" s="259"/>
    </row>
    <row r="221" spans="26:26" x14ac:dyDescent="0.15">
      <c r="Z221" s="259"/>
    </row>
    <row r="222" spans="26:26" x14ac:dyDescent="0.15">
      <c r="Z222" s="259"/>
    </row>
    <row r="223" spans="26:26" x14ac:dyDescent="0.15">
      <c r="Z223" s="259"/>
    </row>
    <row r="224" spans="26:26" x14ac:dyDescent="0.15">
      <c r="Z224" s="259"/>
    </row>
    <row r="225" spans="26:26" x14ac:dyDescent="0.15">
      <c r="Z225" s="259"/>
    </row>
    <row r="226" spans="26:26" x14ac:dyDescent="0.15">
      <c r="Z226" s="259"/>
    </row>
    <row r="227" spans="26:26" x14ac:dyDescent="0.15">
      <c r="Z227" s="259"/>
    </row>
    <row r="228" spans="26:26" x14ac:dyDescent="0.15">
      <c r="Z228" s="259"/>
    </row>
    <row r="229" spans="26:26" x14ac:dyDescent="0.15">
      <c r="Z229" s="259"/>
    </row>
    <row r="230" spans="26:26" x14ac:dyDescent="0.15">
      <c r="Z230" s="259"/>
    </row>
    <row r="231" spans="26:26" x14ac:dyDescent="0.15">
      <c r="Z231" s="259"/>
    </row>
    <row r="232" spans="26:26" x14ac:dyDescent="0.15">
      <c r="Z232" s="259"/>
    </row>
    <row r="233" spans="26:26" x14ac:dyDescent="0.15">
      <c r="Z233" s="259"/>
    </row>
    <row r="234" spans="26:26" x14ac:dyDescent="0.15">
      <c r="Z234" s="259"/>
    </row>
    <row r="235" spans="26:26" x14ac:dyDescent="0.15">
      <c r="Z235" s="259"/>
    </row>
    <row r="236" spans="26:26" x14ac:dyDescent="0.15">
      <c r="Z236" s="259"/>
    </row>
    <row r="237" spans="26:26" x14ac:dyDescent="0.15">
      <c r="Z237" s="259"/>
    </row>
    <row r="238" spans="26:26" x14ac:dyDescent="0.15">
      <c r="Z238" s="259"/>
    </row>
    <row r="239" spans="26:26" x14ac:dyDescent="0.15">
      <c r="Z239" s="259"/>
    </row>
    <row r="240" spans="26:26" x14ac:dyDescent="0.15">
      <c r="Z240" s="259"/>
    </row>
    <row r="241" spans="26:26" x14ac:dyDescent="0.15">
      <c r="Z241" s="259"/>
    </row>
    <row r="242" spans="26:26" x14ac:dyDescent="0.15">
      <c r="Z242" s="259"/>
    </row>
    <row r="243" spans="26:26" x14ac:dyDescent="0.15">
      <c r="Z243" s="259"/>
    </row>
    <row r="244" spans="26:26" x14ac:dyDescent="0.15">
      <c r="Z244" s="259"/>
    </row>
    <row r="245" spans="26:26" x14ac:dyDescent="0.15">
      <c r="Z245" s="259"/>
    </row>
    <row r="246" spans="26:26" x14ac:dyDescent="0.15">
      <c r="Z246" s="259"/>
    </row>
    <row r="247" spans="26:26" x14ac:dyDescent="0.15">
      <c r="Z247" s="259"/>
    </row>
    <row r="248" spans="26:26" x14ac:dyDescent="0.15">
      <c r="Z248" s="259"/>
    </row>
    <row r="249" spans="26:26" x14ac:dyDescent="0.15">
      <c r="Z249" s="259"/>
    </row>
    <row r="250" spans="26:26" x14ac:dyDescent="0.15">
      <c r="Z250" s="259"/>
    </row>
    <row r="251" spans="26:26" x14ac:dyDescent="0.15">
      <c r="Z251" s="259"/>
    </row>
    <row r="252" spans="26:26" x14ac:dyDescent="0.15">
      <c r="Z252" s="259"/>
    </row>
    <row r="253" spans="26:26" x14ac:dyDescent="0.15">
      <c r="Z253" s="259"/>
    </row>
    <row r="254" spans="26:26" x14ac:dyDescent="0.15">
      <c r="Z254" s="259"/>
    </row>
    <row r="255" spans="26:26" x14ac:dyDescent="0.15">
      <c r="Z255" s="259"/>
    </row>
    <row r="256" spans="26:26" x14ac:dyDescent="0.15">
      <c r="Z256" s="259"/>
    </row>
    <row r="257" spans="26:26" x14ac:dyDescent="0.15">
      <c r="Z257" s="259"/>
    </row>
    <row r="258" spans="26:26" x14ac:dyDescent="0.15">
      <c r="Z258" s="259"/>
    </row>
    <row r="259" spans="26:26" x14ac:dyDescent="0.15">
      <c r="Z259" s="259"/>
    </row>
    <row r="260" spans="26:26" x14ac:dyDescent="0.15">
      <c r="Z260" s="259"/>
    </row>
    <row r="261" spans="26:26" x14ac:dyDescent="0.15">
      <c r="Z261" s="259"/>
    </row>
    <row r="262" spans="26:26" x14ac:dyDescent="0.15">
      <c r="Z262" s="259"/>
    </row>
    <row r="263" spans="26:26" x14ac:dyDescent="0.15">
      <c r="Z263" s="259"/>
    </row>
    <row r="264" spans="26:26" x14ac:dyDescent="0.15">
      <c r="Z264" s="259"/>
    </row>
    <row r="265" spans="26:26" x14ac:dyDescent="0.15">
      <c r="Z265" s="259"/>
    </row>
    <row r="266" spans="26:26" x14ac:dyDescent="0.15">
      <c r="Z266" s="259"/>
    </row>
    <row r="267" spans="26:26" x14ac:dyDescent="0.15">
      <c r="Z267" s="259"/>
    </row>
    <row r="268" spans="26:26" x14ac:dyDescent="0.15">
      <c r="Z268" s="259"/>
    </row>
    <row r="269" spans="26:26" x14ac:dyDescent="0.15">
      <c r="Z269" s="259"/>
    </row>
    <row r="270" spans="26:26" x14ac:dyDescent="0.15">
      <c r="Z270" s="259"/>
    </row>
    <row r="271" spans="26:26" x14ac:dyDescent="0.15">
      <c r="Z271" s="259"/>
    </row>
    <row r="272" spans="26:26" x14ac:dyDescent="0.15">
      <c r="Z272" s="259"/>
    </row>
    <row r="273" spans="26:26" x14ac:dyDescent="0.15">
      <c r="Z273" s="259"/>
    </row>
    <row r="274" spans="26:26" x14ac:dyDescent="0.15">
      <c r="Z274" s="259"/>
    </row>
    <row r="275" spans="26:26" x14ac:dyDescent="0.15">
      <c r="Z275" s="259"/>
    </row>
    <row r="276" spans="26:26" x14ac:dyDescent="0.15">
      <c r="Z276" s="259"/>
    </row>
    <row r="277" spans="26:26" x14ac:dyDescent="0.15">
      <c r="Z277" s="259"/>
    </row>
    <row r="278" spans="26:26" x14ac:dyDescent="0.15">
      <c r="Z278" s="259"/>
    </row>
    <row r="279" spans="26:26" x14ac:dyDescent="0.15">
      <c r="Z279" s="259"/>
    </row>
    <row r="280" spans="26:26" x14ac:dyDescent="0.15">
      <c r="Z280" s="259"/>
    </row>
    <row r="281" spans="26:26" x14ac:dyDescent="0.15">
      <c r="Z281" s="259"/>
    </row>
    <row r="282" spans="26:26" x14ac:dyDescent="0.15">
      <c r="Z282" s="259"/>
    </row>
    <row r="283" spans="26:26" x14ac:dyDescent="0.15">
      <c r="Z283" s="259"/>
    </row>
    <row r="284" spans="26:26" x14ac:dyDescent="0.15">
      <c r="Z284" s="259"/>
    </row>
    <row r="285" spans="26:26" x14ac:dyDescent="0.15">
      <c r="Z285" s="259"/>
    </row>
    <row r="286" spans="26:26" x14ac:dyDescent="0.15">
      <c r="Z286" s="259"/>
    </row>
    <row r="287" spans="26:26" x14ac:dyDescent="0.15">
      <c r="Z287" s="259"/>
    </row>
    <row r="288" spans="26:26" x14ac:dyDescent="0.15">
      <c r="Z288" s="259"/>
    </row>
    <row r="289" spans="26:26" x14ac:dyDescent="0.15">
      <c r="Z289" s="259"/>
    </row>
    <row r="290" spans="26:26" x14ac:dyDescent="0.15">
      <c r="Z290" s="259"/>
    </row>
    <row r="291" spans="26:26" x14ac:dyDescent="0.15">
      <c r="Z291" s="259"/>
    </row>
    <row r="292" spans="26:26" x14ac:dyDescent="0.15">
      <c r="Z292" s="259"/>
    </row>
    <row r="293" spans="26:26" x14ac:dyDescent="0.15">
      <c r="Z293" s="259"/>
    </row>
    <row r="294" spans="26:26" x14ac:dyDescent="0.15">
      <c r="Z294" s="259"/>
    </row>
    <row r="295" spans="26:26" x14ac:dyDescent="0.15">
      <c r="Z295" s="259"/>
    </row>
    <row r="296" spans="26:26" x14ac:dyDescent="0.15">
      <c r="Z296" s="259"/>
    </row>
    <row r="297" spans="26:26" x14ac:dyDescent="0.15">
      <c r="Z297" s="259"/>
    </row>
    <row r="298" spans="26:26" x14ac:dyDescent="0.15">
      <c r="Z298" s="259"/>
    </row>
    <row r="299" spans="26:26" x14ac:dyDescent="0.15">
      <c r="Z299" s="259"/>
    </row>
    <row r="300" spans="26:26" x14ac:dyDescent="0.15">
      <c r="Z300" s="259"/>
    </row>
    <row r="301" spans="26:26" x14ac:dyDescent="0.15">
      <c r="Z301" s="259"/>
    </row>
    <row r="302" spans="26:26" x14ac:dyDescent="0.15">
      <c r="Z302" s="259"/>
    </row>
    <row r="303" spans="26:26" x14ac:dyDescent="0.15">
      <c r="Z303" s="259"/>
    </row>
    <row r="304" spans="26:26" x14ac:dyDescent="0.15">
      <c r="Z304" s="259"/>
    </row>
    <row r="305" spans="26:26" x14ac:dyDescent="0.15">
      <c r="Z305" s="259"/>
    </row>
    <row r="306" spans="26:26" x14ac:dyDescent="0.15">
      <c r="Z306" s="259"/>
    </row>
    <row r="307" spans="26:26" x14ac:dyDescent="0.15">
      <c r="Z307" s="259"/>
    </row>
    <row r="308" spans="26:26" x14ac:dyDescent="0.15">
      <c r="Z308" s="259"/>
    </row>
    <row r="309" spans="26:26" x14ac:dyDescent="0.15">
      <c r="Z309" s="259"/>
    </row>
    <row r="310" spans="26:26" x14ac:dyDescent="0.15">
      <c r="Z310" s="259"/>
    </row>
    <row r="311" spans="26:26" x14ac:dyDescent="0.15">
      <c r="Z311" s="259"/>
    </row>
    <row r="312" spans="26:26" x14ac:dyDescent="0.15">
      <c r="Z312" s="259"/>
    </row>
    <row r="313" spans="26:26" x14ac:dyDescent="0.15">
      <c r="Z313" s="259"/>
    </row>
    <row r="314" spans="26:26" x14ac:dyDescent="0.15">
      <c r="Z314" s="259"/>
    </row>
    <row r="315" spans="26:26" x14ac:dyDescent="0.15">
      <c r="Z315" s="259"/>
    </row>
    <row r="316" spans="26:26" x14ac:dyDescent="0.15">
      <c r="Z316" s="259"/>
    </row>
    <row r="317" spans="26:26" x14ac:dyDescent="0.15">
      <c r="Z317" s="259"/>
    </row>
    <row r="318" spans="26:26" x14ac:dyDescent="0.15">
      <c r="Z318" s="259"/>
    </row>
    <row r="319" spans="26:26" x14ac:dyDescent="0.15">
      <c r="Z319" s="259"/>
    </row>
    <row r="320" spans="26:26" x14ac:dyDescent="0.15">
      <c r="Z320" s="259"/>
    </row>
    <row r="321" spans="26:26" x14ac:dyDescent="0.15">
      <c r="Z321" s="259"/>
    </row>
    <row r="322" spans="26:26" x14ac:dyDescent="0.15">
      <c r="Z322" s="259"/>
    </row>
    <row r="323" spans="26:26" x14ac:dyDescent="0.15">
      <c r="Z323" s="259"/>
    </row>
    <row r="324" spans="26:26" x14ac:dyDescent="0.15">
      <c r="Z324" s="259"/>
    </row>
    <row r="325" spans="26:26" x14ac:dyDescent="0.15">
      <c r="Z325" s="259"/>
    </row>
    <row r="326" spans="26:26" x14ac:dyDescent="0.15">
      <c r="Z326" s="259"/>
    </row>
    <row r="327" spans="26:26" x14ac:dyDescent="0.15">
      <c r="Z327" s="259"/>
    </row>
    <row r="328" spans="26:26" x14ac:dyDescent="0.15">
      <c r="Z328" s="259"/>
    </row>
    <row r="329" spans="26:26" x14ac:dyDescent="0.15">
      <c r="Z329" s="259"/>
    </row>
    <row r="330" spans="26:26" x14ac:dyDescent="0.15">
      <c r="Z330" s="259"/>
    </row>
    <row r="331" spans="26:26" x14ac:dyDescent="0.15">
      <c r="Z331" s="259"/>
    </row>
    <row r="332" spans="26:26" x14ac:dyDescent="0.15">
      <c r="Z332" s="259"/>
    </row>
    <row r="333" spans="26:26" x14ac:dyDescent="0.15">
      <c r="Z333" s="259"/>
    </row>
    <row r="334" spans="26:26" x14ac:dyDescent="0.15">
      <c r="Z334" s="259"/>
    </row>
    <row r="335" spans="26:26" x14ac:dyDescent="0.15">
      <c r="Z335" s="259"/>
    </row>
    <row r="336" spans="26:26" x14ac:dyDescent="0.15">
      <c r="Z336" s="259"/>
    </row>
    <row r="337" spans="26:26" x14ac:dyDescent="0.15">
      <c r="Z337" s="259"/>
    </row>
    <row r="338" spans="26:26" x14ac:dyDescent="0.15">
      <c r="Z338" s="259"/>
    </row>
    <row r="339" spans="26:26" x14ac:dyDescent="0.15">
      <c r="Z339" s="259"/>
    </row>
    <row r="340" spans="26:26" x14ac:dyDescent="0.15">
      <c r="Z340" s="259"/>
    </row>
    <row r="341" spans="26:26" x14ac:dyDescent="0.15">
      <c r="Z341" s="259"/>
    </row>
    <row r="342" spans="26:26" x14ac:dyDescent="0.15">
      <c r="Z342" s="259"/>
    </row>
    <row r="343" spans="26:26" x14ac:dyDescent="0.15">
      <c r="Z343" s="259"/>
    </row>
    <row r="344" spans="26:26" x14ac:dyDescent="0.15">
      <c r="Z344" s="259"/>
    </row>
    <row r="345" spans="26:26" x14ac:dyDescent="0.15">
      <c r="Z345" s="259"/>
    </row>
    <row r="346" spans="26:26" x14ac:dyDescent="0.15">
      <c r="Z346" s="259"/>
    </row>
    <row r="347" spans="26:26" x14ac:dyDescent="0.15">
      <c r="Z347" s="259"/>
    </row>
    <row r="348" spans="26:26" x14ac:dyDescent="0.15">
      <c r="Z348" s="259"/>
    </row>
    <row r="349" spans="26:26" x14ac:dyDescent="0.15">
      <c r="Z349" s="259"/>
    </row>
    <row r="350" spans="26:26" x14ac:dyDescent="0.15">
      <c r="Z350" s="259"/>
    </row>
    <row r="351" spans="26:26" x14ac:dyDescent="0.15">
      <c r="Z351" s="259"/>
    </row>
    <row r="352" spans="26:26" x14ac:dyDescent="0.15">
      <c r="Z352" s="259"/>
    </row>
    <row r="353" spans="26:26" x14ac:dyDescent="0.15">
      <c r="Z353" s="259"/>
    </row>
    <row r="354" spans="26:26" x14ac:dyDescent="0.15">
      <c r="Z354" s="259"/>
    </row>
    <row r="355" spans="26:26" x14ac:dyDescent="0.15">
      <c r="Z355" s="259"/>
    </row>
    <row r="356" spans="26:26" x14ac:dyDescent="0.15">
      <c r="Z356" s="259"/>
    </row>
    <row r="357" spans="26:26" x14ac:dyDescent="0.15">
      <c r="Z357" s="259"/>
    </row>
    <row r="358" spans="26:26" x14ac:dyDescent="0.15">
      <c r="Z358" s="259"/>
    </row>
    <row r="359" spans="26:26" x14ac:dyDescent="0.15">
      <c r="Z359" s="259"/>
    </row>
    <row r="360" spans="26:26" x14ac:dyDescent="0.15">
      <c r="Z360" s="259"/>
    </row>
    <row r="361" spans="26:26" x14ac:dyDescent="0.15">
      <c r="Z361" s="259"/>
    </row>
    <row r="362" spans="26:26" x14ac:dyDescent="0.15">
      <c r="Z362" s="259"/>
    </row>
    <row r="363" spans="26:26" x14ac:dyDescent="0.15">
      <c r="Z363" s="259"/>
    </row>
    <row r="364" spans="26:26" x14ac:dyDescent="0.15">
      <c r="Z364" s="259"/>
    </row>
    <row r="365" spans="26:26" x14ac:dyDescent="0.15">
      <c r="Z365" s="259"/>
    </row>
    <row r="366" spans="26:26" x14ac:dyDescent="0.15">
      <c r="Z366" s="259"/>
    </row>
    <row r="367" spans="26:26" x14ac:dyDescent="0.15">
      <c r="Z367" s="259"/>
    </row>
    <row r="368" spans="26:26" x14ac:dyDescent="0.15">
      <c r="Z368" s="259"/>
    </row>
    <row r="369" spans="26:26" x14ac:dyDescent="0.15">
      <c r="Z369" s="259"/>
    </row>
    <row r="370" spans="26:26" x14ac:dyDescent="0.15">
      <c r="Z370" s="259"/>
    </row>
    <row r="371" spans="26:26" x14ac:dyDescent="0.15">
      <c r="Z371" s="259"/>
    </row>
    <row r="372" spans="26:26" x14ac:dyDescent="0.15">
      <c r="Z372" s="259"/>
    </row>
    <row r="373" spans="26:26" x14ac:dyDescent="0.15">
      <c r="Z373" s="259"/>
    </row>
    <row r="374" spans="26:26" x14ac:dyDescent="0.15">
      <c r="Z374" s="259"/>
    </row>
    <row r="375" spans="26:26" x14ac:dyDescent="0.15">
      <c r="Z375" s="259"/>
    </row>
    <row r="376" spans="26:26" x14ac:dyDescent="0.15">
      <c r="Z376" s="259"/>
    </row>
    <row r="377" spans="26:26" x14ac:dyDescent="0.15">
      <c r="Z377" s="259"/>
    </row>
    <row r="378" spans="26:26" x14ac:dyDescent="0.15">
      <c r="Z378" s="259"/>
    </row>
    <row r="379" spans="26:26" x14ac:dyDescent="0.15">
      <c r="Z379" s="259"/>
    </row>
    <row r="380" spans="26:26" x14ac:dyDescent="0.15">
      <c r="Z380" s="259"/>
    </row>
    <row r="381" spans="26:26" x14ac:dyDescent="0.15">
      <c r="Z381" s="259"/>
    </row>
    <row r="382" spans="26:26" x14ac:dyDescent="0.15">
      <c r="Z382" s="259"/>
    </row>
    <row r="383" spans="26:26" x14ac:dyDescent="0.15">
      <c r="Z383" s="259"/>
    </row>
    <row r="384" spans="26:26" x14ac:dyDescent="0.15">
      <c r="Z384" s="259"/>
    </row>
    <row r="385" spans="26:26" x14ac:dyDescent="0.15">
      <c r="Z385" s="259"/>
    </row>
    <row r="386" spans="26:26" x14ac:dyDescent="0.15">
      <c r="Z386" s="259"/>
    </row>
    <row r="387" spans="26:26" x14ac:dyDescent="0.15">
      <c r="Z387" s="259"/>
    </row>
    <row r="388" spans="26:26" x14ac:dyDescent="0.15">
      <c r="Z388" s="259"/>
    </row>
    <row r="389" spans="26:26" x14ac:dyDescent="0.15">
      <c r="Z389" s="259"/>
    </row>
    <row r="390" spans="26:26" x14ac:dyDescent="0.15">
      <c r="Z390" s="259"/>
    </row>
    <row r="391" spans="26:26" x14ac:dyDescent="0.15">
      <c r="Z391" s="259"/>
    </row>
    <row r="392" spans="26:26" x14ac:dyDescent="0.15">
      <c r="Z392" s="259"/>
    </row>
    <row r="393" spans="26:26" x14ac:dyDescent="0.15">
      <c r="Z393" s="259"/>
    </row>
    <row r="394" spans="26:26" x14ac:dyDescent="0.15">
      <c r="Z394" s="259"/>
    </row>
    <row r="395" spans="26:26" x14ac:dyDescent="0.15">
      <c r="Z395" s="259"/>
    </row>
    <row r="396" spans="26:26" x14ac:dyDescent="0.15">
      <c r="Z396" s="259"/>
    </row>
    <row r="397" spans="26:26" x14ac:dyDescent="0.15">
      <c r="Z397" s="259"/>
    </row>
    <row r="398" spans="26:26" x14ac:dyDescent="0.15">
      <c r="Z398" s="259"/>
    </row>
    <row r="399" spans="26:26" x14ac:dyDescent="0.15">
      <c r="Z399" s="259"/>
    </row>
    <row r="400" spans="26:26" x14ac:dyDescent="0.15">
      <c r="Z400" s="259"/>
    </row>
    <row r="401" spans="26:26" x14ac:dyDescent="0.15">
      <c r="Z401" s="259"/>
    </row>
    <row r="402" spans="26:26" x14ac:dyDescent="0.15">
      <c r="Z402" s="259"/>
    </row>
    <row r="403" spans="26:26" x14ac:dyDescent="0.15">
      <c r="Z403" s="259"/>
    </row>
    <row r="404" spans="26:26" x14ac:dyDescent="0.15">
      <c r="Z404" s="259"/>
    </row>
    <row r="405" spans="26:26" x14ac:dyDescent="0.15">
      <c r="Z405" s="259"/>
    </row>
    <row r="406" spans="26:26" x14ac:dyDescent="0.15">
      <c r="Z406" s="259"/>
    </row>
    <row r="407" spans="26:26" x14ac:dyDescent="0.15">
      <c r="Z407" s="259"/>
    </row>
    <row r="408" spans="26:26" x14ac:dyDescent="0.15">
      <c r="Z408" s="259"/>
    </row>
    <row r="409" spans="26:26" x14ac:dyDescent="0.15">
      <c r="Z409" s="259"/>
    </row>
    <row r="410" spans="26:26" x14ac:dyDescent="0.15">
      <c r="Z410" s="259"/>
    </row>
    <row r="411" spans="26:26" x14ac:dyDescent="0.15">
      <c r="Z411" s="259"/>
    </row>
    <row r="412" spans="26:26" x14ac:dyDescent="0.15">
      <c r="Z412" s="259"/>
    </row>
    <row r="413" spans="26:26" x14ac:dyDescent="0.15">
      <c r="Z413" s="259"/>
    </row>
    <row r="414" spans="26:26" x14ac:dyDescent="0.15">
      <c r="Z414" s="259"/>
    </row>
    <row r="415" spans="26:26" x14ac:dyDescent="0.15">
      <c r="Z415" s="259"/>
    </row>
    <row r="416" spans="26:26" x14ac:dyDescent="0.15">
      <c r="Z416" s="259"/>
    </row>
    <row r="417" spans="26:26" x14ac:dyDescent="0.15">
      <c r="Z417" s="259"/>
    </row>
    <row r="418" spans="26:26" x14ac:dyDescent="0.15">
      <c r="Z418" s="259"/>
    </row>
    <row r="419" spans="26:26" x14ac:dyDescent="0.15">
      <c r="Z419" s="259"/>
    </row>
    <row r="420" spans="26:26" x14ac:dyDescent="0.15">
      <c r="Z420" s="259"/>
    </row>
    <row r="421" spans="26:26" x14ac:dyDescent="0.15">
      <c r="Z421" s="259"/>
    </row>
    <row r="422" spans="26:26" x14ac:dyDescent="0.15">
      <c r="Z422" s="259"/>
    </row>
    <row r="423" spans="26:26" x14ac:dyDescent="0.15">
      <c r="Z423" s="259"/>
    </row>
    <row r="424" spans="26:26" x14ac:dyDescent="0.15">
      <c r="Z424" s="259"/>
    </row>
    <row r="425" spans="26:26" x14ac:dyDescent="0.15">
      <c r="Z425" s="259"/>
    </row>
    <row r="426" spans="26:26" x14ac:dyDescent="0.15">
      <c r="Z426" s="259"/>
    </row>
    <row r="427" spans="26:26" x14ac:dyDescent="0.15">
      <c r="Z427" s="259"/>
    </row>
    <row r="428" spans="26:26" x14ac:dyDescent="0.15">
      <c r="Z428" s="259"/>
    </row>
    <row r="429" spans="26:26" x14ac:dyDescent="0.15">
      <c r="Z429" s="259"/>
    </row>
    <row r="430" spans="26:26" x14ac:dyDescent="0.15">
      <c r="Z430" s="259"/>
    </row>
    <row r="431" spans="26:26" x14ac:dyDescent="0.15">
      <c r="Z431" s="259"/>
    </row>
    <row r="432" spans="26:26" x14ac:dyDescent="0.15">
      <c r="Z432" s="259"/>
    </row>
    <row r="433" spans="26:26" x14ac:dyDescent="0.15">
      <c r="Z433" s="259"/>
    </row>
    <row r="434" spans="26:26" x14ac:dyDescent="0.15">
      <c r="Z434" s="259"/>
    </row>
    <row r="435" spans="26:26" x14ac:dyDescent="0.15">
      <c r="Z435" s="259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68"/>
  <sheetViews>
    <sheetView zoomScale="89" zoomScaleNormal="89" zoomScaleSheetLayoutView="50" workbookViewId="0">
      <pane xSplit="3" ySplit="8" topLeftCell="E198" activePane="bottomRight" state="frozen"/>
      <selection pane="bottomLeft"/>
      <selection pane="topRight"/>
      <selection pane="bottomRight" activeCell="C6" sqref="C6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5" width="19.28125" style="1" customWidth="1"/>
    <col min="6" max="6" width="19.28125" style="842" customWidth="1"/>
    <col min="7" max="7" width="19.28125" style="1" customWidth="1"/>
    <col min="8" max="8" width="18.33984375" style="1" customWidth="1"/>
    <col min="9" max="9" width="18.0703125" style="1" customWidth="1"/>
    <col min="10" max="17" width="19.6875" style="1" customWidth="1"/>
    <col min="18" max="16384" width="9.16796875" style="1"/>
  </cols>
  <sheetData>
    <row r="1" spans="1:17" ht="27" customHeight="1" x14ac:dyDescent="0.3">
      <c r="A1" s="948" t="s">
        <v>0</v>
      </c>
      <c r="B1" s="948"/>
      <c r="C1" s="948"/>
      <c r="D1" s="948"/>
      <c r="E1" s="948"/>
      <c r="F1" s="949"/>
      <c r="G1" s="843"/>
      <c r="H1" s="844"/>
      <c r="I1" s="844"/>
      <c r="J1" s="183"/>
      <c r="K1" s="183"/>
      <c r="L1" s="183"/>
      <c r="M1" s="183"/>
      <c r="N1" s="183"/>
      <c r="O1" s="183"/>
      <c r="P1" s="183"/>
      <c r="Q1" s="183"/>
    </row>
    <row r="2" spans="1:17" ht="33.75" customHeight="1" x14ac:dyDescent="0.3">
      <c r="A2" s="843" t="s">
        <v>455</v>
      </c>
      <c r="B2" s="845"/>
      <c r="C2" s="843"/>
      <c r="D2" s="843"/>
      <c r="E2" s="846"/>
      <c r="F2" s="847"/>
      <c r="G2" s="846"/>
      <c r="H2" s="848"/>
      <c r="I2" s="848"/>
      <c r="J2" s="262"/>
      <c r="K2" s="262"/>
      <c r="L2" s="262"/>
      <c r="M2" s="262"/>
      <c r="N2" s="262"/>
      <c r="O2" s="262"/>
      <c r="P2" s="262"/>
      <c r="Q2" s="262"/>
    </row>
    <row r="3" spans="1:17" ht="9.75" customHeight="1" x14ac:dyDescent="0.2">
      <c r="A3" s="2"/>
      <c r="B3" s="2"/>
      <c r="C3" s="2"/>
      <c r="D3" s="2"/>
      <c r="E3" s="844" t="e">
        <f>'[1]FEB 08'!E11/'[1]FEB 08'!M11</f>
        <v>#REF!</v>
      </c>
      <c r="F3" s="849"/>
      <c r="G3" s="844"/>
      <c r="H3" s="844"/>
      <c r="I3" s="844"/>
      <c r="J3" s="183"/>
      <c r="K3" s="183"/>
      <c r="L3" s="183"/>
      <c r="M3" s="183"/>
      <c r="N3" s="183"/>
      <c r="O3" s="183"/>
      <c r="P3" s="183"/>
      <c r="Q3" s="183"/>
    </row>
    <row r="4" spans="1:17" ht="49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456</v>
      </c>
      <c r="F4" s="850" t="s">
        <v>457</v>
      </c>
      <c r="G4" s="184" t="s">
        <v>458</v>
      </c>
      <c r="H4" s="184" t="s">
        <v>459</v>
      </c>
      <c r="I4" s="184" t="s">
        <v>460</v>
      </c>
      <c r="J4" s="858" t="s">
        <v>461</v>
      </c>
      <c r="K4" s="858" t="s">
        <v>462</v>
      </c>
      <c r="L4" s="858" t="s">
        <v>463</v>
      </c>
      <c r="M4" s="858" t="s">
        <v>464</v>
      </c>
      <c r="N4" s="858" t="s">
        <v>465</v>
      </c>
      <c r="O4" s="858" t="s">
        <v>466</v>
      </c>
      <c r="P4" s="858" t="s">
        <v>467</v>
      </c>
      <c r="Q4" s="858" t="s">
        <v>468</v>
      </c>
    </row>
    <row r="5" spans="1:17" ht="17.25" customHeight="1" x14ac:dyDescent="0.2">
      <c r="A5" s="2"/>
      <c r="B5" s="2"/>
      <c r="C5" s="6"/>
      <c r="D5" s="6"/>
      <c r="E5" s="67" t="s">
        <v>20</v>
      </c>
      <c r="F5" s="851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</row>
    <row r="6" spans="1:17" ht="17.25" customHeight="1" x14ac:dyDescent="0.2">
      <c r="A6" s="2"/>
      <c r="B6" s="2"/>
      <c r="C6" s="6"/>
      <c r="D6" s="6"/>
      <c r="E6" s="8" t="s">
        <v>469</v>
      </c>
      <c r="F6" s="852" t="s">
        <v>470</v>
      </c>
      <c r="G6" s="8" t="s">
        <v>471</v>
      </c>
      <c r="H6" s="8" t="s">
        <v>472</v>
      </c>
      <c r="I6" s="859" t="s">
        <v>473</v>
      </c>
      <c r="J6" s="859" t="s">
        <v>474</v>
      </c>
      <c r="K6" s="859" t="s">
        <v>475</v>
      </c>
      <c r="L6" s="859" t="s">
        <v>476</v>
      </c>
      <c r="M6" s="859" t="s">
        <v>477</v>
      </c>
      <c r="N6" s="859" t="s">
        <v>478</v>
      </c>
      <c r="O6" s="859" t="s">
        <v>479</v>
      </c>
      <c r="P6" s="859" t="s">
        <v>480</v>
      </c>
      <c r="Q6" s="859" t="s">
        <v>481</v>
      </c>
    </row>
    <row r="7" spans="1:17" ht="20.100000000000001" customHeight="1" x14ac:dyDescent="0.2">
      <c r="A7" s="7" t="s">
        <v>21</v>
      </c>
      <c r="B7" s="6" t="s">
        <v>22</v>
      </c>
      <c r="C7" s="6"/>
      <c r="D7" s="6"/>
      <c r="E7" s="8"/>
      <c r="F7" s="852"/>
      <c r="G7" s="8"/>
      <c r="H7" s="8" t="s">
        <v>482</v>
      </c>
      <c r="I7" s="8" t="s">
        <v>483</v>
      </c>
      <c r="J7" s="859" t="s">
        <v>484</v>
      </c>
      <c r="K7" s="859" t="s">
        <v>485</v>
      </c>
      <c r="L7" s="859" t="s">
        <v>486</v>
      </c>
      <c r="M7" s="859"/>
      <c r="N7" s="859" t="s">
        <v>487</v>
      </c>
      <c r="O7" s="859" t="s">
        <v>488</v>
      </c>
      <c r="P7" s="859" t="s">
        <v>488</v>
      </c>
      <c r="Q7" s="859" t="s">
        <v>488</v>
      </c>
    </row>
    <row r="8" spans="1:17" ht="20.100000000000001" customHeight="1" x14ac:dyDescent="0.2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853">
        <v>1086777.08333333</v>
      </c>
      <c r="G8" s="70">
        <v>884360</v>
      </c>
      <c r="H8" s="186">
        <f t="shared" ref="H8:H38" si="0">F8+G8</f>
        <v>1971137.08333333</v>
      </c>
      <c r="I8" s="186">
        <f t="shared" ref="I8:I38" si="1">H8-E8</f>
        <v>311385.91633332998</v>
      </c>
      <c r="J8" s="860"/>
      <c r="K8" s="860"/>
      <c r="L8" s="860">
        <f t="shared" ref="L8:L38" si="2">K8-J8</f>
        <v>0</v>
      </c>
      <c r="M8" s="860"/>
      <c r="N8" s="860"/>
      <c r="O8" s="860">
        <f t="shared" ref="O8:O38" si="3">N8-M8</f>
        <v>0</v>
      </c>
      <c r="P8" s="860">
        <f t="shared" ref="P8:P38" si="4">K8*12</f>
        <v>0</v>
      </c>
      <c r="Q8" s="860">
        <f t="shared" ref="Q8:Q38" si="5">N8*12</f>
        <v>0</v>
      </c>
    </row>
    <row r="9" spans="1:17" ht="20.100000000000001" customHeight="1" x14ac:dyDescent="0.2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853">
        <v>554669.5</v>
      </c>
      <c r="G9" s="70">
        <v>350637.25</v>
      </c>
      <c r="H9" s="186">
        <f t="shared" si="0"/>
        <v>905306.75</v>
      </c>
      <c r="I9" s="186">
        <f t="shared" si="1"/>
        <v>142933.58333333299</v>
      </c>
      <c r="J9" s="860">
        <v>60989.853333333303</v>
      </c>
      <c r="K9" s="860">
        <f t="shared" ref="K9:K38" si="6">H9*0.08</f>
        <v>72424.539999999994</v>
      </c>
      <c r="L9" s="860">
        <f t="shared" si="2"/>
        <v>11434.686666666699</v>
      </c>
      <c r="M9" s="860"/>
      <c r="N9" s="860"/>
      <c r="O9" s="860">
        <f t="shared" si="3"/>
        <v>0</v>
      </c>
      <c r="P9" s="860">
        <f t="shared" si="4"/>
        <v>869094.48</v>
      </c>
      <c r="Q9" s="860">
        <f t="shared" si="5"/>
        <v>0</v>
      </c>
    </row>
    <row r="10" spans="1:17" ht="20.100000000000001" customHeight="1" x14ac:dyDescent="0.2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853">
        <v>554669.5</v>
      </c>
      <c r="G10" s="70">
        <v>350637.25</v>
      </c>
      <c r="H10" s="186">
        <f t="shared" si="0"/>
        <v>905306.75</v>
      </c>
      <c r="I10" s="186">
        <f t="shared" si="1"/>
        <v>142933.58333333299</v>
      </c>
      <c r="J10" s="860"/>
      <c r="K10" s="860"/>
      <c r="L10" s="860">
        <f t="shared" si="2"/>
        <v>0</v>
      </c>
      <c r="M10" s="860"/>
      <c r="N10" s="860"/>
      <c r="O10" s="860">
        <f t="shared" si="3"/>
        <v>0</v>
      </c>
      <c r="P10" s="860">
        <f t="shared" si="4"/>
        <v>0</v>
      </c>
      <c r="Q10" s="860">
        <f t="shared" si="5"/>
        <v>0</v>
      </c>
    </row>
    <row r="11" spans="1:17" ht="20.100000000000001" customHeight="1" x14ac:dyDescent="0.2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853">
        <v>554669.5</v>
      </c>
      <c r="G11" s="70">
        <v>350637.25</v>
      </c>
      <c r="H11" s="186">
        <f t="shared" si="0"/>
        <v>905306.75</v>
      </c>
      <c r="I11" s="186">
        <f t="shared" si="1"/>
        <v>142933.58333333299</v>
      </c>
      <c r="J11" s="860">
        <v>60989.853333333303</v>
      </c>
      <c r="K11" s="860">
        <f t="shared" si="6"/>
        <v>72424.539999999994</v>
      </c>
      <c r="L11" s="860">
        <f t="shared" si="2"/>
        <v>11434.686666666699</v>
      </c>
      <c r="M11" s="860">
        <v>10293.3979166667</v>
      </c>
      <c r="N11" s="860">
        <f t="shared" ref="N11:N13" si="7">0.025*F11</f>
        <v>13866.737499999999</v>
      </c>
      <c r="O11" s="860">
        <f t="shared" si="3"/>
        <v>3573.3395833333002</v>
      </c>
      <c r="P11" s="860">
        <f t="shared" si="4"/>
        <v>869094.48</v>
      </c>
      <c r="Q11" s="860">
        <f t="shared" si="5"/>
        <v>166400.85</v>
      </c>
    </row>
    <row r="12" spans="1:17" ht="20.100000000000001" customHeight="1" x14ac:dyDescent="0.2">
      <c r="A12" s="8">
        <v>5</v>
      </c>
      <c r="B12" s="9" t="s">
        <v>33</v>
      </c>
      <c r="C12" s="10" t="s">
        <v>34</v>
      </c>
      <c r="D12" s="13" t="s">
        <v>192</v>
      </c>
      <c r="E12" s="70">
        <v>716034</v>
      </c>
      <c r="F12" s="853">
        <f>'[3] FGN 2024 MGT Monthly'!$H$44</f>
        <v>523386.5</v>
      </c>
      <c r="G12" s="70">
        <f>'[3]Peculiar Allowance'!$H$44</f>
        <v>329324.58333333302</v>
      </c>
      <c r="H12" s="186">
        <f t="shared" si="0"/>
        <v>852711.08333333302</v>
      </c>
      <c r="I12" s="186">
        <f t="shared" si="1"/>
        <v>136677.08333333299</v>
      </c>
      <c r="J12" s="860">
        <v>59136.286666666703</v>
      </c>
      <c r="K12" s="860">
        <f t="shared" si="6"/>
        <v>68216.886666666702</v>
      </c>
      <c r="L12" s="860">
        <f t="shared" si="2"/>
        <v>9080.5999999999494</v>
      </c>
      <c r="M12" s="860">
        <v>10293.3979166667</v>
      </c>
      <c r="N12" s="860">
        <f t="shared" si="7"/>
        <v>13084.6625</v>
      </c>
      <c r="O12" s="860">
        <f t="shared" si="3"/>
        <v>2791.2645833332999</v>
      </c>
      <c r="P12" s="860">
        <f t="shared" si="4"/>
        <v>818602.64</v>
      </c>
      <c r="Q12" s="860">
        <f t="shared" si="5"/>
        <v>157015.95000000001</v>
      </c>
    </row>
    <row r="13" spans="1:17" ht="20.100000000000001" customHeight="1" x14ac:dyDescent="0.2">
      <c r="A13" s="8">
        <v>6</v>
      </c>
      <c r="B13" s="9" t="s">
        <v>36</v>
      </c>
      <c r="C13" s="2" t="s">
        <v>37</v>
      </c>
      <c r="D13" s="8" t="s">
        <v>38</v>
      </c>
      <c r="E13" s="70">
        <v>601396.83333333302</v>
      </c>
      <c r="F13" s="853">
        <v>445995.83333333302</v>
      </c>
      <c r="G13" s="70">
        <v>276599.66666666698</v>
      </c>
      <c r="H13" s="186">
        <f t="shared" si="0"/>
        <v>722595.5</v>
      </c>
      <c r="I13" s="186">
        <f t="shared" si="1"/>
        <v>121198.66666666701</v>
      </c>
      <c r="J13" s="860">
        <v>46569.446666666699</v>
      </c>
      <c r="K13" s="860">
        <f t="shared" si="6"/>
        <v>57807.64</v>
      </c>
      <c r="L13" s="860">
        <f t="shared" si="2"/>
        <v>11238.1933333333</v>
      </c>
      <c r="M13" s="860">
        <v>7859.6312500000004</v>
      </c>
      <c r="N13" s="860">
        <f t="shared" si="7"/>
        <v>11149.895833333299</v>
      </c>
      <c r="O13" s="860">
        <f t="shared" si="3"/>
        <v>3290.2645833333299</v>
      </c>
      <c r="P13" s="860">
        <f t="shared" si="4"/>
        <v>693691.68</v>
      </c>
      <c r="Q13" s="860">
        <f t="shared" si="5"/>
        <v>133798.75</v>
      </c>
    </row>
    <row r="14" spans="1:17" ht="20.100000000000001" customHeight="1" x14ac:dyDescent="0.2">
      <c r="A14" s="8">
        <v>7</v>
      </c>
      <c r="B14" s="9" t="s">
        <v>39</v>
      </c>
      <c r="C14" s="2" t="s">
        <v>40</v>
      </c>
      <c r="D14" s="13" t="s">
        <v>41</v>
      </c>
      <c r="E14" s="70">
        <v>484373.75</v>
      </c>
      <c r="F14" s="853">
        <v>366417.5</v>
      </c>
      <c r="G14" s="70">
        <v>223239.5</v>
      </c>
      <c r="H14" s="186">
        <f t="shared" si="0"/>
        <v>589657</v>
      </c>
      <c r="I14" s="186">
        <f t="shared" si="1"/>
        <v>105283.25</v>
      </c>
      <c r="J14" s="860">
        <v>38749.9</v>
      </c>
      <c r="K14" s="860">
        <f t="shared" si="6"/>
        <v>47172.56</v>
      </c>
      <c r="L14" s="860">
        <f t="shared" si="2"/>
        <v>8422.66</v>
      </c>
      <c r="M14" s="860"/>
      <c r="N14" s="860"/>
      <c r="O14" s="860">
        <f t="shared" si="3"/>
        <v>0</v>
      </c>
      <c r="P14" s="860">
        <f t="shared" si="4"/>
        <v>566070.72</v>
      </c>
      <c r="Q14" s="860">
        <f t="shared" si="5"/>
        <v>0</v>
      </c>
    </row>
    <row r="15" spans="1:17" ht="20.100000000000001" customHeight="1" x14ac:dyDescent="0.2">
      <c r="A15" s="8">
        <v>8</v>
      </c>
      <c r="B15" s="12" t="s">
        <v>42</v>
      </c>
      <c r="C15" s="15" t="s">
        <v>43</v>
      </c>
      <c r="D15" s="13" t="s">
        <v>38</v>
      </c>
      <c r="E15" s="70">
        <v>601396.83333333302</v>
      </c>
      <c r="F15" s="853">
        <f>'[3] FGN 2024 MGT Monthly'!$I$43</f>
        <v>445995.83333333302</v>
      </c>
      <c r="G15" s="70">
        <v>276599.66666666698</v>
      </c>
      <c r="H15" s="186">
        <f t="shared" si="0"/>
        <v>722595.5</v>
      </c>
      <c r="I15" s="186">
        <f t="shared" si="1"/>
        <v>121198.66666666701</v>
      </c>
      <c r="J15" s="860">
        <v>46569.45</v>
      </c>
      <c r="K15" s="860">
        <f t="shared" si="6"/>
        <v>57807.64</v>
      </c>
      <c r="L15" s="860">
        <f t="shared" si="2"/>
        <v>11238.19</v>
      </c>
      <c r="M15" s="860"/>
      <c r="N15" s="860"/>
      <c r="O15" s="860">
        <f t="shared" si="3"/>
        <v>0</v>
      </c>
      <c r="P15" s="860">
        <f t="shared" si="4"/>
        <v>693691.68</v>
      </c>
      <c r="Q15" s="860">
        <f t="shared" si="5"/>
        <v>0</v>
      </c>
    </row>
    <row r="16" spans="1:17" ht="20.100000000000001" customHeight="1" x14ac:dyDescent="0.2">
      <c r="A16" s="8">
        <v>9</v>
      </c>
      <c r="B16" s="9" t="s">
        <v>44</v>
      </c>
      <c r="C16" s="2" t="s">
        <v>45</v>
      </c>
      <c r="D16" s="8" t="s">
        <v>46</v>
      </c>
      <c r="E16" s="70">
        <v>456622.25</v>
      </c>
      <c r="F16" s="853">
        <v>347715.91666666698</v>
      </c>
      <c r="G16" s="70">
        <v>210449.33333333299</v>
      </c>
      <c r="H16" s="186">
        <f t="shared" si="0"/>
        <v>558165.25</v>
      </c>
      <c r="I16" s="186">
        <f t="shared" si="1"/>
        <v>101543</v>
      </c>
      <c r="J16" s="860">
        <v>35419.72</v>
      </c>
      <c r="K16" s="860">
        <f t="shared" si="6"/>
        <v>44653.22</v>
      </c>
      <c r="L16" s="860">
        <f t="shared" si="2"/>
        <v>9233.5</v>
      </c>
      <c r="M16" s="860"/>
      <c r="N16" s="860"/>
      <c r="O16" s="860">
        <f t="shared" si="3"/>
        <v>0</v>
      </c>
      <c r="P16" s="860">
        <f t="shared" si="4"/>
        <v>535838.64</v>
      </c>
      <c r="Q16" s="860">
        <f t="shared" si="5"/>
        <v>0</v>
      </c>
    </row>
    <row r="17" spans="1:17" ht="20.100000000000001" customHeight="1" x14ac:dyDescent="0.2">
      <c r="A17" s="8">
        <v>10</v>
      </c>
      <c r="B17" s="9" t="s">
        <v>47</v>
      </c>
      <c r="C17" s="2" t="s">
        <v>48</v>
      </c>
      <c r="D17" s="8" t="s">
        <v>49</v>
      </c>
      <c r="E17" s="70">
        <v>582118.08333333302</v>
      </c>
      <c r="F17" s="853">
        <v>432981.08333333302</v>
      </c>
      <c r="G17" s="70">
        <v>267732.83333333302</v>
      </c>
      <c r="H17" s="186">
        <f t="shared" si="0"/>
        <v>700713.91666666605</v>
      </c>
      <c r="I17" s="186">
        <f t="shared" si="1"/>
        <v>118595.83333333299</v>
      </c>
      <c r="J17" s="860">
        <v>46569.45</v>
      </c>
      <c r="K17" s="860">
        <f t="shared" si="6"/>
        <v>56057.113333333298</v>
      </c>
      <c r="L17" s="860">
        <f t="shared" si="2"/>
        <v>9487.6633333332902</v>
      </c>
      <c r="M17" s="860"/>
      <c r="N17" s="860"/>
      <c r="O17" s="860">
        <f t="shared" si="3"/>
        <v>0</v>
      </c>
      <c r="P17" s="860">
        <f t="shared" si="4"/>
        <v>672685.35999999905</v>
      </c>
      <c r="Q17" s="860">
        <f t="shared" si="5"/>
        <v>0</v>
      </c>
    </row>
    <row r="18" spans="1:17" ht="20.100000000000001" customHeight="1" x14ac:dyDescent="0.2">
      <c r="A18" s="8">
        <v>11</v>
      </c>
      <c r="B18" s="9" t="s">
        <v>50</v>
      </c>
      <c r="C18" s="10" t="s">
        <v>51</v>
      </c>
      <c r="D18" s="13" t="s">
        <v>52</v>
      </c>
      <c r="E18" s="70">
        <v>441804.91666666698</v>
      </c>
      <c r="F18" s="853">
        <v>337730.83333333302</v>
      </c>
      <c r="G18" s="70">
        <v>203620.5</v>
      </c>
      <c r="H18" s="186">
        <f t="shared" si="0"/>
        <v>541351.33333333302</v>
      </c>
      <c r="I18" s="186">
        <f t="shared" si="1"/>
        <v>99546.416666666002</v>
      </c>
      <c r="J18" s="860">
        <v>34313.273333333302</v>
      </c>
      <c r="K18" s="860">
        <f t="shared" si="6"/>
        <v>43308.106666666601</v>
      </c>
      <c r="L18" s="860">
        <f t="shared" si="2"/>
        <v>8994.8333333333394</v>
      </c>
      <c r="M18" s="860"/>
      <c r="N18" s="860"/>
      <c r="O18" s="860">
        <f t="shared" si="3"/>
        <v>0</v>
      </c>
      <c r="P18" s="860">
        <f t="shared" si="4"/>
        <v>519697.28</v>
      </c>
      <c r="Q18" s="860">
        <f t="shared" si="5"/>
        <v>0</v>
      </c>
    </row>
    <row r="19" spans="1:17" ht="20.100000000000001" customHeight="1" x14ac:dyDescent="0.2">
      <c r="A19" s="8">
        <v>12</v>
      </c>
      <c r="B19" s="16" t="s">
        <v>53</v>
      </c>
      <c r="C19" s="2" t="s">
        <v>54</v>
      </c>
      <c r="D19" s="13" t="s">
        <v>55</v>
      </c>
      <c r="E19" s="70">
        <v>428915.91666666698</v>
      </c>
      <c r="F19" s="853">
        <v>329044.91666666698</v>
      </c>
      <c r="G19" s="70">
        <v>197680.16666666701</v>
      </c>
      <c r="H19" s="186">
        <f t="shared" si="0"/>
        <v>526725.08333333395</v>
      </c>
      <c r="I19" s="186">
        <f t="shared" si="1"/>
        <v>97809.166666667006</v>
      </c>
      <c r="J19" s="860">
        <v>33282.153333333299</v>
      </c>
      <c r="K19" s="860">
        <f t="shared" si="6"/>
        <v>42138.006666666697</v>
      </c>
      <c r="L19" s="860">
        <f t="shared" si="2"/>
        <v>8855.8533333334199</v>
      </c>
      <c r="M19" s="860">
        <v>5607.1770833333303</v>
      </c>
      <c r="N19" s="860">
        <f t="shared" ref="N19:N22" si="8">0.025*F19</f>
        <v>8226.1229166666708</v>
      </c>
      <c r="O19" s="860">
        <f t="shared" si="3"/>
        <v>2618.94583333334</v>
      </c>
      <c r="P19" s="860">
        <f t="shared" si="4"/>
        <v>505656.08000000101</v>
      </c>
      <c r="Q19" s="860">
        <f t="shared" si="5"/>
        <v>98713.475000000093</v>
      </c>
    </row>
    <row r="20" spans="1:17" ht="20.100000000000001" customHeight="1" x14ac:dyDescent="0.2">
      <c r="A20" s="8">
        <v>13</v>
      </c>
      <c r="B20" s="16" t="s">
        <v>56</v>
      </c>
      <c r="C20" s="2" t="s">
        <v>57</v>
      </c>
      <c r="D20" s="13" t="s">
        <v>58</v>
      </c>
      <c r="E20" s="630">
        <v>403138</v>
      </c>
      <c r="F20" s="853">
        <v>311673.25</v>
      </c>
      <c r="G20" s="70">
        <v>185799.5</v>
      </c>
      <c r="H20" s="186">
        <f t="shared" si="0"/>
        <v>497472.75</v>
      </c>
      <c r="I20" s="186">
        <f t="shared" si="1"/>
        <v>94334.75</v>
      </c>
      <c r="J20" s="860">
        <v>31219.913333333399</v>
      </c>
      <c r="K20" s="860">
        <f t="shared" si="6"/>
        <v>39797.82</v>
      </c>
      <c r="L20" s="860">
        <f t="shared" si="2"/>
        <v>8577.9066666666004</v>
      </c>
      <c r="M20" s="860">
        <v>5967.3062499999996</v>
      </c>
      <c r="N20" s="860">
        <f t="shared" si="8"/>
        <v>7791.8312500000002</v>
      </c>
      <c r="O20" s="860">
        <f t="shared" si="3"/>
        <v>1824.5250000000001</v>
      </c>
      <c r="P20" s="860">
        <f t="shared" si="4"/>
        <v>477573.84</v>
      </c>
      <c r="Q20" s="860">
        <f t="shared" si="5"/>
        <v>93501.975000000006</v>
      </c>
    </row>
    <row r="21" spans="1:17" ht="20.100000000000001" customHeight="1" x14ac:dyDescent="0.2">
      <c r="A21" s="8">
        <v>14</v>
      </c>
      <c r="B21" s="16" t="s">
        <v>59</v>
      </c>
      <c r="C21" s="2" t="s">
        <v>51</v>
      </c>
      <c r="D21" s="13" t="s">
        <v>58</v>
      </c>
      <c r="E21" s="630">
        <v>403138</v>
      </c>
      <c r="F21" s="853">
        <v>311673.25</v>
      </c>
      <c r="G21" s="70">
        <v>185799.5</v>
      </c>
      <c r="H21" s="186">
        <f t="shared" si="0"/>
        <v>497472.75</v>
      </c>
      <c r="I21" s="186">
        <f t="shared" si="1"/>
        <v>94334.75</v>
      </c>
      <c r="J21" s="860">
        <v>31219.913333333399</v>
      </c>
      <c r="K21" s="860">
        <f t="shared" si="6"/>
        <v>39797.82</v>
      </c>
      <c r="L21" s="860">
        <f t="shared" si="2"/>
        <v>8577.9066666666004</v>
      </c>
      <c r="M21" s="860"/>
      <c r="N21" s="860"/>
      <c r="O21" s="860">
        <f t="shared" si="3"/>
        <v>0</v>
      </c>
      <c r="P21" s="860">
        <f t="shared" si="4"/>
        <v>477573.84</v>
      </c>
      <c r="Q21" s="860">
        <f t="shared" si="5"/>
        <v>0</v>
      </c>
    </row>
    <row r="22" spans="1:17" ht="20.100000000000001" customHeight="1" x14ac:dyDescent="0.2">
      <c r="A22" s="8">
        <v>15</v>
      </c>
      <c r="B22" s="9" t="s">
        <v>60</v>
      </c>
      <c r="C22" s="10" t="s">
        <v>61</v>
      </c>
      <c r="D22" s="13" t="s">
        <v>62</v>
      </c>
      <c r="E22" s="70">
        <v>402278</v>
      </c>
      <c r="F22" s="853">
        <f>'[3] FGN 2024 MGT Monthly'!$L$40</f>
        <v>311094.41666666698</v>
      </c>
      <c r="G22" s="70">
        <v>185402.75</v>
      </c>
      <c r="H22" s="186">
        <f t="shared" si="0"/>
        <v>496497.16666666698</v>
      </c>
      <c r="I22" s="186">
        <f t="shared" si="1"/>
        <v>94219.166666666701</v>
      </c>
      <c r="J22" s="860">
        <v>31206.92</v>
      </c>
      <c r="K22" s="860">
        <f t="shared" si="6"/>
        <v>39719.773333333302</v>
      </c>
      <c r="L22" s="860">
        <f t="shared" si="2"/>
        <v>8512.8533333333398</v>
      </c>
      <c r="M22" s="860">
        <v>5257.5625</v>
      </c>
      <c r="N22" s="860">
        <f t="shared" si="8"/>
        <v>7777.3604166666701</v>
      </c>
      <c r="O22" s="860">
        <f t="shared" si="3"/>
        <v>2519.7979166666701</v>
      </c>
      <c r="P22" s="860">
        <f t="shared" si="4"/>
        <v>476637.28</v>
      </c>
      <c r="Q22" s="860">
        <f t="shared" si="5"/>
        <v>93328.324999999997</v>
      </c>
    </row>
    <row r="23" spans="1:17" ht="18.75" customHeight="1" x14ac:dyDescent="0.2">
      <c r="A23" s="8">
        <v>16</v>
      </c>
      <c r="B23" s="9" t="s">
        <v>63</v>
      </c>
      <c r="C23" s="10" t="s">
        <v>64</v>
      </c>
      <c r="D23" s="13" t="s">
        <v>65</v>
      </c>
      <c r="E23" s="70">
        <v>390086.5</v>
      </c>
      <c r="F23" s="853">
        <v>302878.66666666698</v>
      </c>
      <c r="G23" s="70">
        <v>179784</v>
      </c>
      <c r="H23" s="186">
        <f t="shared" si="0"/>
        <v>482662.66666666698</v>
      </c>
      <c r="I23" s="186">
        <f t="shared" si="1"/>
        <v>92576.166666667006</v>
      </c>
      <c r="J23" s="860">
        <v>30231.613333333298</v>
      </c>
      <c r="K23" s="860">
        <f t="shared" si="6"/>
        <v>38613.013333333402</v>
      </c>
      <c r="L23" s="860">
        <f t="shared" si="2"/>
        <v>8381.4000000000597</v>
      </c>
      <c r="M23" s="860"/>
      <c r="N23" s="860"/>
      <c r="O23" s="860">
        <f t="shared" si="3"/>
        <v>0</v>
      </c>
      <c r="P23" s="860">
        <f t="shared" si="4"/>
        <v>463356.15999999997</v>
      </c>
      <c r="Q23" s="860">
        <f t="shared" si="5"/>
        <v>0</v>
      </c>
    </row>
    <row r="24" spans="1:17" ht="20.100000000000001" customHeight="1" x14ac:dyDescent="0.2">
      <c r="A24" s="8">
        <v>17</v>
      </c>
      <c r="B24" s="12" t="s">
        <v>66</v>
      </c>
      <c r="C24" s="15" t="s">
        <v>67</v>
      </c>
      <c r="D24" s="8" t="s">
        <v>68</v>
      </c>
      <c r="E24" s="70">
        <v>365704</v>
      </c>
      <c r="F24" s="853">
        <v>286447.08333333302</v>
      </c>
      <c r="G24" s="70">
        <v>168546.5</v>
      </c>
      <c r="H24" s="186">
        <f t="shared" si="0"/>
        <v>454993.58333333302</v>
      </c>
      <c r="I24" s="186">
        <f t="shared" si="1"/>
        <v>89289.583333332994</v>
      </c>
      <c r="J24" s="860">
        <v>28281</v>
      </c>
      <c r="K24" s="860">
        <f t="shared" si="6"/>
        <v>36399.486666666598</v>
      </c>
      <c r="L24" s="860">
        <f t="shared" si="2"/>
        <v>8118.4866666666403</v>
      </c>
      <c r="M24" s="860"/>
      <c r="N24" s="860"/>
      <c r="O24" s="860">
        <f t="shared" si="3"/>
        <v>0</v>
      </c>
      <c r="P24" s="860">
        <f t="shared" si="4"/>
        <v>436793.84</v>
      </c>
      <c r="Q24" s="860">
        <f t="shared" si="5"/>
        <v>0</v>
      </c>
    </row>
    <row r="25" spans="1:17" ht="21.6" customHeight="1" x14ac:dyDescent="0.2">
      <c r="A25" s="8">
        <v>18</v>
      </c>
      <c r="B25" s="9" t="s">
        <v>69</v>
      </c>
      <c r="C25" s="15" t="s">
        <v>70</v>
      </c>
      <c r="D25" s="13" t="s">
        <v>68</v>
      </c>
      <c r="E25" s="70">
        <v>365704</v>
      </c>
      <c r="F25" s="853">
        <v>286447.08333333302</v>
      </c>
      <c r="G25" s="70">
        <v>168546.5</v>
      </c>
      <c r="H25" s="186">
        <f t="shared" si="0"/>
        <v>454993.58333333302</v>
      </c>
      <c r="I25" s="186">
        <f t="shared" si="1"/>
        <v>89289.583333332994</v>
      </c>
      <c r="J25" s="860">
        <v>28281</v>
      </c>
      <c r="K25" s="860">
        <f t="shared" si="6"/>
        <v>36399.486666666598</v>
      </c>
      <c r="L25" s="860">
        <f t="shared" si="2"/>
        <v>8118.4866666666403</v>
      </c>
      <c r="M25" s="860"/>
      <c r="N25" s="860"/>
      <c r="O25" s="860">
        <f t="shared" si="3"/>
        <v>0</v>
      </c>
      <c r="P25" s="860">
        <f t="shared" si="4"/>
        <v>436793.84</v>
      </c>
      <c r="Q25" s="860">
        <f t="shared" si="5"/>
        <v>0</v>
      </c>
    </row>
    <row r="26" spans="1:17" ht="20.100000000000001" customHeight="1" x14ac:dyDescent="0.2">
      <c r="A26" s="8">
        <v>19</v>
      </c>
      <c r="B26" s="12" t="s">
        <v>71</v>
      </c>
      <c r="C26" s="15" t="s">
        <v>72</v>
      </c>
      <c r="D26" s="8" t="s">
        <v>73</v>
      </c>
      <c r="E26" s="70">
        <v>293029.66666666698</v>
      </c>
      <c r="F26" s="853">
        <v>240874.58333333299</v>
      </c>
      <c r="G26" s="70">
        <v>140266.08333333299</v>
      </c>
      <c r="H26" s="186">
        <f t="shared" si="0"/>
        <v>381140.66666666599</v>
      </c>
      <c r="I26" s="186">
        <f t="shared" si="1"/>
        <v>88110.999999998996</v>
      </c>
      <c r="J26" s="860">
        <v>23442.3733333333</v>
      </c>
      <c r="K26" s="860">
        <f t="shared" si="6"/>
        <v>30491.253333333301</v>
      </c>
      <c r="L26" s="860">
        <f t="shared" si="2"/>
        <v>7048.8799999999801</v>
      </c>
      <c r="M26" s="860"/>
      <c r="N26" s="860"/>
      <c r="O26" s="860">
        <f t="shared" si="3"/>
        <v>0</v>
      </c>
      <c r="P26" s="860">
        <f t="shared" si="4"/>
        <v>365895.03999999899</v>
      </c>
      <c r="Q26" s="860">
        <f t="shared" si="5"/>
        <v>0</v>
      </c>
    </row>
    <row r="27" spans="1:17" ht="20.100000000000001" customHeight="1" x14ac:dyDescent="0.2">
      <c r="A27" s="8">
        <v>20</v>
      </c>
      <c r="B27" s="12" t="s">
        <v>74</v>
      </c>
      <c r="C27" s="15" t="s">
        <v>75</v>
      </c>
      <c r="D27" s="8" t="s">
        <v>76</v>
      </c>
      <c r="E27" s="70">
        <v>300965.58333333302</v>
      </c>
      <c r="F27" s="853">
        <v>240874.58333333299</v>
      </c>
      <c r="G27" s="70">
        <v>140266.08333333299</v>
      </c>
      <c r="H27" s="186">
        <f t="shared" si="0"/>
        <v>381140.66666666599</v>
      </c>
      <c r="I27" s="186">
        <f t="shared" si="1"/>
        <v>80175.083333332994</v>
      </c>
      <c r="J27" s="860">
        <v>23442.373333333398</v>
      </c>
      <c r="K27" s="860">
        <f t="shared" si="6"/>
        <v>30491.253333333301</v>
      </c>
      <c r="L27" s="860">
        <f t="shared" si="2"/>
        <v>7048.8799999998801</v>
      </c>
      <c r="M27" s="860"/>
      <c r="N27" s="860"/>
      <c r="O27" s="860">
        <f t="shared" si="3"/>
        <v>0</v>
      </c>
      <c r="P27" s="860">
        <f t="shared" si="4"/>
        <v>365895.03999999899</v>
      </c>
      <c r="Q27" s="860">
        <f t="shared" si="5"/>
        <v>0</v>
      </c>
    </row>
    <row r="28" spans="1:17" ht="18.75" customHeight="1" x14ac:dyDescent="0.2">
      <c r="A28" s="8">
        <v>21</v>
      </c>
      <c r="B28" s="2" t="s">
        <v>77</v>
      </c>
      <c r="C28" s="2" t="s">
        <v>78</v>
      </c>
      <c r="D28" s="8" t="s">
        <v>79</v>
      </c>
      <c r="E28" s="70">
        <v>277798</v>
      </c>
      <c r="F28" s="853">
        <v>227615.75</v>
      </c>
      <c r="G28" s="70">
        <v>127704.91666666701</v>
      </c>
      <c r="H28" s="186">
        <f t="shared" si="0"/>
        <v>355320.66666666698</v>
      </c>
      <c r="I28" s="186">
        <f t="shared" si="1"/>
        <v>77522.666666667006</v>
      </c>
      <c r="J28" s="860">
        <v>21638.5333333333</v>
      </c>
      <c r="K28" s="860">
        <f t="shared" si="6"/>
        <v>28425.653333333401</v>
      </c>
      <c r="L28" s="860">
        <f t="shared" si="2"/>
        <v>6787.1200000000599</v>
      </c>
      <c r="M28" s="860"/>
      <c r="N28" s="860"/>
      <c r="O28" s="860">
        <f t="shared" si="3"/>
        <v>0</v>
      </c>
      <c r="P28" s="860">
        <f t="shared" si="4"/>
        <v>341107.84</v>
      </c>
      <c r="Q28" s="860">
        <f t="shared" si="5"/>
        <v>0</v>
      </c>
    </row>
    <row r="29" spans="1:17" ht="18.75" customHeight="1" x14ac:dyDescent="0.2">
      <c r="A29" s="8">
        <v>22</v>
      </c>
      <c r="B29" s="16" t="s">
        <v>80</v>
      </c>
      <c r="C29" s="10" t="s">
        <v>78</v>
      </c>
      <c r="D29" s="13" t="s">
        <v>79</v>
      </c>
      <c r="E29" s="70">
        <v>277798</v>
      </c>
      <c r="F29" s="853">
        <v>227615.75</v>
      </c>
      <c r="G29" s="70">
        <v>127704.91666666701</v>
      </c>
      <c r="H29" s="186">
        <f t="shared" si="0"/>
        <v>355320.66666666698</v>
      </c>
      <c r="I29" s="186">
        <f t="shared" si="1"/>
        <v>77522.666666667006</v>
      </c>
      <c r="J29" s="860">
        <v>21638.5333333333</v>
      </c>
      <c r="K29" s="860">
        <f t="shared" si="6"/>
        <v>28425.653333333401</v>
      </c>
      <c r="L29" s="860">
        <f t="shared" si="2"/>
        <v>6787.1200000000599</v>
      </c>
      <c r="M29" s="860"/>
      <c r="N29" s="860"/>
      <c r="O29" s="860">
        <f t="shared" si="3"/>
        <v>0</v>
      </c>
      <c r="P29" s="860">
        <f t="shared" si="4"/>
        <v>341107.84</v>
      </c>
      <c r="Q29" s="860">
        <f t="shared" si="5"/>
        <v>0</v>
      </c>
    </row>
    <row r="30" spans="1:17" ht="20.100000000000001" customHeight="1" x14ac:dyDescent="0.2">
      <c r="A30" s="8">
        <v>23</v>
      </c>
      <c r="B30" s="9" t="s">
        <v>81</v>
      </c>
      <c r="C30" s="15" t="s">
        <v>67</v>
      </c>
      <c r="D30" s="8" t="s">
        <v>79</v>
      </c>
      <c r="E30" s="70">
        <v>277798</v>
      </c>
      <c r="F30" s="853">
        <v>227615.75</v>
      </c>
      <c r="G30" s="70">
        <v>127704.91666666701</v>
      </c>
      <c r="H30" s="186">
        <f t="shared" si="0"/>
        <v>355320.66666666698</v>
      </c>
      <c r="I30" s="186">
        <f t="shared" si="1"/>
        <v>77522.666666667006</v>
      </c>
      <c r="J30" s="860">
        <v>21638.5333333333</v>
      </c>
      <c r="K30" s="860">
        <f t="shared" si="6"/>
        <v>28425.653333333401</v>
      </c>
      <c r="L30" s="860">
        <f t="shared" si="2"/>
        <v>6787.1200000000599</v>
      </c>
      <c r="M30" s="860"/>
      <c r="N30" s="860"/>
      <c r="O30" s="860">
        <f t="shared" si="3"/>
        <v>0</v>
      </c>
      <c r="P30" s="860">
        <f t="shared" si="4"/>
        <v>341107.84</v>
      </c>
      <c r="Q30" s="860">
        <f t="shared" si="5"/>
        <v>0</v>
      </c>
    </row>
    <row r="31" spans="1:17" ht="18.75" customHeight="1" x14ac:dyDescent="0.2">
      <c r="A31" s="8">
        <v>24</v>
      </c>
      <c r="B31" s="16" t="s">
        <v>82</v>
      </c>
      <c r="C31" s="10" t="s">
        <v>83</v>
      </c>
      <c r="D31" s="13" t="s">
        <v>84</v>
      </c>
      <c r="E31" s="70">
        <v>270481.66666666698</v>
      </c>
      <c r="F31" s="853">
        <v>222674.58333333299</v>
      </c>
      <c r="G31" s="70">
        <v>124341.58333333299</v>
      </c>
      <c r="H31" s="186">
        <f t="shared" si="0"/>
        <v>347016.16666666599</v>
      </c>
      <c r="I31" s="186">
        <f t="shared" si="1"/>
        <v>76534.499999998996</v>
      </c>
      <c r="J31" s="860">
        <v>21053.226666666698</v>
      </c>
      <c r="K31" s="860">
        <f t="shared" si="6"/>
        <v>27761.293333333299</v>
      </c>
      <c r="L31" s="860">
        <f t="shared" si="2"/>
        <v>6708.0666666665802</v>
      </c>
      <c r="M31" s="860"/>
      <c r="N31" s="860"/>
      <c r="O31" s="860">
        <f t="shared" si="3"/>
        <v>0</v>
      </c>
      <c r="P31" s="860">
        <f t="shared" si="4"/>
        <v>333135.51999999903</v>
      </c>
      <c r="Q31" s="860">
        <f t="shared" si="5"/>
        <v>0</v>
      </c>
    </row>
    <row r="32" spans="1:17" ht="18.75" customHeight="1" x14ac:dyDescent="0.2">
      <c r="A32" s="8">
        <v>25</v>
      </c>
      <c r="B32" s="16" t="s">
        <v>85</v>
      </c>
      <c r="C32" s="2" t="s">
        <v>86</v>
      </c>
      <c r="D32" s="8" t="s">
        <v>87</v>
      </c>
      <c r="E32" s="70">
        <v>263165.33333333302</v>
      </c>
      <c r="F32" s="853">
        <v>217733.41666666701</v>
      </c>
      <c r="G32" s="70">
        <v>120978.25</v>
      </c>
      <c r="H32" s="186">
        <f t="shared" si="0"/>
        <v>338711.66666666698</v>
      </c>
      <c r="I32" s="186">
        <f t="shared" si="1"/>
        <v>75546.333333333998</v>
      </c>
      <c r="J32" s="860">
        <v>20467.919999999998</v>
      </c>
      <c r="K32" s="860">
        <f t="shared" si="6"/>
        <v>27096.9333333334</v>
      </c>
      <c r="L32" s="860">
        <f t="shared" si="2"/>
        <v>6629.0133333333597</v>
      </c>
      <c r="M32" s="860"/>
      <c r="N32" s="860"/>
      <c r="O32" s="860">
        <f t="shared" si="3"/>
        <v>0</v>
      </c>
      <c r="P32" s="860">
        <f t="shared" si="4"/>
        <v>325163.2</v>
      </c>
      <c r="Q32" s="860">
        <f t="shared" si="5"/>
        <v>0</v>
      </c>
    </row>
    <row r="33" spans="1:17" ht="18.75" customHeight="1" x14ac:dyDescent="0.2">
      <c r="A33" s="8">
        <v>26</v>
      </c>
      <c r="B33" s="16" t="s">
        <v>88</v>
      </c>
      <c r="C33" s="2" t="s">
        <v>86</v>
      </c>
      <c r="D33" s="8" t="s">
        <v>87</v>
      </c>
      <c r="E33" s="70">
        <v>263165.33333333302</v>
      </c>
      <c r="F33" s="853">
        <v>217733.41666666701</v>
      </c>
      <c r="G33" s="70">
        <v>120978.25</v>
      </c>
      <c r="H33" s="186">
        <f t="shared" si="0"/>
        <v>338711.66666666698</v>
      </c>
      <c r="I33" s="186">
        <f t="shared" si="1"/>
        <v>75546.333333333998</v>
      </c>
      <c r="J33" s="860">
        <v>20467.919999999998</v>
      </c>
      <c r="K33" s="860">
        <f t="shared" si="6"/>
        <v>27096.9333333334</v>
      </c>
      <c r="L33" s="860">
        <f t="shared" si="2"/>
        <v>6629.0133333333597</v>
      </c>
      <c r="M33" s="860"/>
      <c r="N33" s="860"/>
      <c r="O33" s="860">
        <f t="shared" si="3"/>
        <v>0</v>
      </c>
      <c r="P33" s="860">
        <f t="shared" si="4"/>
        <v>325163.2</v>
      </c>
      <c r="Q33" s="860">
        <f t="shared" si="5"/>
        <v>0</v>
      </c>
    </row>
    <row r="34" spans="1:17" ht="18.75" customHeight="1" x14ac:dyDescent="0.2">
      <c r="A34" s="8">
        <v>27</v>
      </c>
      <c r="B34" s="16" t="s">
        <v>89</v>
      </c>
      <c r="C34" s="15" t="s">
        <v>90</v>
      </c>
      <c r="D34" s="13" t="s">
        <v>79</v>
      </c>
      <c r="E34" s="70">
        <v>277798</v>
      </c>
      <c r="F34" s="853">
        <v>227615.75</v>
      </c>
      <c r="G34" s="70">
        <v>127704.91666666701</v>
      </c>
      <c r="H34" s="186">
        <f t="shared" si="0"/>
        <v>355320.66666666698</v>
      </c>
      <c r="I34" s="186">
        <f t="shared" si="1"/>
        <v>77522.666666667006</v>
      </c>
      <c r="J34" s="860">
        <v>21638.5333333333</v>
      </c>
      <c r="K34" s="860">
        <f t="shared" si="6"/>
        <v>28425.653333333401</v>
      </c>
      <c r="L34" s="860">
        <f t="shared" si="2"/>
        <v>6787.1200000000599</v>
      </c>
      <c r="M34" s="860">
        <v>3653.5</v>
      </c>
      <c r="N34" s="860">
        <f>0.025*F34</f>
        <v>5690.3937500000002</v>
      </c>
      <c r="O34" s="860">
        <f t="shared" si="3"/>
        <v>2036.89375</v>
      </c>
      <c r="P34" s="860">
        <f t="shared" si="4"/>
        <v>341107.84</v>
      </c>
      <c r="Q34" s="860">
        <f t="shared" si="5"/>
        <v>68284.725000000006</v>
      </c>
    </row>
    <row r="35" spans="1:17" ht="18.75" customHeight="1" x14ac:dyDescent="0.2">
      <c r="A35" s="8">
        <v>28</v>
      </c>
      <c r="B35" s="16" t="s">
        <v>91</v>
      </c>
      <c r="C35" s="2" t="s">
        <v>78</v>
      </c>
      <c r="D35" s="8" t="s">
        <v>87</v>
      </c>
      <c r="E35" s="70">
        <v>263165.33333333302</v>
      </c>
      <c r="F35" s="853">
        <v>217733.41666666701</v>
      </c>
      <c r="G35" s="70">
        <v>120978.25</v>
      </c>
      <c r="H35" s="186">
        <f t="shared" si="0"/>
        <v>338711.66666666698</v>
      </c>
      <c r="I35" s="186">
        <f t="shared" si="1"/>
        <v>75546.333333333998</v>
      </c>
      <c r="J35" s="860">
        <v>20467.919999999998</v>
      </c>
      <c r="K35" s="860">
        <f t="shared" si="6"/>
        <v>27096.9333333334</v>
      </c>
      <c r="L35" s="860">
        <f t="shared" si="2"/>
        <v>6629.0133333333597</v>
      </c>
      <c r="M35" s="860"/>
      <c r="N35" s="860"/>
      <c r="O35" s="860">
        <f t="shared" si="3"/>
        <v>0</v>
      </c>
      <c r="P35" s="860">
        <f t="shared" si="4"/>
        <v>325163.2</v>
      </c>
      <c r="Q35" s="860">
        <f t="shared" si="5"/>
        <v>0</v>
      </c>
    </row>
    <row r="36" spans="1:17" ht="18.75" customHeight="1" x14ac:dyDescent="0.2">
      <c r="A36" s="8">
        <v>29</v>
      </c>
      <c r="B36" s="16" t="s">
        <v>92</v>
      </c>
      <c r="C36" s="2" t="s">
        <v>93</v>
      </c>
      <c r="D36" s="8" t="s">
        <v>87</v>
      </c>
      <c r="E36" s="70">
        <v>263165.33333333302</v>
      </c>
      <c r="F36" s="853">
        <v>217733.41666666701</v>
      </c>
      <c r="G36" s="70">
        <v>120978.25</v>
      </c>
      <c r="H36" s="186">
        <f t="shared" si="0"/>
        <v>338711.66666666698</v>
      </c>
      <c r="I36" s="186">
        <f t="shared" si="1"/>
        <v>75546.333333333998</v>
      </c>
      <c r="J36" s="860">
        <v>20467.919999999998</v>
      </c>
      <c r="K36" s="860">
        <f t="shared" si="6"/>
        <v>27096.9333333334</v>
      </c>
      <c r="L36" s="860">
        <f t="shared" si="2"/>
        <v>6629.0133333333597</v>
      </c>
      <c r="M36" s="860"/>
      <c r="N36" s="860"/>
      <c r="O36" s="860">
        <f t="shared" si="3"/>
        <v>0</v>
      </c>
      <c r="P36" s="860">
        <f t="shared" si="4"/>
        <v>325163.2</v>
      </c>
      <c r="Q36" s="860">
        <f t="shared" si="5"/>
        <v>0</v>
      </c>
    </row>
    <row r="37" spans="1:17" ht="18.75" customHeight="1" x14ac:dyDescent="0.2">
      <c r="A37" s="8">
        <v>30</v>
      </c>
      <c r="B37" s="16" t="s">
        <v>100</v>
      </c>
      <c r="C37" s="10" t="s">
        <v>101</v>
      </c>
      <c r="D37" s="13" t="s">
        <v>102</v>
      </c>
      <c r="E37" s="70">
        <v>230631.91666666701</v>
      </c>
      <c r="F37" s="853">
        <v>196364.41666666701</v>
      </c>
      <c r="G37" s="70">
        <v>105546.33333333299</v>
      </c>
      <c r="H37" s="186">
        <f t="shared" si="0"/>
        <v>301910.75</v>
      </c>
      <c r="I37" s="186">
        <f t="shared" si="1"/>
        <v>71278.833333332994</v>
      </c>
      <c r="J37" s="860">
        <v>17956.78</v>
      </c>
      <c r="K37" s="860">
        <f t="shared" si="6"/>
        <v>24152.86</v>
      </c>
      <c r="L37" s="860">
        <f t="shared" si="2"/>
        <v>6196.08</v>
      </c>
      <c r="M37" s="860"/>
      <c r="N37" s="860"/>
      <c r="O37" s="860">
        <f t="shared" si="3"/>
        <v>0</v>
      </c>
      <c r="P37" s="860">
        <f t="shared" si="4"/>
        <v>289834.32</v>
      </c>
      <c r="Q37" s="860">
        <f t="shared" si="5"/>
        <v>0</v>
      </c>
    </row>
    <row r="38" spans="1:17" ht="18.75" customHeight="1" x14ac:dyDescent="0.2">
      <c r="A38" s="8">
        <v>31</v>
      </c>
      <c r="B38" s="16" t="s">
        <v>103</v>
      </c>
      <c r="C38" s="10" t="s">
        <v>104</v>
      </c>
      <c r="D38" s="13" t="s">
        <v>105</v>
      </c>
      <c r="E38" s="630">
        <v>224459.75</v>
      </c>
      <c r="F38" s="853">
        <v>192179.41666666701</v>
      </c>
      <c r="G38" s="70">
        <v>102721.41666666701</v>
      </c>
      <c r="H38" s="186">
        <f t="shared" si="0"/>
        <v>294900.83333333401</v>
      </c>
      <c r="I38" s="186">
        <f t="shared" si="1"/>
        <v>70441.083333333998</v>
      </c>
      <c r="J38" s="860">
        <v>17463.006666666599</v>
      </c>
      <c r="K38" s="860">
        <f t="shared" si="6"/>
        <v>23592.066666666698</v>
      </c>
      <c r="L38" s="860">
        <f t="shared" si="2"/>
        <v>6129.0600000001205</v>
      </c>
      <c r="M38" s="860"/>
      <c r="N38" s="860"/>
      <c r="O38" s="860">
        <f t="shared" si="3"/>
        <v>0</v>
      </c>
      <c r="P38" s="860">
        <f t="shared" si="4"/>
        <v>283104.80000000098</v>
      </c>
      <c r="Q38" s="860">
        <f t="shared" si="5"/>
        <v>0</v>
      </c>
    </row>
    <row r="39" spans="1:17" ht="26.25" customHeight="1" x14ac:dyDescent="0.2">
      <c r="A39" s="8"/>
      <c r="B39" s="18" t="s">
        <v>111</v>
      </c>
      <c r="C39" s="19">
        <v>31</v>
      </c>
      <c r="D39" s="13"/>
      <c r="E39" s="187">
        <f t="shared" ref="E39:Q39" si="9">SUM(E8:E38)</f>
        <v>14073003.666999999</v>
      </c>
      <c r="F39" s="854">
        <f t="shared" si="9"/>
        <v>10664632</v>
      </c>
      <c r="G39" s="187">
        <f t="shared" si="9"/>
        <v>6603270.9166666698</v>
      </c>
      <c r="H39" s="187">
        <f t="shared" si="9"/>
        <v>17267902.916666701</v>
      </c>
      <c r="I39" s="187">
        <f t="shared" si="9"/>
        <v>3194899.2496666601</v>
      </c>
      <c r="J39" s="187">
        <f t="shared" si="9"/>
        <v>914813.32</v>
      </c>
      <c r="K39" s="187">
        <f t="shared" si="9"/>
        <v>1151316.7266666701</v>
      </c>
      <c r="L39" s="187">
        <f t="shared" si="9"/>
        <v>236503.406666667</v>
      </c>
      <c r="M39" s="187">
        <f t="shared" si="9"/>
        <v>48931.972916666702</v>
      </c>
      <c r="N39" s="187">
        <f t="shared" si="9"/>
        <v>67587.004166666695</v>
      </c>
      <c r="O39" s="187">
        <f t="shared" si="9"/>
        <v>18655.031249999902</v>
      </c>
      <c r="P39" s="187">
        <f t="shared" si="9"/>
        <v>13815800.720000001</v>
      </c>
      <c r="Q39" s="187">
        <f t="shared" si="9"/>
        <v>811044.05</v>
      </c>
    </row>
    <row r="40" spans="1:17" ht="18.75" customHeight="1" x14ac:dyDescent="0.2">
      <c r="A40" s="8"/>
      <c r="B40" s="20"/>
      <c r="C40" s="2"/>
      <c r="D40" s="13"/>
      <c r="E40" s="187"/>
      <c r="F40" s="854"/>
      <c r="G40" s="187"/>
      <c r="H40" s="186"/>
      <c r="I40" s="186"/>
      <c r="J40" s="860"/>
      <c r="K40" s="860"/>
      <c r="L40" s="860"/>
      <c r="M40" s="860"/>
      <c r="N40" s="860"/>
      <c r="O40" s="860"/>
      <c r="P40" s="860"/>
      <c r="Q40" s="860"/>
    </row>
    <row r="41" spans="1:17" ht="18.75" customHeight="1" x14ac:dyDescent="0.2">
      <c r="A41" s="8"/>
      <c r="B41" s="18" t="s">
        <v>112</v>
      </c>
      <c r="C41" s="2"/>
      <c r="D41" s="13"/>
      <c r="E41" s="70"/>
      <c r="F41" s="853"/>
      <c r="G41" s="70"/>
      <c r="H41" s="186"/>
      <c r="I41" s="186"/>
      <c r="J41" s="860"/>
      <c r="K41" s="860"/>
      <c r="L41" s="860"/>
      <c r="M41" s="860"/>
      <c r="N41" s="860"/>
      <c r="O41" s="860"/>
      <c r="P41" s="860"/>
      <c r="Q41" s="860"/>
    </row>
    <row r="42" spans="1:17" ht="18.75" customHeight="1" x14ac:dyDescent="0.2">
      <c r="A42" s="8">
        <v>1</v>
      </c>
      <c r="B42" s="16" t="s">
        <v>113</v>
      </c>
      <c r="C42" s="2" t="s">
        <v>114</v>
      </c>
      <c r="D42" s="8" t="s">
        <v>115</v>
      </c>
      <c r="E42" s="70">
        <v>1435720</v>
      </c>
      <c r="F42" s="853">
        <v>1086777.08333333</v>
      </c>
      <c r="G42" s="186">
        <v>660329.33333333302</v>
      </c>
      <c r="H42" s="855">
        <f t="shared" ref="H42:H45" si="10">F42+G42</f>
        <v>1747106.41666666</v>
      </c>
      <c r="I42" s="186">
        <f t="shared" ref="I42:I45" si="11">H42-E42</f>
        <v>311386.41666666302</v>
      </c>
      <c r="J42" s="860">
        <v>114857.60000000001</v>
      </c>
      <c r="K42" s="860">
        <f t="shared" ref="K42:K45" si="12">H42*0.08</f>
        <v>139768.51333333299</v>
      </c>
      <c r="L42" s="860">
        <f t="shared" ref="L42:L45" si="13">K42-J42</f>
        <v>24910.913333332999</v>
      </c>
      <c r="M42" s="860"/>
      <c r="N42" s="860"/>
      <c r="O42" s="860">
        <f t="shared" ref="O42:O45" si="14">N42-M42</f>
        <v>0</v>
      </c>
      <c r="P42" s="860">
        <f t="shared" ref="P42:P45" si="15">K42*12</f>
        <v>1677222.16</v>
      </c>
      <c r="Q42" s="860"/>
    </row>
    <row r="43" spans="1:17" ht="18.75" customHeight="1" x14ac:dyDescent="0.2">
      <c r="A43" s="8">
        <v>2</v>
      </c>
      <c r="B43" s="16" t="s">
        <v>116</v>
      </c>
      <c r="C43" s="2" t="s">
        <v>117</v>
      </c>
      <c r="D43" s="8" t="s">
        <v>76</v>
      </c>
      <c r="E43" s="70">
        <v>300965.58333333302</v>
      </c>
      <c r="F43" s="853">
        <v>240874.58333333299</v>
      </c>
      <c r="G43" s="186">
        <v>140266.08333333299</v>
      </c>
      <c r="H43" s="855">
        <f t="shared" si="10"/>
        <v>381140.66666666599</v>
      </c>
      <c r="I43" s="186">
        <f t="shared" si="11"/>
        <v>80175.083333332994</v>
      </c>
      <c r="J43" s="860">
        <v>23442.3733333333</v>
      </c>
      <c r="K43" s="860">
        <f t="shared" si="12"/>
        <v>30491.253333333301</v>
      </c>
      <c r="L43" s="860">
        <f t="shared" si="13"/>
        <v>7048.8799999999801</v>
      </c>
      <c r="M43" s="860"/>
      <c r="N43" s="860"/>
      <c r="O43" s="860">
        <f t="shared" si="14"/>
        <v>0</v>
      </c>
      <c r="P43" s="860">
        <f t="shared" si="15"/>
        <v>365895.03999999899</v>
      </c>
      <c r="Q43" s="860"/>
    </row>
    <row r="44" spans="1:17" ht="18.75" customHeight="1" x14ac:dyDescent="0.2">
      <c r="A44" s="8">
        <v>3</v>
      </c>
      <c r="B44" s="9" t="s">
        <v>118</v>
      </c>
      <c r="C44" s="2" t="s">
        <v>117</v>
      </c>
      <c r="D44" s="13" t="s">
        <v>119</v>
      </c>
      <c r="E44" s="70">
        <v>308901.5</v>
      </c>
      <c r="F44" s="853">
        <v>246171.16666666701</v>
      </c>
      <c r="G44" s="186">
        <v>143964.66666666701</v>
      </c>
      <c r="H44" s="855">
        <f t="shared" si="10"/>
        <v>390135.83333333401</v>
      </c>
      <c r="I44" s="186">
        <f t="shared" si="11"/>
        <v>81234.333333333998</v>
      </c>
      <c r="J44" s="860">
        <v>24077.246666666699</v>
      </c>
      <c r="K44" s="860">
        <f t="shared" si="12"/>
        <v>31210.866666666701</v>
      </c>
      <c r="L44" s="860">
        <f t="shared" si="13"/>
        <v>7133.6200000000199</v>
      </c>
      <c r="M44" s="860"/>
      <c r="N44" s="860"/>
      <c r="O44" s="860">
        <f t="shared" si="14"/>
        <v>0</v>
      </c>
      <c r="P44" s="860">
        <f t="shared" si="15"/>
        <v>374530.40000000101</v>
      </c>
      <c r="Q44" s="860"/>
    </row>
    <row r="45" spans="1:17" ht="18.75" customHeight="1" x14ac:dyDescent="0.2">
      <c r="A45" s="8">
        <v>4</v>
      </c>
      <c r="B45" s="9" t="s">
        <v>121</v>
      </c>
      <c r="C45" s="2" t="s">
        <v>122</v>
      </c>
      <c r="D45" s="13" t="s">
        <v>87</v>
      </c>
      <c r="E45" s="630">
        <v>263165.33333333302</v>
      </c>
      <c r="F45" s="853">
        <v>217733.41666666701</v>
      </c>
      <c r="G45" s="186">
        <v>120978.25</v>
      </c>
      <c r="H45" s="855">
        <f t="shared" si="10"/>
        <v>338711.66666666698</v>
      </c>
      <c r="I45" s="186">
        <f t="shared" si="11"/>
        <v>75546.333333333998</v>
      </c>
      <c r="J45" s="860">
        <v>20467.919999999998</v>
      </c>
      <c r="K45" s="860">
        <f t="shared" si="12"/>
        <v>27096.9333333334</v>
      </c>
      <c r="L45" s="860">
        <f t="shared" si="13"/>
        <v>6629.0133333333597</v>
      </c>
      <c r="M45" s="860"/>
      <c r="N45" s="860"/>
      <c r="O45" s="860">
        <f t="shared" si="14"/>
        <v>0</v>
      </c>
      <c r="P45" s="860">
        <f t="shared" si="15"/>
        <v>325163.2</v>
      </c>
      <c r="Q45" s="860"/>
    </row>
    <row r="46" spans="1:17" ht="19.5" customHeight="1" x14ac:dyDescent="0.2">
      <c r="A46" s="8"/>
      <c r="B46" s="12"/>
      <c r="C46" s="19">
        <v>4</v>
      </c>
      <c r="D46" s="8"/>
      <c r="E46" s="187">
        <f t="shared" ref="E46:Q46" si="16">SUM(E42:E45)</f>
        <v>2308752.4166666698</v>
      </c>
      <c r="F46" s="854">
        <f t="shared" si="16"/>
        <v>1791556.25</v>
      </c>
      <c r="G46" s="187">
        <f t="shared" si="16"/>
        <v>1065538.33333333</v>
      </c>
      <c r="H46" s="187">
        <f t="shared" si="16"/>
        <v>2857094.5833333302</v>
      </c>
      <c r="I46" s="187">
        <f t="shared" si="16"/>
        <v>548342.16666666395</v>
      </c>
      <c r="J46" s="187">
        <f t="shared" si="16"/>
        <v>182845.14</v>
      </c>
      <c r="K46" s="187">
        <f t="shared" si="16"/>
        <v>228567.56666666601</v>
      </c>
      <c r="L46" s="187">
        <f t="shared" si="16"/>
        <v>45722.426666666397</v>
      </c>
      <c r="M46" s="187">
        <f t="shared" si="16"/>
        <v>0</v>
      </c>
      <c r="N46" s="187">
        <f t="shared" si="16"/>
        <v>0</v>
      </c>
      <c r="O46" s="187">
        <f t="shared" si="16"/>
        <v>0</v>
      </c>
      <c r="P46" s="187">
        <f t="shared" si="16"/>
        <v>2742810.8</v>
      </c>
      <c r="Q46" s="187">
        <f t="shared" si="16"/>
        <v>0</v>
      </c>
    </row>
    <row r="47" spans="1:17" ht="20.100000000000001" customHeight="1" x14ac:dyDescent="0.2">
      <c r="A47" s="8"/>
      <c r="B47" s="12"/>
      <c r="C47" s="2"/>
      <c r="D47" s="8"/>
      <c r="E47" s="187"/>
      <c r="F47" s="854"/>
      <c r="G47" s="187"/>
      <c r="H47" s="186"/>
      <c r="I47" s="186"/>
      <c r="J47" s="860"/>
      <c r="K47" s="860"/>
      <c r="L47" s="860"/>
      <c r="M47" s="860"/>
      <c r="N47" s="860"/>
      <c r="O47" s="860"/>
      <c r="P47" s="860"/>
      <c r="Q47" s="860"/>
    </row>
    <row r="48" spans="1:17" ht="20.100000000000001" customHeight="1" x14ac:dyDescent="0.2">
      <c r="A48" s="8"/>
      <c r="B48" s="21" t="s">
        <v>125</v>
      </c>
      <c r="C48" s="3"/>
      <c r="D48" s="22"/>
      <c r="E48" s="187"/>
      <c r="F48" s="854"/>
      <c r="G48" s="187"/>
      <c r="H48" s="186"/>
      <c r="I48" s="186"/>
      <c r="J48" s="860"/>
      <c r="K48" s="860"/>
      <c r="L48" s="860"/>
      <c r="M48" s="860"/>
      <c r="N48" s="860"/>
      <c r="O48" s="860"/>
      <c r="P48" s="860"/>
      <c r="Q48" s="860"/>
    </row>
    <row r="49" spans="1:17" ht="20.100000000000001" customHeight="1" x14ac:dyDescent="0.2">
      <c r="A49" s="8">
        <v>1</v>
      </c>
      <c r="B49" s="9" t="s">
        <v>126</v>
      </c>
      <c r="C49" s="2" t="s">
        <v>127</v>
      </c>
      <c r="D49" s="8" t="s">
        <v>154</v>
      </c>
      <c r="E49" s="70">
        <v>762373.16666666698</v>
      </c>
      <c r="F49" s="853">
        <v>554669.5</v>
      </c>
      <c r="G49" s="186">
        <v>350637.25</v>
      </c>
      <c r="H49" s="855">
        <f t="shared" ref="H49:H56" si="17">F49+G49</f>
        <v>905306.75</v>
      </c>
      <c r="I49" s="186">
        <f t="shared" ref="I49:I56" si="18">H49-E49</f>
        <v>142933.58333333299</v>
      </c>
      <c r="J49" s="860">
        <v>59136.286666666703</v>
      </c>
      <c r="K49" s="860">
        <f t="shared" ref="K49:K56" si="19">H49*0.08</f>
        <v>72424.539999999994</v>
      </c>
      <c r="L49" s="860">
        <f t="shared" ref="L49:L56" si="20">K49-J49</f>
        <v>13288.253333333299</v>
      </c>
      <c r="M49" s="860"/>
      <c r="N49" s="860"/>
      <c r="O49" s="860">
        <f t="shared" ref="O49:O56" si="21">N49-M49</f>
        <v>0</v>
      </c>
      <c r="P49" s="860">
        <f t="shared" ref="P49:P56" si="22">K49*12</f>
        <v>869094.48</v>
      </c>
      <c r="Q49" s="860"/>
    </row>
    <row r="50" spans="1:17" ht="20.100000000000001" customHeight="1" x14ac:dyDescent="0.2">
      <c r="A50" s="8">
        <v>2</v>
      </c>
      <c r="B50" s="9" t="s">
        <v>129</v>
      </c>
      <c r="C50" s="2" t="s">
        <v>130</v>
      </c>
      <c r="D50" s="8" t="s">
        <v>131</v>
      </c>
      <c r="E50" s="70">
        <v>620675.58333333302</v>
      </c>
      <c r="F50" s="853">
        <v>459010.5</v>
      </c>
      <c r="G50" s="186">
        <v>285466.5</v>
      </c>
      <c r="H50" s="855">
        <f t="shared" si="17"/>
        <v>744477</v>
      </c>
      <c r="I50" s="186">
        <f t="shared" si="18"/>
        <v>123801.41666666701</v>
      </c>
      <c r="J50" s="860">
        <v>49654.046666666698</v>
      </c>
      <c r="K50" s="860">
        <f t="shared" si="19"/>
        <v>59558.16</v>
      </c>
      <c r="L50" s="860">
        <f t="shared" si="20"/>
        <v>9904.1133333333091</v>
      </c>
      <c r="M50" s="860"/>
      <c r="N50" s="860"/>
      <c r="O50" s="860">
        <f t="shared" si="21"/>
        <v>0</v>
      </c>
      <c r="P50" s="860">
        <f t="shared" si="22"/>
        <v>714697.92</v>
      </c>
      <c r="Q50" s="860"/>
    </row>
    <row r="51" spans="1:17" ht="20.100000000000001" customHeight="1" x14ac:dyDescent="0.2">
      <c r="A51" s="8">
        <v>3</v>
      </c>
      <c r="B51" s="9" t="s">
        <v>132</v>
      </c>
      <c r="C51" s="2" t="s">
        <v>130</v>
      </c>
      <c r="D51" s="8" t="s">
        <v>131</v>
      </c>
      <c r="E51" s="70">
        <v>620675.58333333302</v>
      </c>
      <c r="F51" s="853">
        <v>459010.5</v>
      </c>
      <c r="G51" s="186">
        <v>285466.5</v>
      </c>
      <c r="H51" s="855">
        <f t="shared" si="17"/>
        <v>744477</v>
      </c>
      <c r="I51" s="186">
        <f t="shared" si="18"/>
        <v>123801.41666666701</v>
      </c>
      <c r="J51" s="860">
        <v>49654.046666666698</v>
      </c>
      <c r="K51" s="860">
        <f t="shared" si="19"/>
        <v>59558.16</v>
      </c>
      <c r="L51" s="860">
        <f t="shared" si="20"/>
        <v>9904.1133333333091</v>
      </c>
      <c r="M51" s="860">
        <v>8380.2270833333296</v>
      </c>
      <c r="N51" s="860">
        <f>0.025*F51</f>
        <v>11475.262500000001</v>
      </c>
      <c r="O51" s="860">
        <f t="shared" si="21"/>
        <v>3095.0354166666698</v>
      </c>
      <c r="P51" s="860">
        <f t="shared" si="22"/>
        <v>714697.92</v>
      </c>
      <c r="Q51" s="860">
        <f>N51*12</f>
        <v>137703.15</v>
      </c>
    </row>
    <row r="52" spans="1:17" ht="20.100000000000001" customHeight="1" x14ac:dyDescent="0.2">
      <c r="A52" s="8">
        <v>4</v>
      </c>
      <c r="B52" s="9" t="s">
        <v>133</v>
      </c>
      <c r="C52" s="2" t="s">
        <v>130</v>
      </c>
      <c r="D52" s="8" t="s">
        <v>38</v>
      </c>
      <c r="E52" s="70">
        <v>601396.83333333302</v>
      </c>
      <c r="F52" s="853">
        <v>445995.83333333302</v>
      </c>
      <c r="G52" s="186">
        <v>276599.66666666698</v>
      </c>
      <c r="H52" s="855">
        <f t="shared" si="17"/>
        <v>722595.5</v>
      </c>
      <c r="I52" s="186">
        <f t="shared" si="18"/>
        <v>121198.66666666701</v>
      </c>
      <c r="J52" s="860">
        <v>46569.446666666699</v>
      </c>
      <c r="K52" s="860">
        <f t="shared" si="19"/>
        <v>57807.64</v>
      </c>
      <c r="L52" s="860">
        <f t="shared" si="20"/>
        <v>11238.1933333333</v>
      </c>
      <c r="M52" s="860"/>
      <c r="N52" s="860"/>
      <c r="O52" s="860">
        <f t="shared" si="21"/>
        <v>0</v>
      </c>
      <c r="P52" s="860">
        <f t="shared" si="22"/>
        <v>693691.68</v>
      </c>
      <c r="Q52" s="860"/>
    </row>
    <row r="53" spans="1:17" ht="20.100000000000001" customHeight="1" x14ac:dyDescent="0.2">
      <c r="A53" s="8">
        <v>5</v>
      </c>
      <c r="B53" s="12" t="s">
        <v>134</v>
      </c>
      <c r="C53" s="2" t="s">
        <v>130</v>
      </c>
      <c r="D53" s="8" t="s">
        <v>49</v>
      </c>
      <c r="E53" s="70">
        <v>582118.08333333302</v>
      </c>
      <c r="F53" s="853">
        <v>432981.08333333302</v>
      </c>
      <c r="G53" s="186">
        <v>267732.83333333302</v>
      </c>
      <c r="H53" s="855">
        <f t="shared" si="17"/>
        <v>700713.91666666605</v>
      </c>
      <c r="I53" s="186">
        <f t="shared" si="18"/>
        <v>118595.83333333299</v>
      </c>
      <c r="J53" s="860">
        <v>46569.45</v>
      </c>
      <c r="K53" s="860">
        <f t="shared" si="19"/>
        <v>56057.113333333298</v>
      </c>
      <c r="L53" s="860">
        <f t="shared" si="20"/>
        <v>9487.6633333332902</v>
      </c>
      <c r="M53" s="860"/>
      <c r="N53" s="860"/>
      <c r="O53" s="860">
        <f t="shared" si="21"/>
        <v>0</v>
      </c>
      <c r="P53" s="860">
        <f t="shared" si="22"/>
        <v>672685.35999999905</v>
      </c>
      <c r="Q53" s="860"/>
    </row>
    <row r="54" spans="1:17" ht="20.100000000000001" customHeight="1" x14ac:dyDescent="0.2">
      <c r="A54" s="8">
        <v>6</v>
      </c>
      <c r="B54" s="9" t="s">
        <v>138</v>
      </c>
      <c r="C54" s="2" t="s">
        <v>139</v>
      </c>
      <c r="D54" s="8" t="s">
        <v>119</v>
      </c>
      <c r="E54" s="70">
        <v>308901.5</v>
      </c>
      <c r="F54" s="853">
        <v>246171.16666666701</v>
      </c>
      <c r="G54" s="186">
        <v>143964.66666666701</v>
      </c>
      <c r="H54" s="855">
        <f t="shared" si="17"/>
        <v>390135.83333333401</v>
      </c>
      <c r="I54" s="186">
        <f t="shared" si="18"/>
        <v>81234.333333333998</v>
      </c>
      <c r="J54" s="860">
        <v>24077.246666666699</v>
      </c>
      <c r="K54" s="860">
        <f t="shared" si="19"/>
        <v>31210.866666666701</v>
      </c>
      <c r="L54" s="860">
        <f t="shared" si="20"/>
        <v>7133.6200000000199</v>
      </c>
      <c r="M54" s="860"/>
      <c r="N54" s="860"/>
      <c r="O54" s="860">
        <f t="shared" si="21"/>
        <v>0</v>
      </c>
      <c r="P54" s="860">
        <f t="shared" si="22"/>
        <v>374530.40000000101</v>
      </c>
      <c r="Q54" s="860"/>
    </row>
    <row r="55" spans="1:17" ht="20.100000000000001" customHeight="1" x14ac:dyDescent="0.2">
      <c r="A55" s="8">
        <v>7</v>
      </c>
      <c r="B55" s="9" t="s">
        <v>142</v>
      </c>
      <c r="C55" s="2" t="s">
        <v>139</v>
      </c>
      <c r="D55" s="8" t="s">
        <v>84</v>
      </c>
      <c r="E55" s="70">
        <v>270481.66666666698</v>
      </c>
      <c r="F55" s="853">
        <v>222674.58333333299</v>
      </c>
      <c r="G55" s="186">
        <v>124341.58333333299</v>
      </c>
      <c r="H55" s="855">
        <f t="shared" si="17"/>
        <v>347016.16666666599</v>
      </c>
      <c r="I55" s="186">
        <f t="shared" si="18"/>
        <v>76534.499999998996</v>
      </c>
      <c r="J55" s="860">
        <v>21053.226666666698</v>
      </c>
      <c r="K55" s="860">
        <f t="shared" si="19"/>
        <v>27761.293333333299</v>
      </c>
      <c r="L55" s="860">
        <f t="shared" si="20"/>
        <v>6708.0666666665802</v>
      </c>
      <c r="M55" s="860"/>
      <c r="N55" s="860"/>
      <c r="O55" s="860">
        <f t="shared" si="21"/>
        <v>0</v>
      </c>
      <c r="P55" s="860">
        <f t="shared" si="22"/>
        <v>333135.51999999903</v>
      </c>
      <c r="Q55" s="860"/>
    </row>
    <row r="56" spans="1:17" ht="20.100000000000001" customHeight="1" x14ac:dyDescent="0.2">
      <c r="A56" s="8">
        <v>8</v>
      </c>
      <c r="B56" s="9" t="s">
        <v>143</v>
      </c>
      <c r="C56" s="2" t="s">
        <v>139</v>
      </c>
      <c r="D56" s="8" t="s">
        <v>84</v>
      </c>
      <c r="E56" s="70">
        <v>270481.66666666698</v>
      </c>
      <c r="F56" s="853">
        <v>222674.58333333299</v>
      </c>
      <c r="G56" s="186">
        <v>124341.58333333299</v>
      </c>
      <c r="H56" s="855">
        <f t="shared" si="17"/>
        <v>347016.16666666599</v>
      </c>
      <c r="I56" s="186">
        <f t="shared" si="18"/>
        <v>76534.499999998996</v>
      </c>
      <c r="J56" s="860">
        <v>21053.226666666698</v>
      </c>
      <c r="K56" s="860">
        <f t="shared" si="19"/>
        <v>27761.293333333299</v>
      </c>
      <c r="L56" s="860">
        <f t="shared" si="20"/>
        <v>6708.0666666665802</v>
      </c>
      <c r="M56" s="860"/>
      <c r="N56" s="860"/>
      <c r="O56" s="860">
        <f t="shared" si="21"/>
        <v>0</v>
      </c>
      <c r="P56" s="860">
        <f t="shared" si="22"/>
        <v>333135.51999999903</v>
      </c>
      <c r="Q56" s="860"/>
    </row>
    <row r="57" spans="1:17" ht="25.5" customHeight="1" x14ac:dyDescent="0.5">
      <c r="A57" s="8"/>
      <c r="B57" s="18" t="s">
        <v>111</v>
      </c>
      <c r="C57" s="19">
        <v>8</v>
      </c>
      <c r="D57" s="19"/>
      <c r="E57" s="78">
        <f t="shared" ref="E57:Q57" si="23">SUM(E49:E56)</f>
        <v>4037104.0833333302</v>
      </c>
      <c r="F57" s="856">
        <f t="shared" si="23"/>
        <v>3043187.75</v>
      </c>
      <c r="G57" s="78">
        <f t="shared" si="23"/>
        <v>1858550.58333333</v>
      </c>
      <c r="H57" s="78">
        <f t="shared" si="23"/>
        <v>4901738.3333333302</v>
      </c>
      <c r="I57" s="78">
        <f t="shared" si="23"/>
        <v>864634.24999999895</v>
      </c>
      <c r="J57" s="78">
        <f t="shared" si="23"/>
        <v>317766.97666666697</v>
      </c>
      <c r="K57" s="78">
        <f t="shared" si="23"/>
        <v>392139.066666667</v>
      </c>
      <c r="L57" s="78">
        <f t="shared" si="23"/>
        <v>74372.089999999705</v>
      </c>
      <c r="M57" s="78">
        <f t="shared" si="23"/>
        <v>8380.2270833333296</v>
      </c>
      <c r="N57" s="78">
        <f t="shared" si="23"/>
        <v>11475.262500000001</v>
      </c>
      <c r="O57" s="78">
        <f t="shared" si="23"/>
        <v>3095.0354166666698</v>
      </c>
      <c r="P57" s="78">
        <f t="shared" si="23"/>
        <v>4705668.8</v>
      </c>
      <c r="Q57" s="78">
        <f t="shared" si="23"/>
        <v>137703.15</v>
      </c>
    </row>
    <row r="58" spans="1:17" ht="20.100000000000001" customHeight="1" x14ac:dyDescent="0.2">
      <c r="A58" s="8"/>
      <c r="B58" s="20"/>
      <c r="C58" s="19"/>
      <c r="D58" s="19"/>
      <c r="E58" s="122"/>
      <c r="F58" s="857"/>
      <c r="G58" s="122"/>
      <c r="H58" s="186"/>
      <c r="I58" s="186"/>
      <c r="J58" s="860"/>
      <c r="K58" s="860"/>
      <c r="L58" s="860"/>
      <c r="M58" s="860"/>
      <c r="N58" s="860"/>
      <c r="O58" s="860"/>
      <c r="P58" s="860"/>
      <c r="Q58" s="860"/>
    </row>
    <row r="59" spans="1:17" ht="20.100000000000001" customHeight="1" x14ac:dyDescent="0.2">
      <c r="A59" s="8"/>
      <c r="B59" s="18" t="s">
        <v>145</v>
      </c>
      <c r="C59" s="19"/>
      <c r="D59" s="19"/>
      <c r="E59" s="122"/>
      <c r="F59" s="857"/>
      <c r="G59" s="122"/>
      <c r="H59" s="186"/>
      <c r="I59" s="186"/>
      <c r="J59" s="860"/>
      <c r="K59" s="860"/>
      <c r="L59" s="860"/>
      <c r="M59" s="860"/>
      <c r="N59" s="860"/>
      <c r="O59" s="860"/>
      <c r="P59" s="860"/>
      <c r="Q59" s="860"/>
    </row>
    <row r="60" spans="1:17" ht="20.100000000000001" customHeight="1" x14ac:dyDescent="0.2">
      <c r="A60" s="8">
        <v>1</v>
      </c>
      <c r="B60" s="9" t="s">
        <v>146</v>
      </c>
      <c r="C60" s="10" t="s">
        <v>147</v>
      </c>
      <c r="D60" s="13" t="s">
        <v>115</v>
      </c>
      <c r="E60" s="70">
        <v>1435720</v>
      </c>
      <c r="F60" s="853">
        <v>1086777.08333333</v>
      </c>
      <c r="G60" s="186">
        <v>660329.33333333302</v>
      </c>
      <c r="H60" s="855">
        <f t="shared" ref="H60:H71" si="24">F60+G60</f>
        <v>1747106.41666666</v>
      </c>
      <c r="I60" s="186">
        <f t="shared" ref="I60:I71" si="25">H60-E60</f>
        <v>311386.41666666302</v>
      </c>
      <c r="J60" s="860">
        <v>114857.60000000001</v>
      </c>
      <c r="K60" s="860">
        <f t="shared" ref="K60:K71" si="26">H60*0.08</f>
        <v>139768.51333333299</v>
      </c>
      <c r="L60" s="860">
        <f t="shared" ref="L60:L71" si="27">K60-J60</f>
        <v>24910.913333332999</v>
      </c>
      <c r="M60" s="860"/>
      <c r="N60" s="860"/>
      <c r="O60" s="860">
        <f t="shared" ref="O60:O71" si="28">N60-M60</f>
        <v>0</v>
      </c>
      <c r="P60" s="860">
        <f t="shared" ref="P60:P71" si="29">K60*12</f>
        <v>1677222.16</v>
      </c>
      <c r="Q60" s="860"/>
    </row>
    <row r="61" spans="1:17" ht="20.100000000000001" customHeight="1" x14ac:dyDescent="0.2">
      <c r="A61" s="8">
        <v>2</v>
      </c>
      <c r="B61" s="9" t="s">
        <v>148</v>
      </c>
      <c r="C61" s="10" t="s">
        <v>149</v>
      </c>
      <c r="D61" s="13" t="s">
        <v>150</v>
      </c>
      <c r="E61" s="70">
        <v>620675.58333333302</v>
      </c>
      <c r="F61" s="853">
        <v>459010.5</v>
      </c>
      <c r="G61" s="186">
        <v>285466.5</v>
      </c>
      <c r="H61" s="855">
        <f t="shared" si="24"/>
        <v>744477</v>
      </c>
      <c r="I61" s="186">
        <f t="shared" si="25"/>
        <v>123801.41666666701</v>
      </c>
      <c r="J61" s="860">
        <v>49654.046666666698</v>
      </c>
      <c r="K61" s="860">
        <f t="shared" si="26"/>
        <v>59558.16</v>
      </c>
      <c r="L61" s="860">
        <f t="shared" si="27"/>
        <v>9904.1133333333091</v>
      </c>
      <c r="M61" s="860"/>
      <c r="N61" s="860"/>
      <c r="O61" s="860">
        <f t="shared" si="28"/>
        <v>0</v>
      </c>
      <c r="P61" s="860">
        <f t="shared" si="29"/>
        <v>714697.92</v>
      </c>
      <c r="Q61" s="860"/>
    </row>
    <row r="62" spans="1:17" ht="20.100000000000001" customHeight="1" x14ac:dyDescent="0.5">
      <c r="A62" s="8"/>
      <c r="B62" s="18" t="s">
        <v>111</v>
      </c>
      <c r="C62" s="19">
        <v>2</v>
      </c>
      <c r="D62" s="19"/>
      <c r="E62" s="78">
        <f t="shared" ref="E62:Q62" si="30">SUM(E60:E61)</f>
        <v>2056395.58333333</v>
      </c>
      <c r="F62" s="856">
        <f t="shared" si="30"/>
        <v>1545787.58333333</v>
      </c>
      <c r="G62" s="78">
        <f t="shared" si="30"/>
        <v>945795.83333333302</v>
      </c>
      <c r="H62" s="78">
        <f t="shared" si="30"/>
        <v>2491583.41666666</v>
      </c>
      <c r="I62" s="78">
        <f t="shared" si="30"/>
        <v>435187.83333333</v>
      </c>
      <c r="J62" s="78">
        <f t="shared" si="30"/>
        <v>164511.64666666699</v>
      </c>
      <c r="K62" s="78">
        <f t="shared" si="30"/>
        <v>199326.67333333299</v>
      </c>
      <c r="L62" s="78">
        <f t="shared" si="30"/>
        <v>34815.026666666301</v>
      </c>
      <c r="M62" s="78">
        <f t="shared" si="30"/>
        <v>0</v>
      </c>
      <c r="N62" s="78">
        <f t="shared" si="30"/>
        <v>0</v>
      </c>
      <c r="O62" s="78">
        <f t="shared" si="30"/>
        <v>0</v>
      </c>
      <c r="P62" s="78">
        <f t="shared" si="30"/>
        <v>2391920.08</v>
      </c>
      <c r="Q62" s="78">
        <f t="shared" si="30"/>
        <v>0</v>
      </c>
    </row>
    <row r="63" spans="1:17" ht="20.100000000000001" customHeight="1" x14ac:dyDescent="0.2">
      <c r="A63" s="8"/>
      <c r="B63" s="18"/>
      <c r="C63" s="19"/>
      <c r="D63" s="19"/>
      <c r="E63" s="122"/>
      <c r="F63" s="857"/>
      <c r="G63" s="122"/>
      <c r="H63" s="186"/>
      <c r="I63" s="186"/>
      <c r="J63" s="860"/>
      <c r="K63" s="860"/>
      <c r="L63" s="860"/>
      <c r="M63" s="860"/>
      <c r="N63" s="860"/>
      <c r="O63" s="860"/>
      <c r="P63" s="860"/>
      <c r="Q63" s="860"/>
    </row>
    <row r="64" spans="1:17" ht="20.100000000000001" customHeight="1" x14ac:dyDescent="0.2">
      <c r="A64" s="8"/>
      <c r="B64" s="18" t="s">
        <v>151</v>
      </c>
      <c r="C64" s="19"/>
      <c r="D64" s="19"/>
      <c r="E64" s="122"/>
      <c r="F64" s="857"/>
      <c r="G64" s="122"/>
      <c r="H64" s="186"/>
      <c r="I64" s="186"/>
      <c r="J64" s="860"/>
      <c r="K64" s="860"/>
      <c r="L64" s="860"/>
      <c r="M64" s="860"/>
      <c r="N64" s="860"/>
      <c r="O64" s="860"/>
      <c r="P64" s="860"/>
      <c r="Q64" s="860"/>
    </row>
    <row r="65" spans="1:17" ht="20.100000000000001" customHeight="1" x14ac:dyDescent="0.2">
      <c r="A65" s="8">
        <v>1</v>
      </c>
      <c r="B65" s="12" t="s">
        <v>152</v>
      </c>
      <c r="C65" s="2" t="s">
        <v>153</v>
      </c>
      <c r="D65" s="8" t="s">
        <v>154</v>
      </c>
      <c r="E65" s="70">
        <v>762373.16666666698</v>
      </c>
      <c r="F65" s="853">
        <v>554669.5</v>
      </c>
      <c r="G65" s="70">
        <v>350637.25</v>
      </c>
      <c r="H65" s="186">
        <f t="shared" si="24"/>
        <v>905306.75</v>
      </c>
      <c r="I65" s="186">
        <f t="shared" si="25"/>
        <v>142933.58333333299</v>
      </c>
      <c r="J65" s="860">
        <v>60989.853333333303</v>
      </c>
      <c r="K65" s="860">
        <f t="shared" si="26"/>
        <v>72424.539999999994</v>
      </c>
      <c r="L65" s="860">
        <f t="shared" si="27"/>
        <v>11434.686666666699</v>
      </c>
      <c r="M65" s="860">
        <v>10293.3979166667</v>
      </c>
      <c r="N65" s="860">
        <f>0.025*F65</f>
        <v>13866.737499999999</v>
      </c>
      <c r="O65" s="860">
        <f t="shared" si="28"/>
        <v>3573.3395833333002</v>
      </c>
      <c r="P65" s="860">
        <f t="shared" si="29"/>
        <v>869094.48</v>
      </c>
      <c r="Q65" s="860">
        <f>N65*12</f>
        <v>166400.85</v>
      </c>
    </row>
    <row r="66" spans="1:17" ht="20.100000000000001" customHeight="1" x14ac:dyDescent="0.2">
      <c r="A66" s="8">
        <v>2</v>
      </c>
      <c r="B66" s="9" t="s">
        <v>155</v>
      </c>
      <c r="C66" s="2" t="s">
        <v>156</v>
      </c>
      <c r="D66" s="8" t="s">
        <v>46</v>
      </c>
      <c r="E66" s="70">
        <v>456622.25</v>
      </c>
      <c r="F66" s="853">
        <v>347715.91666666698</v>
      </c>
      <c r="G66" s="186">
        <v>210449.33333333299</v>
      </c>
      <c r="H66" s="186">
        <f t="shared" si="24"/>
        <v>558165.25</v>
      </c>
      <c r="I66" s="186">
        <f t="shared" si="25"/>
        <v>101543</v>
      </c>
      <c r="J66" s="860">
        <v>35419.72</v>
      </c>
      <c r="K66" s="860">
        <f t="shared" si="26"/>
        <v>44653.22</v>
      </c>
      <c r="L66" s="860">
        <f t="shared" si="27"/>
        <v>9233.5</v>
      </c>
      <c r="M66" s="860"/>
      <c r="N66" s="860"/>
      <c r="O66" s="860">
        <f t="shared" si="28"/>
        <v>0</v>
      </c>
      <c r="P66" s="860">
        <f t="shared" si="29"/>
        <v>535838.64</v>
      </c>
      <c r="Q66" s="860"/>
    </row>
    <row r="67" spans="1:17" ht="20.100000000000001" customHeight="1" x14ac:dyDescent="0.2">
      <c r="A67" s="8">
        <v>3</v>
      </c>
      <c r="B67" s="9" t="s">
        <v>161</v>
      </c>
      <c r="C67" s="2" t="s">
        <v>139</v>
      </c>
      <c r="D67" s="8" t="s">
        <v>162</v>
      </c>
      <c r="E67" s="70">
        <v>377895.16666666698</v>
      </c>
      <c r="F67" s="853">
        <v>294662.91666666698</v>
      </c>
      <c r="G67" s="186">
        <v>174165.25</v>
      </c>
      <c r="H67" s="186">
        <f t="shared" si="24"/>
        <v>468828.16666666698</v>
      </c>
      <c r="I67" s="186">
        <f t="shared" si="25"/>
        <v>90933</v>
      </c>
      <c r="J67" s="860">
        <v>29256.3066666667</v>
      </c>
      <c r="K67" s="860">
        <f t="shared" si="26"/>
        <v>37506.253333333399</v>
      </c>
      <c r="L67" s="860">
        <f t="shared" si="27"/>
        <v>8249.9466666666594</v>
      </c>
      <c r="M67" s="860"/>
      <c r="N67" s="860"/>
      <c r="O67" s="860">
        <f t="shared" si="28"/>
        <v>0</v>
      </c>
      <c r="P67" s="860">
        <f t="shared" si="29"/>
        <v>450075.04</v>
      </c>
      <c r="Q67" s="860"/>
    </row>
    <row r="68" spans="1:17" ht="20.100000000000001" customHeight="1" x14ac:dyDescent="0.2">
      <c r="A68" s="8">
        <v>4</v>
      </c>
      <c r="B68" s="9" t="s">
        <v>163</v>
      </c>
      <c r="C68" s="15" t="s">
        <v>70</v>
      </c>
      <c r="D68" s="8" t="s">
        <v>162</v>
      </c>
      <c r="E68" s="70">
        <v>377895.16666666698</v>
      </c>
      <c r="F68" s="853">
        <v>294662.91666666698</v>
      </c>
      <c r="G68" s="186">
        <v>174165.25</v>
      </c>
      <c r="H68" s="186">
        <f t="shared" si="24"/>
        <v>468828.16666666698</v>
      </c>
      <c r="I68" s="186">
        <f t="shared" si="25"/>
        <v>90933</v>
      </c>
      <c r="J68" s="860">
        <v>29256.3066666667</v>
      </c>
      <c r="K68" s="860">
        <f t="shared" si="26"/>
        <v>37506.253333333399</v>
      </c>
      <c r="L68" s="860">
        <f t="shared" si="27"/>
        <v>8249.9466666666594</v>
      </c>
      <c r="M68" s="860"/>
      <c r="N68" s="860"/>
      <c r="O68" s="860">
        <f t="shared" si="28"/>
        <v>0</v>
      </c>
      <c r="P68" s="860">
        <f t="shared" si="29"/>
        <v>450075.04</v>
      </c>
      <c r="Q68" s="860"/>
    </row>
    <row r="69" spans="1:17" ht="20.100000000000001" customHeight="1" x14ac:dyDescent="0.2">
      <c r="A69" s="8">
        <v>5</v>
      </c>
      <c r="B69" s="9" t="s">
        <v>164</v>
      </c>
      <c r="C69" s="15" t="s">
        <v>70</v>
      </c>
      <c r="D69" s="8" t="s">
        <v>162</v>
      </c>
      <c r="E69" s="70">
        <v>377895.16666666698</v>
      </c>
      <c r="F69" s="853">
        <v>294662.91666666698</v>
      </c>
      <c r="G69" s="186">
        <v>174165.25</v>
      </c>
      <c r="H69" s="186">
        <f t="shared" si="24"/>
        <v>468828.16666666698</v>
      </c>
      <c r="I69" s="186">
        <f t="shared" si="25"/>
        <v>90933</v>
      </c>
      <c r="J69" s="860">
        <v>29256.3066666667</v>
      </c>
      <c r="K69" s="860">
        <f t="shared" si="26"/>
        <v>37506.253333333399</v>
      </c>
      <c r="L69" s="860">
        <f t="shared" si="27"/>
        <v>8249.9466666666594</v>
      </c>
      <c r="M69" s="860"/>
      <c r="N69" s="860"/>
      <c r="O69" s="860">
        <f t="shared" si="28"/>
        <v>0</v>
      </c>
      <c r="P69" s="860">
        <f t="shared" si="29"/>
        <v>450075.04</v>
      </c>
      <c r="Q69" s="860"/>
    </row>
    <row r="70" spans="1:17" ht="20.100000000000001" customHeight="1" x14ac:dyDescent="0.2">
      <c r="A70" s="8">
        <v>6</v>
      </c>
      <c r="B70" s="9" t="s">
        <v>165</v>
      </c>
      <c r="C70" s="2" t="s">
        <v>166</v>
      </c>
      <c r="D70" s="8" t="s">
        <v>65</v>
      </c>
      <c r="E70" s="417">
        <v>390086.5</v>
      </c>
      <c r="F70" s="853">
        <v>302878.66666666698</v>
      </c>
      <c r="G70" s="186">
        <v>179784</v>
      </c>
      <c r="H70" s="186">
        <f t="shared" si="24"/>
        <v>482662.66666666698</v>
      </c>
      <c r="I70" s="186">
        <f t="shared" si="25"/>
        <v>92576.166666667006</v>
      </c>
      <c r="J70" s="860">
        <v>30231.613333333298</v>
      </c>
      <c r="K70" s="860">
        <f t="shared" si="26"/>
        <v>38613.013333333402</v>
      </c>
      <c r="L70" s="860">
        <f t="shared" si="27"/>
        <v>8381.4000000000597</v>
      </c>
      <c r="M70" s="860"/>
      <c r="N70" s="860"/>
      <c r="O70" s="860">
        <f t="shared" si="28"/>
        <v>0</v>
      </c>
      <c r="P70" s="860">
        <f t="shared" si="29"/>
        <v>463356.15999999997</v>
      </c>
      <c r="Q70" s="860"/>
    </row>
    <row r="71" spans="1:17" ht="21.6" customHeight="1" x14ac:dyDescent="0.2">
      <c r="A71" s="8">
        <v>7</v>
      </c>
      <c r="B71" s="9" t="s">
        <v>168</v>
      </c>
      <c r="C71" s="2" t="s">
        <v>139</v>
      </c>
      <c r="D71" s="8" t="s">
        <v>119</v>
      </c>
      <c r="E71" s="186">
        <v>308901.5</v>
      </c>
      <c r="F71" s="853">
        <v>246171.16666666701</v>
      </c>
      <c r="G71" s="186">
        <v>143964.66666666701</v>
      </c>
      <c r="H71" s="186">
        <f t="shared" si="24"/>
        <v>390135.83333333401</v>
      </c>
      <c r="I71" s="186">
        <f t="shared" si="25"/>
        <v>81234.333333333998</v>
      </c>
      <c r="J71" s="860">
        <v>24077.246666666699</v>
      </c>
      <c r="K71" s="860">
        <f t="shared" si="26"/>
        <v>31210.866666666701</v>
      </c>
      <c r="L71" s="860">
        <f t="shared" si="27"/>
        <v>7133.6200000000199</v>
      </c>
      <c r="M71" s="860"/>
      <c r="N71" s="860"/>
      <c r="O71" s="860">
        <f t="shared" si="28"/>
        <v>0</v>
      </c>
      <c r="P71" s="860">
        <f t="shared" si="29"/>
        <v>374530.40000000101</v>
      </c>
      <c r="Q71" s="860"/>
    </row>
    <row r="72" spans="1:17" ht="27" customHeight="1" x14ac:dyDescent="0.5">
      <c r="A72" s="8"/>
      <c r="B72" s="18" t="s">
        <v>111</v>
      </c>
      <c r="C72" s="19">
        <v>7</v>
      </c>
      <c r="D72" s="19"/>
      <c r="E72" s="78">
        <f t="shared" ref="E72:Q72" si="31">SUM(E65:E71)</f>
        <v>3051668.9166666698</v>
      </c>
      <c r="F72" s="856">
        <f t="shared" si="31"/>
        <v>2335424</v>
      </c>
      <c r="G72" s="78">
        <f t="shared" si="31"/>
        <v>1407331</v>
      </c>
      <c r="H72" s="78">
        <f t="shared" si="31"/>
        <v>3742755</v>
      </c>
      <c r="I72" s="78">
        <f t="shared" si="31"/>
        <v>691086.08333333395</v>
      </c>
      <c r="J72" s="78">
        <f t="shared" si="31"/>
        <v>238487.35333333301</v>
      </c>
      <c r="K72" s="78">
        <f t="shared" si="31"/>
        <v>299420.40000000002</v>
      </c>
      <c r="L72" s="78">
        <f t="shared" si="31"/>
        <v>60933.0466666668</v>
      </c>
      <c r="M72" s="78">
        <f t="shared" si="31"/>
        <v>10293.3979166667</v>
      </c>
      <c r="N72" s="78">
        <f t="shared" si="31"/>
        <v>13866.737499999999</v>
      </c>
      <c r="O72" s="78">
        <f t="shared" si="31"/>
        <v>3573.3395833333002</v>
      </c>
      <c r="P72" s="78">
        <f t="shared" si="31"/>
        <v>3593044.8</v>
      </c>
      <c r="Q72" s="78">
        <f t="shared" si="31"/>
        <v>166400.85</v>
      </c>
    </row>
    <row r="73" spans="1:17" ht="20.100000000000001" customHeight="1" x14ac:dyDescent="0.2">
      <c r="A73" s="8"/>
      <c r="B73" s="20"/>
      <c r="C73" s="19"/>
      <c r="D73" s="19"/>
      <c r="E73" s="122"/>
      <c r="F73" s="857"/>
      <c r="G73" s="122"/>
      <c r="H73" s="186"/>
      <c r="I73" s="186"/>
      <c r="J73" s="860"/>
      <c r="K73" s="860"/>
      <c r="L73" s="860"/>
      <c r="M73" s="860"/>
      <c r="N73" s="860"/>
      <c r="O73" s="860"/>
      <c r="P73" s="860"/>
      <c r="Q73" s="860"/>
    </row>
    <row r="74" spans="1:17" ht="20.100000000000001" customHeight="1" x14ac:dyDescent="0.2">
      <c r="A74" s="8"/>
      <c r="B74" s="18" t="s">
        <v>169</v>
      </c>
      <c r="C74" s="19"/>
      <c r="D74" s="19"/>
      <c r="E74" s="122"/>
      <c r="F74" s="857"/>
      <c r="G74" s="122"/>
      <c r="H74" s="186"/>
      <c r="I74" s="186"/>
      <c r="J74" s="860"/>
      <c r="K74" s="860"/>
      <c r="L74" s="860"/>
      <c r="M74" s="860"/>
      <c r="N74" s="860"/>
      <c r="O74" s="860"/>
      <c r="P74" s="860"/>
      <c r="Q74" s="860"/>
    </row>
    <row r="75" spans="1:17" ht="20.100000000000001" customHeight="1" x14ac:dyDescent="0.2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853">
        <v>1086777.08333333</v>
      </c>
      <c r="G75" s="186">
        <v>660329.33333333302</v>
      </c>
      <c r="H75" s="855">
        <f t="shared" ref="H75:H80" si="32">F75+G75</f>
        <v>1747106.41666666</v>
      </c>
      <c r="I75" s="186">
        <f t="shared" ref="I75:I80" si="33">H75-E75</f>
        <v>311386.41666666302</v>
      </c>
      <c r="J75" s="860">
        <v>114857.60000000001</v>
      </c>
      <c r="K75" s="860">
        <f t="shared" ref="K75:K80" si="34">H75*0.08</f>
        <v>139768.51333333299</v>
      </c>
      <c r="L75" s="860">
        <f t="shared" ref="L75:L80" si="35">K75-J75</f>
        <v>24910.913333332999</v>
      </c>
      <c r="M75" s="860"/>
      <c r="N75" s="860"/>
      <c r="O75" s="860">
        <f t="shared" ref="O75:O80" si="36">N75-M75</f>
        <v>0</v>
      </c>
      <c r="P75" s="860">
        <f t="shared" ref="P75:P80" si="37">K75*12</f>
        <v>1677222.16</v>
      </c>
      <c r="Q75" s="860"/>
    </row>
    <row r="76" spans="1:17" ht="20.100000000000001" customHeight="1" x14ac:dyDescent="0.2">
      <c r="A76" s="8">
        <v>2</v>
      </c>
      <c r="B76" s="9" t="s">
        <v>172</v>
      </c>
      <c r="C76" s="2" t="s">
        <v>173</v>
      </c>
      <c r="D76" s="8" t="s">
        <v>49</v>
      </c>
      <c r="E76" s="70">
        <v>582118.08333333302</v>
      </c>
      <c r="F76" s="853">
        <v>445995.83333333302</v>
      </c>
      <c r="G76" s="186">
        <v>276599.66666666698</v>
      </c>
      <c r="H76" s="855">
        <f t="shared" si="32"/>
        <v>722595.5</v>
      </c>
      <c r="I76" s="186">
        <f t="shared" si="33"/>
        <v>140477.41666666701</v>
      </c>
      <c r="J76" s="860">
        <v>46569.446666666699</v>
      </c>
      <c r="K76" s="860">
        <f t="shared" si="34"/>
        <v>57807.64</v>
      </c>
      <c r="L76" s="860">
        <f t="shared" si="35"/>
        <v>11238.1933333333</v>
      </c>
      <c r="M76" s="860"/>
      <c r="N76" s="860"/>
      <c r="O76" s="860">
        <f t="shared" si="36"/>
        <v>0</v>
      </c>
      <c r="P76" s="860">
        <f t="shared" si="37"/>
        <v>693691.68</v>
      </c>
      <c r="Q76" s="860"/>
    </row>
    <row r="77" spans="1:17" ht="20.100000000000001" customHeight="1" x14ac:dyDescent="0.2">
      <c r="A77" s="8">
        <v>3</v>
      </c>
      <c r="B77" s="9" t="s">
        <v>174</v>
      </c>
      <c r="C77" s="2" t="s">
        <v>175</v>
      </c>
      <c r="D77" s="13" t="s">
        <v>176</v>
      </c>
      <c r="E77" s="70">
        <v>470498</v>
      </c>
      <c r="F77" s="853">
        <v>357066.66666666698</v>
      </c>
      <c r="G77" s="186">
        <v>216844.41666666701</v>
      </c>
      <c r="H77" s="855">
        <f t="shared" si="32"/>
        <v>573911.08333333395</v>
      </c>
      <c r="I77" s="186">
        <f t="shared" si="33"/>
        <v>103413.083333334</v>
      </c>
      <c r="J77" s="860">
        <v>36529.78</v>
      </c>
      <c r="K77" s="860">
        <f t="shared" si="34"/>
        <v>45912.886666666702</v>
      </c>
      <c r="L77" s="860">
        <f t="shared" si="35"/>
        <v>9383.1066666667193</v>
      </c>
      <c r="M77" s="860">
        <v>6154.3229166666697</v>
      </c>
      <c r="N77" s="860">
        <f>0.025*F77</f>
        <v>8926.6666666666806</v>
      </c>
      <c r="O77" s="860">
        <f t="shared" si="36"/>
        <v>2772.34375000001</v>
      </c>
      <c r="P77" s="860">
        <f t="shared" si="37"/>
        <v>550954.64000000095</v>
      </c>
      <c r="Q77" s="860">
        <f>N77*12</f>
        <v>107120</v>
      </c>
    </row>
    <row r="78" spans="1:17" ht="20.100000000000001" customHeight="1" x14ac:dyDescent="0.2">
      <c r="A78" s="8">
        <v>4</v>
      </c>
      <c r="B78" s="9" t="s">
        <v>181</v>
      </c>
      <c r="C78" s="2" t="s">
        <v>182</v>
      </c>
      <c r="D78" s="8" t="s">
        <v>68</v>
      </c>
      <c r="E78" s="70">
        <v>365703.83333333302</v>
      </c>
      <c r="F78" s="853">
        <v>286447.08333333302</v>
      </c>
      <c r="G78" s="186">
        <v>168546.5</v>
      </c>
      <c r="H78" s="855">
        <f t="shared" si="32"/>
        <v>454993.58333333302</v>
      </c>
      <c r="I78" s="186">
        <f t="shared" si="33"/>
        <v>89289.75</v>
      </c>
      <c r="J78" s="860">
        <v>28281</v>
      </c>
      <c r="K78" s="860">
        <f t="shared" si="34"/>
        <v>36399.486666666598</v>
      </c>
      <c r="L78" s="860">
        <f t="shared" si="35"/>
        <v>8118.4866666666403</v>
      </c>
      <c r="M78" s="860"/>
      <c r="N78" s="860"/>
      <c r="O78" s="860">
        <f t="shared" si="36"/>
        <v>0</v>
      </c>
      <c r="P78" s="860">
        <f t="shared" si="37"/>
        <v>436793.84</v>
      </c>
      <c r="Q78" s="860"/>
    </row>
    <row r="79" spans="1:17" ht="20.100000000000001" customHeight="1" x14ac:dyDescent="0.2">
      <c r="A79" s="8">
        <v>5</v>
      </c>
      <c r="B79" s="9" t="s">
        <v>183</v>
      </c>
      <c r="C79" s="2" t="s">
        <v>184</v>
      </c>
      <c r="D79" s="8" t="s">
        <v>87</v>
      </c>
      <c r="E79" s="70">
        <v>263165.33333333302</v>
      </c>
      <c r="F79" s="853">
        <v>222674.58333333299</v>
      </c>
      <c r="G79" s="186">
        <v>124341.58333333299</v>
      </c>
      <c r="H79" s="855">
        <f t="shared" si="32"/>
        <v>347016.16666666599</v>
      </c>
      <c r="I79" s="186">
        <f t="shared" si="33"/>
        <v>83850.833333332994</v>
      </c>
      <c r="J79" s="860">
        <v>21053.226666666698</v>
      </c>
      <c r="K79" s="860">
        <f t="shared" si="34"/>
        <v>27761.293333333299</v>
      </c>
      <c r="L79" s="860">
        <f t="shared" si="35"/>
        <v>6708.0666666665802</v>
      </c>
      <c r="M79" s="860"/>
      <c r="N79" s="860"/>
      <c r="O79" s="860">
        <f t="shared" si="36"/>
        <v>0</v>
      </c>
      <c r="P79" s="860">
        <f t="shared" si="37"/>
        <v>333135.51999999903</v>
      </c>
      <c r="Q79" s="860"/>
    </row>
    <row r="80" spans="1:17" ht="20.100000000000001" customHeight="1" x14ac:dyDescent="0.2">
      <c r="A80" s="8">
        <v>6</v>
      </c>
      <c r="B80" s="9" t="s">
        <v>185</v>
      </c>
      <c r="C80" s="2" t="s">
        <v>186</v>
      </c>
      <c r="D80" s="8" t="s">
        <v>102</v>
      </c>
      <c r="E80" s="70">
        <v>230631.91666666701</v>
      </c>
      <c r="F80" s="853">
        <v>196364.41666666701</v>
      </c>
      <c r="G80" s="186">
        <v>105546.33333333299</v>
      </c>
      <c r="H80" s="855">
        <f t="shared" si="32"/>
        <v>301910.75</v>
      </c>
      <c r="I80" s="186">
        <f t="shared" si="33"/>
        <v>71278.833333332994</v>
      </c>
      <c r="J80" s="860">
        <v>17956.78</v>
      </c>
      <c r="K80" s="860">
        <f t="shared" si="34"/>
        <v>24152.86</v>
      </c>
      <c r="L80" s="860">
        <f t="shared" si="35"/>
        <v>6196.08</v>
      </c>
      <c r="M80" s="860"/>
      <c r="N80" s="860"/>
      <c r="O80" s="860">
        <f t="shared" si="36"/>
        <v>0</v>
      </c>
      <c r="P80" s="860">
        <f t="shared" si="37"/>
        <v>289834.32</v>
      </c>
      <c r="Q80" s="860"/>
    </row>
    <row r="81" spans="1:17" ht="20.100000000000001" customHeight="1" x14ac:dyDescent="0.5">
      <c r="A81" s="8"/>
      <c r="B81" s="18" t="s">
        <v>111</v>
      </c>
      <c r="C81" s="19">
        <v>6</v>
      </c>
      <c r="D81" s="19"/>
      <c r="E81" s="78">
        <f t="shared" ref="E81:Q81" si="38">SUM(E75:E80)</f>
        <v>3347837.1666666698</v>
      </c>
      <c r="F81" s="856">
        <f t="shared" si="38"/>
        <v>2595325.66666666</v>
      </c>
      <c r="G81" s="78">
        <f t="shared" si="38"/>
        <v>1552207.83333333</v>
      </c>
      <c r="H81" s="78">
        <f t="shared" si="38"/>
        <v>4147533.5</v>
      </c>
      <c r="I81" s="78">
        <f t="shared" si="38"/>
        <v>799696.33333333</v>
      </c>
      <c r="J81" s="78">
        <f t="shared" si="38"/>
        <v>265247.83333333302</v>
      </c>
      <c r="K81" s="78">
        <f t="shared" si="38"/>
        <v>331802.68</v>
      </c>
      <c r="L81" s="78">
        <f t="shared" si="38"/>
        <v>66554.846666666301</v>
      </c>
      <c r="M81" s="78">
        <f t="shared" si="38"/>
        <v>6154.3229166666697</v>
      </c>
      <c r="N81" s="78">
        <f t="shared" si="38"/>
        <v>8926.6666666666806</v>
      </c>
      <c r="O81" s="78">
        <f t="shared" si="38"/>
        <v>2772.34375000001</v>
      </c>
      <c r="P81" s="78">
        <f t="shared" si="38"/>
        <v>3981632.16</v>
      </c>
      <c r="Q81" s="78">
        <f t="shared" si="38"/>
        <v>107120</v>
      </c>
    </row>
    <row r="82" spans="1:17" ht="20.100000000000001" customHeight="1" x14ac:dyDescent="0.2">
      <c r="A82" s="8"/>
      <c r="B82" s="18"/>
      <c r="C82" s="19"/>
      <c r="D82" s="19"/>
      <c r="E82" s="122"/>
      <c r="F82" s="857"/>
      <c r="G82" s="122"/>
      <c r="H82" s="186"/>
      <c r="I82" s="186"/>
      <c r="J82" s="860"/>
      <c r="K82" s="860"/>
      <c r="L82" s="860"/>
      <c r="M82" s="860"/>
      <c r="N82" s="860"/>
      <c r="O82" s="860"/>
      <c r="P82" s="860"/>
      <c r="Q82" s="860"/>
    </row>
    <row r="83" spans="1:17" ht="20.100000000000001" customHeight="1" x14ac:dyDescent="0.2">
      <c r="A83" s="8"/>
      <c r="B83" s="18" t="s">
        <v>187</v>
      </c>
      <c r="C83" s="23"/>
      <c r="D83" s="19"/>
      <c r="E83" s="122"/>
      <c r="F83" s="857"/>
      <c r="G83" s="122"/>
      <c r="H83" s="186"/>
      <c r="I83" s="186"/>
      <c r="J83" s="860"/>
      <c r="K83" s="860"/>
      <c r="L83" s="860"/>
      <c r="M83" s="860"/>
      <c r="N83" s="860"/>
      <c r="O83" s="860"/>
      <c r="P83" s="860"/>
      <c r="Q83" s="860"/>
    </row>
    <row r="84" spans="1:17" ht="20.100000000000001" customHeight="1" x14ac:dyDescent="0.2">
      <c r="A84" s="8">
        <v>1</v>
      </c>
      <c r="B84" s="9" t="s">
        <v>188</v>
      </c>
      <c r="C84" s="2" t="s">
        <v>130</v>
      </c>
      <c r="D84" s="8" t="s">
        <v>128</v>
      </c>
      <c r="E84" s="70">
        <f>'[4]Annual &amp; Monthly'!$H$44</f>
        <v>1352042.66666667</v>
      </c>
      <c r="F84" s="853">
        <v>1025768.33333333</v>
      </c>
      <c r="G84" s="70">
        <v>621843.66666666698</v>
      </c>
      <c r="H84" s="186">
        <f t="shared" ref="H84:H93" si="39">F84+G84</f>
        <v>1647612</v>
      </c>
      <c r="I84" s="186">
        <f t="shared" ref="I84:I93" si="40">H84-E84</f>
        <v>295569.33333333</v>
      </c>
      <c r="J84" s="860">
        <v>114857.60000000001</v>
      </c>
      <c r="K84" s="860">
        <f t="shared" ref="K84:K93" si="41">H84*0.08</f>
        <v>131808.95999999999</v>
      </c>
      <c r="L84" s="860">
        <f t="shared" ref="L84:L93" si="42">K84-J84</f>
        <v>16951.3599999998</v>
      </c>
      <c r="M84" s="860">
        <v>18254.974999999999</v>
      </c>
      <c r="N84" s="860">
        <f>0.025*F84</f>
        <v>25644.208333333299</v>
      </c>
      <c r="O84" s="860">
        <f t="shared" ref="O84:O93" si="43">N84-M84</f>
        <v>7389.2333333332499</v>
      </c>
      <c r="P84" s="860">
        <f t="shared" ref="P84:P93" si="44">12*K84</f>
        <v>1581707.52</v>
      </c>
      <c r="Q84" s="860">
        <f>N84*12</f>
        <v>307730.49999999901</v>
      </c>
    </row>
    <row r="85" spans="1:17" ht="20.100000000000001" customHeight="1" x14ac:dyDescent="0.2">
      <c r="A85" s="8">
        <v>2</v>
      </c>
      <c r="B85" s="9" t="s">
        <v>190</v>
      </c>
      <c r="C85" s="2" t="s">
        <v>191</v>
      </c>
      <c r="D85" s="8" t="s">
        <v>192</v>
      </c>
      <c r="E85" s="70">
        <v>716034</v>
      </c>
      <c r="F85" s="853">
        <v>523386.5</v>
      </c>
      <c r="G85" s="70">
        <v>329324.58333333302</v>
      </c>
      <c r="H85" s="186">
        <f t="shared" si="39"/>
        <v>852711.08333333302</v>
      </c>
      <c r="I85" s="186">
        <f t="shared" si="40"/>
        <v>136677.08333333299</v>
      </c>
      <c r="J85" s="860">
        <v>59136.286666666703</v>
      </c>
      <c r="K85" s="860">
        <f t="shared" si="41"/>
        <v>68216.8866666666</v>
      </c>
      <c r="L85" s="860">
        <f t="shared" si="42"/>
        <v>9080.5999999999403</v>
      </c>
      <c r="M85" s="860"/>
      <c r="N85" s="860"/>
      <c r="O85" s="860">
        <f t="shared" si="43"/>
        <v>0</v>
      </c>
      <c r="P85" s="860">
        <f t="shared" si="44"/>
        <v>818602.64</v>
      </c>
      <c r="Q85" s="860"/>
    </row>
    <row r="86" spans="1:17" ht="20.100000000000001" customHeight="1" x14ac:dyDescent="0.2">
      <c r="A86" s="8">
        <v>3</v>
      </c>
      <c r="B86" s="9" t="s">
        <v>193</v>
      </c>
      <c r="C86" s="2" t="s">
        <v>130</v>
      </c>
      <c r="D86" s="8" t="s">
        <v>38</v>
      </c>
      <c r="E86" s="70">
        <v>601396.83333333302</v>
      </c>
      <c r="F86" s="853">
        <v>445995.83333333302</v>
      </c>
      <c r="G86" s="186">
        <v>276599.66666666698</v>
      </c>
      <c r="H86" s="186">
        <f t="shared" si="39"/>
        <v>722595.5</v>
      </c>
      <c r="I86" s="186">
        <f t="shared" si="40"/>
        <v>121198.66666666701</v>
      </c>
      <c r="J86" s="860">
        <v>46569.446666666699</v>
      </c>
      <c r="K86" s="860">
        <f t="shared" si="41"/>
        <v>57807.64</v>
      </c>
      <c r="L86" s="860">
        <f t="shared" si="42"/>
        <v>11238.1933333333</v>
      </c>
      <c r="M86" s="860"/>
      <c r="N86" s="860"/>
      <c r="O86" s="860">
        <f t="shared" si="43"/>
        <v>0</v>
      </c>
      <c r="P86" s="860">
        <f t="shared" si="44"/>
        <v>693691.68</v>
      </c>
      <c r="Q86" s="860"/>
    </row>
    <row r="87" spans="1:17" ht="21.6" customHeight="1" x14ac:dyDescent="0.2">
      <c r="A87" s="8">
        <v>4</v>
      </c>
      <c r="B87" s="9" t="s">
        <v>194</v>
      </c>
      <c r="C87" s="2" t="s">
        <v>156</v>
      </c>
      <c r="D87" s="13" t="s">
        <v>46</v>
      </c>
      <c r="E87" s="70">
        <v>456622.25</v>
      </c>
      <c r="F87" s="853">
        <v>442746.5</v>
      </c>
      <c r="G87" s="186">
        <v>210449.33333333299</v>
      </c>
      <c r="H87" s="186">
        <f t="shared" si="39"/>
        <v>653195.83333333302</v>
      </c>
      <c r="I87" s="186">
        <f t="shared" si="40"/>
        <v>196573.58333333299</v>
      </c>
      <c r="J87" s="860">
        <v>35344.393333333297</v>
      </c>
      <c r="K87" s="860">
        <f t="shared" si="41"/>
        <v>52255.666666666599</v>
      </c>
      <c r="L87" s="860">
        <f t="shared" si="42"/>
        <v>16911.273333333302</v>
      </c>
      <c r="M87" s="860"/>
      <c r="N87" s="860"/>
      <c r="O87" s="860">
        <f t="shared" si="43"/>
        <v>0</v>
      </c>
      <c r="P87" s="860">
        <f t="shared" si="44"/>
        <v>627068</v>
      </c>
      <c r="Q87" s="860"/>
    </row>
    <row r="88" spans="1:17" ht="21.6" customHeight="1" x14ac:dyDescent="0.2">
      <c r="A88" s="8">
        <v>5</v>
      </c>
      <c r="B88" s="9" t="s">
        <v>195</v>
      </c>
      <c r="C88" s="2" t="s">
        <v>156</v>
      </c>
      <c r="D88" s="13" t="s">
        <v>46</v>
      </c>
      <c r="E88" s="70">
        <v>456622.25</v>
      </c>
      <c r="F88" s="853">
        <v>442746.5</v>
      </c>
      <c r="G88" s="186">
        <v>210449.33333333299</v>
      </c>
      <c r="H88" s="186">
        <f t="shared" si="39"/>
        <v>653195.83333333302</v>
      </c>
      <c r="I88" s="186">
        <f t="shared" si="40"/>
        <v>196573.58333333299</v>
      </c>
      <c r="J88" s="860">
        <v>35419.72</v>
      </c>
      <c r="K88" s="860">
        <f t="shared" si="41"/>
        <v>52255.666666666599</v>
      </c>
      <c r="L88" s="860">
        <f t="shared" si="42"/>
        <v>16835.946666666601</v>
      </c>
      <c r="M88" s="860"/>
      <c r="N88" s="860"/>
      <c r="O88" s="860">
        <f t="shared" si="43"/>
        <v>0</v>
      </c>
      <c r="P88" s="860">
        <f t="shared" si="44"/>
        <v>627068</v>
      </c>
      <c r="Q88" s="860"/>
    </row>
    <row r="89" spans="1:17" ht="21.6" customHeight="1" x14ac:dyDescent="0.2">
      <c r="A89" s="8">
        <v>6</v>
      </c>
      <c r="B89" s="9" t="s">
        <v>196</v>
      </c>
      <c r="C89" s="10" t="s">
        <v>156</v>
      </c>
      <c r="D89" s="13" t="s">
        <v>197</v>
      </c>
      <c r="E89" s="70">
        <v>442746.5</v>
      </c>
      <c r="F89" s="853">
        <v>428870.75</v>
      </c>
      <c r="G89" s="186">
        <v>204054.25</v>
      </c>
      <c r="H89" s="186">
        <f t="shared" si="39"/>
        <v>632925</v>
      </c>
      <c r="I89" s="186">
        <f t="shared" si="40"/>
        <v>190178.5</v>
      </c>
      <c r="J89" s="860">
        <v>34309.660000000003</v>
      </c>
      <c r="K89" s="860">
        <f t="shared" si="41"/>
        <v>50634</v>
      </c>
      <c r="L89" s="860">
        <f t="shared" si="42"/>
        <v>16324.34</v>
      </c>
      <c r="M89" s="860"/>
      <c r="N89" s="860"/>
      <c r="O89" s="860">
        <f t="shared" si="43"/>
        <v>0</v>
      </c>
      <c r="P89" s="860">
        <f t="shared" si="44"/>
        <v>607608</v>
      </c>
      <c r="Q89" s="860"/>
    </row>
    <row r="90" spans="1:17" ht="21.6" customHeight="1" x14ac:dyDescent="0.2">
      <c r="A90" s="8">
        <v>7</v>
      </c>
      <c r="B90" s="9" t="s">
        <v>198</v>
      </c>
      <c r="C90" s="15" t="s">
        <v>70</v>
      </c>
      <c r="D90" s="13" t="s">
        <v>162</v>
      </c>
      <c r="E90" s="70">
        <v>377895.16666666698</v>
      </c>
      <c r="F90" s="853">
        <v>294662.91666666698</v>
      </c>
      <c r="G90" s="186">
        <v>174165.25</v>
      </c>
      <c r="H90" s="186">
        <f t="shared" si="39"/>
        <v>468828.16666666698</v>
      </c>
      <c r="I90" s="186">
        <f t="shared" si="40"/>
        <v>90933</v>
      </c>
      <c r="J90" s="860">
        <v>29256.3066666667</v>
      </c>
      <c r="K90" s="860">
        <f t="shared" si="41"/>
        <v>37506.253333333399</v>
      </c>
      <c r="L90" s="860">
        <f t="shared" si="42"/>
        <v>8249.9466666666594</v>
      </c>
      <c r="M90" s="860"/>
      <c r="N90" s="860"/>
      <c r="O90" s="860">
        <f t="shared" si="43"/>
        <v>0</v>
      </c>
      <c r="P90" s="860">
        <f t="shared" si="44"/>
        <v>450075.04</v>
      </c>
      <c r="Q90" s="860"/>
    </row>
    <row r="91" spans="1:17" ht="21.6" customHeight="1" x14ac:dyDescent="0.2">
      <c r="A91" s="8">
        <v>8</v>
      </c>
      <c r="B91" s="9" t="s">
        <v>199</v>
      </c>
      <c r="C91" s="15" t="s">
        <v>158</v>
      </c>
      <c r="D91" s="13" t="s">
        <v>200</v>
      </c>
      <c r="E91" s="70">
        <v>403137.91666666698</v>
      </c>
      <c r="F91" s="853">
        <v>311673.25</v>
      </c>
      <c r="G91" s="186">
        <v>185799.5</v>
      </c>
      <c r="H91" s="186">
        <f t="shared" si="39"/>
        <v>497472.75</v>
      </c>
      <c r="I91" s="186">
        <f t="shared" si="40"/>
        <v>94334.833333332994</v>
      </c>
      <c r="J91" s="860">
        <v>31219.913333333301</v>
      </c>
      <c r="K91" s="860">
        <f t="shared" si="41"/>
        <v>39797.82</v>
      </c>
      <c r="L91" s="860">
        <f t="shared" si="42"/>
        <v>8577.9066666667004</v>
      </c>
      <c r="M91" s="860">
        <v>5259.7437499999996</v>
      </c>
      <c r="N91" s="860">
        <f>0.025*F91</f>
        <v>7791.8312500000002</v>
      </c>
      <c r="O91" s="860">
        <f t="shared" si="43"/>
        <v>2532.0875000000001</v>
      </c>
      <c r="P91" s="860">
        <f t="shared" si="44"/>
        <v>477573.84</v>
      </c>
      <c r="Q91" s="860">
        <f>N91*12</f>
        <v>93501.975000000006</v>
      </c>
    </row>
    <row r="92" spans="1:17" ht="21.6" customHeight="1" x14ac:dyDescent="0.2">
      <c r="A92" s="8">
        <v>9</v>
      </c>
      <c r="B92" s="9" t="s">
        <v>202</v>
      </c>
      <c r="C92" s="2" t="s">
        <v>203</v>
      </c>
      <c r="D92" s="8" t="s">
        <v>119</v>
      </c>
      <c r="E92" s="186">
        <v>308901.5</v>
      </c>
      <c r="F92" s="853">
        <v>246171.16666666701</v>
      </c>
      <c r="G92" s="186">
        <v>143964.66666666701</v>
      </c>
      <c r="H92" s="186">
        <f t="shared" si="39"/>
        <v>390135.83333333401</v>
      </c>
      <c r="I92" s="186">
        <f t="shared" si="40"/>
        <v>81234.333333333998</v>
      </c>
      <c r="J92" s="860">
        <v>24077.246666666699</v>
      </c>
      <c r="K92" s="860">
        <f t="shared" si="41"/>
        <v>31210.866666666701</v>
      </c>
      <c r="L92" s="860">
        <f t="shared" si="42"/>
        <v>7133.6200000000199</v>
      </c>
      <c r="M92" s="860"/>
      <c r="N92" s="860"/>
      <c r="O92" s="860">
        <f t="shared" si="43"/>
        <v>0</v>
      </c>
      <c r="P92" s="860">
        <f t="shared" si="44"/>
        <v>374530.40000000101</v>
      </c>
      <c r="Q92" s="860"/>
    </row>
    <row r="93" spans="1:17" ht="21.6" customHeight="1" x14ac:dyDescent="0.2">
      <c r="A93" s="8">
        <v>10</v>
      </c>
      <c r="B93" s="9" t="s">
        <v>204</v>
      </c>
      <c r="C93" s="15" t="s">
        <v>205</v>
      </c>
      <c r="D93" s="13" t="s">
        <v>206</v>
      </c>
      <c r="E93" s="186">
        <v>236804.08333333299</v>
      </c>
      <c r="F93" s="853">
        <v>200549.41666666701</v>
      </c>
      <c r="G93" s="186">
        <v>108371.25</v>
      </c>
      <c r="H93" s="186">
        <f t="shared" si="39"/>
        <v>308920.66666666698</v>
      </c>
      <c r="I93" s="186">
        <f t="shared" si="40"/>
        <v>72116.583333333998</v>
      </c>
      <c r="J93" s="860">
        <v>18450.553333333301</v>
      </c>
      <c r="K93" s="860">
        <f t="shared" si="41"/>
        <v>24713.653333333401</v>
      </c>
      <c r="L93" s="860">
        <f t="shared" si="42"/>
        <v>6263.1000000000604</v>
      </c>
      <c r="M93" s="860"/>
      <c r="N93" s="860"/>
      <c r="O93" s="860">
        <f t="shared" si="43"/>
        <v>0</v>
      </c>
      <c r="P93" s="860">
        <f t="shared" si="44"/>
        <v>296563.84000000003</v>
      </c>
      <c r="Q93" s="860"/>
    </row>
    <row r="94" spans="1:17" ht="20.100000000000001" customHeight="1" x14ac:dyDescent="0.5">
      <c r="A94" s="8"/>
      <c r="B94" s="18" t="s">
        <v>111</v>
      </c>
      <c r="C94" s="19">
        <v>10</v>
      </c>
      <c r="D94" s="19"/>
      <c r="E94" s="78">
        <f t="shared" ref="E94:Q94" si="45">SUM(E84:E93)</f>
        <v>5352203.1666666698</v>
      </c>
      <c r="F94" s="856">
        <f t="shared" si="45"/>
        <v>4362571.1666666605</v>
      </c>
      <c r="G94" s="78">
        <f t="shared" si="45"/>
        <v>2465021.5</v>
      </c>
      <c r="H94" s="78">
        <f t="shared" si="45"/>
        <v>6827592.6666666605</v>
      </c>
      <c r="I94" s="78">
        <f t="shared" si="45"/>
        <v>1475389.5</v>
      </c>
      <c r="J94" s="78">
        <f t="shared" si="45"/>
        <v>428641.126666667</v>
      </c>
      <c r="K94" s="78">
        <f t="shared" si="45"/>
        <v>546207.41333333298</v>
      </c>
      <c r="L94" s="78">
        <f t="shared" si="45"/>
        <v>117566.286666666</v>
      </c>
      <c r="M94" s="78">
        <f t="shared" si="45"/>
        <v>23514.71875</v>
      </c>
      <c r="N94" s="78">
        <f t="shared" si="45"/>
        <v>33436.039583333302</v>
      </c>
      <c r="O94" s="78">
        <f t="shared" si="45"/>
        <v>9921.3208333332495</v>
      </c>
      <c r="P94" s="78">
        <f t="shared" si="45"/>
        <v>6554488.96</v>
      </c>
      <c r="Q94" s="78">
        <f t="shared" si="45"/>
        <v>401232.47499999899</v>
      </c>
    </row>
    <row r="95" spans="1:17" ht="20.100000000000001" customHeight="1" x14ac:dyDescent="0.2">
      <c r="A95" s="8"/>
      <c r="B95" s="20"/>
      <c r="C95" s="19"/>
      <c r="D95" s="19"/>
      <c r="E95" s="122"/>
      <c r="F95" s="857"/>
      <c r="G95" s="122"/>
      <c r="H95" s="186"/>
      <c r="I95" s="186"/>
      <c r="J95" s="860"/>
      <c r="K95" s="860"/>
      <c r="L95" s="860"/>
      <c r="M95" s="860"/>
      <c r="N95" s="860"/>
      <c r="O95" s="860"/>
      <c r="P95" s="860"/>
      <c r="Q95" s="860"/>
    </row>
    <row r="96" spans="1:17" ht="20.100000000000001" customHeight="1" x14ac:dyDescent="0.2">
      <c r="A96" s="8"/>
      <c r="B96" s="18" t="s">
        <v>207</v>
      </c>
      <c r="C96" s="19"/>
      <c r="D96" s="19"/>
      <c r="E96" s="122"/>
      <c r="F96" s="857"/>
      <c r="G96" s="122"/>
      <c r="H96" s="186"/>
      <c r="I96" s="186"/>
      <c r="J96" s="860"/>
      <c r="K96" s="860"/>
      <c r="L96" s="860"/>
      <c r="M96" s="860"/>
      <c r="N96" s="860"/>
      <c r="O96" s="860"/>
      <c r="P96" s="860"/>
      <c r="Q96" s="860"/>
    </row>
    <row r="97" spans="1:17" ht="20.100000000000001" customHeight="1" x14ac:dyDescent="0.2">
      <c r="A97" s="8">
        <v>1</v>
      </c>
      <c r="B97" s="12" t="s">
        <v>208</v>
      </c>
      <c r="C97" s="2" t="s">
        <v>209</v>
      </c>
      <c r="D97" s="14" t="s">
        <v>210</v>
      </c>
      <c r="E97" s="70">
        <v>1393881.33333333</v>
      </c>
      <c r="F97" s="853">
        <v>1056272.83333333</v>
      </c>
      <c r="G97" s="186">
        <v>641086.5</v>
      </c>
      <c r="H97" s="855">
        <f t="shared" ref="H97:H101" si="46">F97+G97</f>
        <v>1697359.33333333</v>
      </c>
      <c r="I97" s="186">
        <f t="shared" ref="I97:I101" si="47">H97-E97</f>
        <v>303478</v>
      </c>
      <c r="J97" s="860">
        <v>114857.60000000001</v>
      </c>
      <c r="K97" s="860">
        <f t="shared" ref="K97:K101" si="48">H97*0.08</f>
        <v>135788.746666666</v>
      </c>
      <c r="L97" s="860">
        <f t="shared" ref="L97:L101" si="49">K97-J97</f>
        <v>20931.146666666398</v>
      </c>
      <c r="M97" s="860">
        <v>18254.974999999999</v>
      </c>
      <c r="N97" s="860">
        <f>0.025*F97</f>
        <v>26406.820833333299</v>
      </c>
      <c r="O97" s="860">
        <f t="shared" ref="O97:O101" si="50">N97-M97</f>
        <v>8151.8458333332501</v>
      </c>
      <c r="P97" s="860">
        <f t="shared" ref="P97:P101" si="51">12*K97</f>
        <v>1629464.96</v>
      </c>
      <c r="Q97" s="860">
        <f t="shared" ref="Q97:Q101" si="52">N97*12</f>
        <v>316881.84999999899</v>
      </c>
    </row>
    <row r="98" spans="1:17" ht="20.100000000000001" customHeight="1" x14ac:dyDescent="0.2">
      <c r="A98" s="8">
        <v>2</v>
      </c>
      <c r="B98" s="9" t="s">
        <v>211</v>
      </c>
      <c r="C98" s="2" t="s">
        <v>212</v>
      </c>
      <c r="D98" s="13" t="s">
        <v>176</v>
      </c>
      <c r="E98" s="70">
        <v>470498</v>
      </c>
      <c r="F98" s="853">
        <v>357066.66666666698</v>
      </c>
      <c r="G98" s="186">
        <v>216844.41666666701</v>
      </c>
      <c r="H98" s="855">
        <f t="shared" si="46"/>
        <v>573911.08333333395</v>
      </c>
      <c r="I98" s="186">
        <f t="shared" si="47"/>
        <v>103413.083333334</v>
      </c>
      <c r="J98" s="860">
        <v>36529.78</v>
      </c>
      <c r="K98" s="860">
        <f t="shared" si="48"/>
        <v>45912.886666666702</v>
      </c>
      <c r="L98" s="860">
        <f t="shared" si="49"/>
        <v>9383.1066666667193</v>
      </c>
      <c r="M98" s="860"/>
      <c r="N98" s="860"/>
      <c r="O98" s="860">
        <f t="shared" si="50"/>
        <v>0</v>
      </c>
      <c r="P98" s="860">
        <f t="shared" si="51"/>
        <v>550954.64000000095</v>
      </c>
      <c r="Q98" s="860">
        <f t="shared" si="52"/>
        <v>0</v>
      </c>
    </row>
    <row r="99" spans="1:17" ht="20.100000000000001" customHeight="1" x14ac:dyDescent="0.2">
      <c r="A99" s="8">
        <v>3</v>
      </c>
      <c r="B99" s="9" t="s">
        <v>213</v>
      </c>
      <c r="C99" s="10" t="s">
        <v>214</v>
      </c>
      <c r="D99" s="13" t="s">
        <v>200</v>
      </c>
      <c r="E99" s="70">
        <v>403137.91666666698</v>
      </c>
      <c r="F99" s="853">
        <v>311673.25</v>
      </c>
      <c r="G99" s="186">
        <v>185799.5</v>
      </c>
      <c r="H99" s="855">
        <f t="shared" si="46"/>
        <v>497472.75</v>
      </c>
      <c r="I99" s="186">
        <f t="shared" si="47"/>
        <v>94334.833333332994</v>
      </c>
      <c r="J99" s="860">
        <v>31219.91</v>
      </c>
      <c r="K99" s="860">
        <f t="shared" si="48"/>
        <v>39797.82</v>
      </c>
      <c r="L99" s="860">
        <f t="shared" si="49"/>
        <v>8577.91</v>
      </c>
      <c r="M99" s="860">
        <v>5967.3062499999996</v>
      </c>
      <c r="N99" s="860">
        <f>0.025*F99</f>
        <v>7791.8312500000002</v>
      </c>
      <c r="O99" s="860">
        <f t="shared" si="50"/>
        <v>1824.5250000000001</v>
      </c>
      <c r="P99" s="860">
        <f t="shared" si="51"/>
        <v>477573.84</v>
      </c>
      <c r="Q99" s="860">
        <f t="shared" si="52"/>
        <v>93501.975000000006</v>
      </c>
    </row>
    <row r="100" spans="1:17" ht="20.100000000000001" customHeight="1" x14ac:dyDescent="0.2">
      <c r="A100" s="8">
        <v>4</v>
      </c>
      <c r="B100" s="9" t="s">
        <v>217</v>
      </c>
      <c r="C100" s="2" t="s">
        <v>218</v>
      </c>
      <c r="D100" s="13" t="s">
        <v>65</v>
      </c>
      <c r="E100" s="70">
        <v>390086.5</v>
      </c>
      <c r="F100" s="853">
        <v>302878.66666666698</v>
      </c>
      <c r="G100" s="186">
        <v>179784</v>
      </c>
      <c r="H100" s="855">
        <f t="shared" si="46"/>
        <v>482662.66666666698</v>
      </c>
      <c r="I100" s="186">
        <f t="shared" si="47"/>
        <v>92576.166666667006</v>
      </c>
      <c r="J100" s="860">
        <v>30231.613333333298</v>
      </c>
      <c r="K100" s="860">
        <f t="shared" si="48"/>
        <v>38613.013333333402</v>
      </c>
      <c r="L100" s="860">
        <f t="shared" si="49"/>
        <v>8381.4000000000597</v>
      </c>
      <c r="M100" s="860"/>
      <c r="N100" s="860"/>
      <c r="O100" s="860">
        <f t="shared" si="50"/>
        <v>0</v>
      </c>
      <c r="P100" s="860">
        <f t="shared" si="51"/>
        <v>463356.15999999997</v>
      </c>
      <c r="Q100" s="860">
        <f t="shared" si="52"/>
        <v>0</v>
      </c>
    </row>
    <row r="101" spans="1:17" ht="20.100000000000001" customHeight="1" x14ac:dyDescent="0.2">
      <c r="A101" s="8">
        <v>5</v>
      </c>
      <c r="B101" s="9" t="s">
        <v>219</v>
      </c>
      <c r="C101" s="2" t="s">
        <v>220</v>
      </c>
      <c r="D101" s="13" t="s">
        <v>119</v>
      </c>
      <c r="E101" s="186">
        <v>308901.5</v>
      </c>
      <c r="F101" s="853">
        <v>246171.16666666701</v>
      </c>
      <c r="G101" s="186">
        <v>143964.66666666701</v>
      </c>
      <c r="H101" s="855">
        <f t="shared" si="46"/>
        <v>390135.83333333401</v>
      </c>
      <c r="I101" s="186">
        <f t="shared" si="47"/>
        <v>81234.333333333998</v>
      </c>
      <c r="J101" s="860">
        <v>24077.246666666699</v>
      </c>
      <c r="K101" s="860">
        <f t="shared" si="48"/>
        <v>31210.866666666701</v>
      </c>
      <c r="L101" s="860">
        <f t="shared" si="49"/>
        <v>7133.6200000000199</v>
      </c>
      <c r="M101" s="860"/>
      <c r="N101" s="860"/>
      <c r="O101" s="860">
        <f t="shared" si="50"/>
        <v>0</v>
      </c>
      <c r="P101" s="860">
        <f t="shared" si="51"/>
        <v>374530.40000000101</v>
      </c>
      <c r="Q101" s="860">
        <f t="shared" si="52"/>
        <v>0</v>
      </c>
    </row>
    <row r="102" spans="1:17" ht="20.100000000000001" customHeight="1" x14ac:dyDescent="0.5">
      <c r="A102" s="2"/>
      <c r="B102" s="18" t="s">
        <v>111</v>
      </c>
      <c r="C102" s="19">
        <v>5</v>
      </c>
      <c r="D102" s="24"/>
      <c r="E102" s="78">
        <f t="shared" ref="E102:Q102" si="53">SUM(E97:E101)</f>
        <v>2966505.25</v>
      </c>
      <c r="F102" s="856">
        <f t="shared" si="53"/>
        <v>2274062.5833333302</v>
      </c>
      <c r="G102" s="78">
        <f t="shared" si="53"/>
        <v>1367479.08333333</v>
      </c>
      <c r="H102" s="78">
        <f t="shared" si="53"/>
        <v>3641541.6666666698</v>
      </c>
      <c r="I102" s="78">
        <f t="shared" si="53"/>
        <v>675036.41666666802</v>
      </c>
      <c r="J102" s="78">
        <f t="shared" si="53"/>
        <v>236916.15</v>
      </c>
      <c r="K102" s="78">
        <f t="shared" si="53"/>
        <v>291323.33333333302</v>
      </c>
      <c r="L102" s="78">
        <f t="shared" si="53"/>
        <v>54407.183333333203</v>
      </c>
      <c r="M102" s="78">
        <f t="shared" si="53"/>
        <v>24222.28125</v>
      </c>
      <c r="N102" s="78">
        <f t="shared" si="53"/>
        <v>34198.652083333298</v>
      </c>
      <c r="O102" s="78">
        <f t="shared" si="53"/>
        <v>9976.3708333332506</v>
      </c>
      <c r="P102" s="78">
        <f t="shared" si="53"/>
        <v>3495880</v>
      </c>
      <c r="Q102" s="78">
        <f t="shared" si="53"/>
        <v>410383.82499999902</v>
      </c>
    </row>
    <row r="103" spans="1:17" ht="20.100000000000001" customHeight="1" x14ac:dyDescent="0.2">
      <c r="A103" s="2"/>
      <c r="B103" s="20"/>
      <c r="C103" s="19"/>
      <c r="D103" s="24"/>
      <c r="E103" s="122"/>
      <c r="F103" s="857"/>
      <c r="G103" s="122"/>
      <c r="H103" s="186"/>
      <c r="I103" s="186"/>
      <c r="J103" s="860"/>
      <c r="K103" s="860"/>
      <c r="L103" s="860"/>
      <c r="M103" s="860"/>
      <c r="N103" s="860"/>
      <c r="O103" s="860"/>
      <c r="P103" s="860"/>
      <c r="Q103" s="860"/>
    </row>
    <row r="104" spans="1:17" ht="20.100000000000001" customHeight="1" x14ac:dyDescent="0.2">
      <c r="A104" s="2"/>
      <c r="B104" s="18" t="s">
        <v>221</v>
      </c>
      <c r="C104" s="2"/>
      <c r="D104" s="2"/>
      <c r="E104" s="2"/>
      <c r="F104" s="861"/>
      <c r="G104" s="2"/>
      <c r="H104" s="186"/>
      <c r="I104" s="186"/>
      <c r="J104" s="860"/>
      <c r="K104" s="860"/>
      <c r="L104" s="860"/>
      <c r="M104" s="860"/>
      <c r="N104" s="860"/>
      <c r="O104" s="860"/>
      <c r="P104" s="860"/>
      <c r="Q104" s="860"/>
    </row>
    <row r="105" spans="1:17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853">
        <v>1086777.08333333</v>
      </c>
      <c r="G105" s="186">
        <v>660329.33333333302</v>
      </c>
      <c r="H105" s="855">
        <f t="shared" ref="H105:H111" si="54">F105+G105</f>
        <v>1747106.41666666</v>
      </c>
      <c r="I105" s="186">
        <f t="shared" ref="I105:I111" si="55">H105-E105</f>
        <v>311386.41666666302</v>
      </c>
      <c r="J105" s="860">
        <v>114857.60000000001</v>
      </c>
      <c r="K105" s="860">
        <f t="shared" ref="K105:K111" si="56">H105*0.08</f>
        <v>139768.51333333299</v>
      </c>
      <c r="L105" s="860">
        <f t="shared" ref="L105:L111" si="57">K105-J105</f>
        <v>24910.913333332999</v>
      </c>
      <c r="M105" s="860">
        <v>0</v>
      </c>
      <c r="N105" s="860"/>
      <c r="O105" s="860">
        <f t="shared" ref="O105:O111" si="58">N105-M105</f>
        <v>0</v>
      </c>
      <c r="P105" s="860">
        <f t="shared" ref="P105:P111" si="59">K105*12</f>
        <v>1677222.16</v>
      </c>
      <c r="Q105" s="860"/>
    </row>
    <row r="106" spans="1:17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853">
        <v>554669.5</v>
      </c>
      <c r="G106" s="186">
        <v>350637.25</v>
      </c>
      <c r="H106" s="855">
        <f t="shared" si="54"/>
        <v>905306.75</v>
      </c>
      <c r="I106" s="186">
        <f t="shared" si="55"/>
        <v>142933.58333333299</v>
      </c>
      <c r="J106" s="860">
        <v>60989.853333333303</v>
      </c>
      <c r="K106" s="860">
        <f t="shared" si="56"/>
        <v>72424.539999999994</v>
      </c>
      <c r="L106" s="860">
        <f t="shared" si="57"/>
        <v>11434.686666666699</v>
      </c>
      <c r="M106" s="860">
        <v>10293.3979166667</v>
      </c>
      <c r="N106" s="860">
        <f>0.025*F106</f>
        <v>13866.737499999999</v>
      </c>
      <c r="O106" s="860">
        <f t="shared" si="58"/>
        <v>3573.3395833333002</v>
      </c>
      <c r="P106" s="860">
        <f t="shared" si="59"/>
        <v>869094.48</v>
      </c>
      <c r="Q106" s="860">
        <f>N106*12</f>
        <v>166400.85</v>
      </c>
    </row>
    <row r="107" spans="1:17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853">
        <v>337730.83333333302</v>
      </c>
      <c r="G107" s="186">
        <v>203620.5</v>
      </c>
      <c r="H107" s="855">
        <f t="shared" si="54"/>
        <v>541351.33333333302</v>
      </c>
      <c r="I107" s="186">
        <f t="shared" si="55"/>
        <v>99546.416666666002</v>
      </c>
      <c r="J107" s="860">
        <v>35344.393333333297</v>
      </c>
      <c r="K107" s="860">
        <f t="shared" si="56"/>
        <v>43308.106666666601</v>
      </c>
      <c r="L107" s="860">
        <f t="shared" si="57"/>
        <v>7963.7133333333504</v>
      </c>
      <c r="M107" s="860">
        <v>5954.6104166666701</v>
      </c>
      <c r="N107" s="860">
        <f>0.025*F107</f>
        <v>8443.2708333333303</v>
      </c>
      <c r="O107" s="860">
        <f t="shared" si="58"/>
        <v>2488.6604166666598</v>
      </c>
      <c r="P107" s="860">
        <f t="shared" si="59"/>
        <v>519697.28</v>
      </c>
      <c r="Q107" s="860">
        <f>N107*12</f>
        <v>101319.25</v>
      </c>
    </row>
    <row r="108" spans="1:17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52</v>
      </c>
      <c r="E108" s="70">
        <v>441804.91666666698</v>
      </c>
      <c r="F108" s="853">
        <v>337730.83333333302</v>
      </c>
      <c r="G108" s="186">
        <v>203620.5</v>
      </c>
      <c r="H108" s="855">
        <f t="shared" si="54"/>
        <v>541351.33333333302</v>
      </c>
      <c r="I108" s="186">
        <f t="shared" si="55"/>
        <v>99546.416666666002</v>
      </c>
      <c r="J108" s="860">
        <v>35344.393333333297</v>
      </c>
      <c r="K108" s="860">
        <f t="shared" si="56"/>
        <v>43308.106666666601</v>
      </c>
      <c r="L108" s="860">
        <f t="shared" si="57"/>
        <v>7963.7133333333504</v>
      </c>
      <c r="M108" s="860"/>
      <c r="N108" s="860"/>
      <c r="O108" s="860">
        <f t="shared" si="58"/>
        <v>0</v>
      </c>
      <c r="P108" s="860">
        <f t="shared" si="59"/>
        <v>519697.28</v>
      </c>
      <c r="Q108" s="860"/>
    </row>
    <row r="109" spans="1:17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232</v>
      </c>
      <c r="E109" s="186">
        <v>255320.58333333299</v>
      </c>
      <c r="F109" s="853">
        <v>213104.41666666701</v>
      </c>
      <c r="G109" s="186">
        <v>116846</v>
      </c>
      <c r="H109" s="855">
        <f t="shared" si="54"/>
        <v>329950.41666666698</v>
      </c>
      <c r="I109" s="186">
        <f t="shared" si="55"/>
        <v>74629.833333333998</v>
      </c>
      <c r="J109" s="860">
        <v>19931.8733333333</v>
      </c>
      <c r="K109" s="860">
        <f t="shared" si="56"/>
        <v>26396.033333333398</v>
      </c>
      <c r="L109" s="860">
        <f t="shared" si="57"/>
        <v>6464.1600000000599</v>
      </c>
      <c r="M109" s="860"/>
      <c r="N109" s="860"/>
      <c r="O109" s="860">
        <f t="shared" si="58"/>
        <v>0</v>
      </c>
      <c r="P109" s="860">
        <f t="shared" si="59"/>
        <v>316752.40000000002</v>
      </c>
      <c r="Q109" s="860"/>
    </row>
    <row r="110" spans="1:17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96</v>
      </c>
      <c r="E110" s="186">
        <v>255849</v>
      </c>
      <c r="F110" s="853">
        <v>212792.16666666701</v>
      </c>
      <c r="G110" s="186">
        <v>117614.91666666701</v>
      </c>
      <c r="H110" s="855">
        <f t="shared" si="54"/>
        <v>330407.08333333401</v>
      </c>
      <c r="I110" s="186">
        <f t="shared" si="55"/>
        <v>74558.083333333998</v>
      </c>
      <c r="J110" s="860">
        <v>21053.226666666698</v>
      </c>
      <c r="K110" s="860">
        <f t="shared" si="56"/>
        <v>26432.566666666698</v>
      </c>
      <c r="L110" s="860">
        <f t="shared" si="57"/>
        <v>5379.3400000000202</v>
      </c>
      <c r="M110" s="860"/>
      <c r="N110" s="860"/>
      <c r="O110" s="860">
        <f t="shared" si="58"/>
        <v>0</v>
      </c>
      <c r="P110" s="860">
        <f t="shared" si="59"/>
        <v>317190.80000000098</v>
      </c>
      <c r="Q110" s="860"/>
    </row>
    <row r="111" spans="1:17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206</v>
      </c>
      <c r="E111" s="186">
        <v>236804.08333333299</v>
      </c>
      <c r="F111" s="853">
        <v>200549.41666666701</v>
      </c>
      <c r="G111" s="186">
        <v>108371.25</v>
      </c>
      <c r="H111" s="855">
        <f t="shared" si="54"/>
        <v>308920.66666666698</v>
      </c>
      <c r="I111" s="186">
        <f t="shared" si="55"/>
        <v>72116.583333333998</v>
      </c>
      <c r="J111" s="860">
        <v>18450.553333333301</v>
      </c>
      <c r="K111" s="860">
        <f t="shared" si="56"/>
        <v>24713.653333333401</v>
      </c>
      <c r="L111" s="860">
        <f t="shared" si="57"/>
        <v>6263.1000000000604</v>
      </c>
      <c r="M111" s="860"/>
      <c r="N111" s="860"/>
      <c r="O111" s="860">
        <f t="shared" si="58"/>
        <v>0</v>
      </c>
      <c r="P111" s="860">
        <f t="shared" si="59"/>
        <v>296563.84000000003</v>
      </c>
      <c r="Q111" s="860"/>
    </row>
    <row r="112" spans="1:17" ht="25.5" customHeight="1" x14ac:dyDescent="0.5">
      <c r="A112" s="2"/>
      <c r="B112" s="18" t="s">
        <v>111</v>
      </c>
      <c r="C112" s="19">
        <v>7</v>
      </c>
      <c r="D112" s="2"/>
      <c r="E112" s="189">
        <f t="shared" ref="E112:Q112" si="60">SUM(E105:E111)</f>
        <v>3829676.6666666698</v>
      </c>
      <c r="F112" s="862">
        <f t="shared" si="60"/>
        <v>2943354.25</v>
      </c>
      <c r="G112" s="189">
        <f t="shared" si="60"/>
        <v>1761039.75</v>
      </c>
      <c r="H112" s="189">
        <f t="shared" si="60"/>
        <v>4704394</v>
      </c>
      <c r="I112" s="189">
        <f t="shared" si="60"/>
        <v>874717.33333333</v>
      </c>
      <c r="J112" s="189">
        <f t="shared" si="60"/>
        <v>305971.89333333302</v>
      </c>
      <c r="K112" s="189">
        <f t="shared" si="60"/>
        <v>376351.52</v>
      </c>
      <c r="L112" s="189">
        <f t="shared" si="60"/>
        <v>70379.626666666605</v>
      </c>
      <c r="M112" s="189">
        <f t="shared" si="60"/>
        <v>16248.008333333401</v>
      </c>
      <c r="N112" s="189">
        <f t="shared" si="60"/>
        <v>22310.008333333299</v>
      </c>
      <c r="O112" s="189">
        <f t="shared" si="60"/>
        <v>6061.99999999996</v>
      </c>
      <c r="P112" s="189">
        <f t="shared" si="60"/>
        <v>4516218.24</v>
      </c>
      <c r="Q112" s="189">
        <f t="shared" si="60"/>
        <v>267720.09999999998</v>
      </c>
    </row>
    <row r="113" spans="1:17" ht="20.100000000000001" customHeight="1" x14ac:dyDescent="0.5">
      <c r="A113" s="2"/>
      <c r="B113" s="18"/>
      <c r="C113" s="19"/>
      <c r="D113" s="2"/>
      <c r="E113" s="189"/>
      <c r="F113" s="862"/>
      <c r="G113" s="189"/>
      <c r="H113" s="475"/>
      <c r="I113" s="186"/>
      <c r="J113" s="860"/>
      <c r="K113" s="860"/>
      <c r="L113" s="860"/>
      <c r="M113" s="860"/>
      <c r="N113" s="860"/>
      <c r="O113" s="860"/>
      <c r="P113" s="860"/>
      <c r="Q113" s="860"/>
    </row>
    <row r="114" spans="1:17" ht="20.100000000000001" customHeight="1" x14ac:dyDescent="0.2">
      <c r="A114" s="8"/>
      <c r="B114" s="18" t="s">
        <v>235</v>
      </c>
      <c r="C114" s="19"/>
      <c r="D114" s="19"/>
      <c r="E114" s="122"/>
      <c r="F114" s="857"/>
      <c r="G114" s="122"/>
      <c r="H114" s="186"/>
      <c r="I114" s="186"/>
      <c r="J114" s="860"/>
      <c r="K114" s="860"/>
      <c r="L114" s="860"/>
      <c r="M114" s="860"/>
      <c r="N114" s="860"/>
      <c r="O114" s="860"/>
      <c r="P114" s="860"/>
      <c r="Q114" s="860"/>
    </row>
    <row r="115" spans="1:17" ht="18.75" customHeight="1" x14ac:dyDescent="0.2">
      <c r="A115" s="8">
        <v>1</v>
      </c>
      <c r="B115" s="9" t="s">
        <v>236</v>
      </c>
      <c r="C115" s="2" t="s">
        <v>237</v>
      </c>
      <c r="D115" s="13" t="s">
        <v>65</v>
      </c>
      <c r="E115" s="70">
        <v>390086.5</v>
      </c>
      <c r="F115" s="853">
        <v>302878.66666666698</v>
      </c>
      <c r="G115" s="186">
        <v>179784</v>
      </c>
      <c r="H115" s="855">
        <f t="shared" ref="H115:H117" si="61">F115+G115</f>
        <v>482662.66666666698</v>
      </c>
      <c r="I115" s="186">
        <f t="shared" ref="I115:I117" si="62">H115-E115</f>
        <v>92576.166666667006</v>
      </c>
      <c r="J115" s="860">
        <v>30231.613333333298</v>
      </c>
      <c r="K115" s="860">
        <f t="shared" ref="K115:K117" si="63">H115*0.08</f>
        <v>38613.013333333402</v>
      </c>
      <c r="L115" s="860">
        <f t="shared" ref="L115:L117" si="64">K115-J115</f>
        <v>8381.4000000000597</v>
      </c>
      <c r="M115" s="860"/>
      <c r="N115" s="860"/>
      <c r="O115" s="860">
        <f t="shared" ref="O115:O117" si="65">N115-M115</f>
        <v>0</v>
      </c>
      <c r="P115" s="860">
        <f t="shared" ref="P115:P117" si="66">12*K115</f>
        <v>463356.15999999997</v>
      </c>
      <c r="Q115" s="860"/>
    </row>
    <row r="116" spans="1:17" ht="18.75" customHeight="1" x14ac:dyDescent="0.2">
      <c r="A116" s="8">
        <v>2</v>
      </c>
      <c r="B116" s="9" t="s">
        <v>238</v>
      </c>
      <c r="C116" s="2" t="s">
        <v>70</v>
      </c>
      <c r="D116" s="13" t="s">
        <v>162</v>
      </c>
      <c r="E116" s="70">
        <v>377895.16666666698</v>
      </c>
      <c r="F116" s="853">
        <v>294662.91666666698</v>
      </c>
      <c r="G116" s="186">
        <v>174165.25</v>
      </c>
      <c r="H116" s="855">
        <f t="shared" si="61"/>
        <v>468828.16666666698</v>
      </c>
      <c r="I116" s="186">
        <f t="shared" si="62"/>
        <v>90933</v>
      </c>
      <c r="J116" s="860">
        <v>30231.613333333298</v>
      </c>
      <c r="K116" s="860">
        <f t="shared" si="63"/>
        <v>37506.253333333399</v>
      </c>
      <c r="L116" s="860">
        <f t="shared" si="64"/>
        <v>7274.6400000000604</v>
      </c>
      <c r="M116" s="860"/>
      <c r="N116" s="860"/>
      <c r="O116" s="860">
        <f t="shared" si="65"/>
        <v>0</v>
      </c>
      <c r="P116" s="860">
        <f t="shared" si="66"/>
        <v>450075.04</v>
      </c>
      <c r="Q116" s="860"/>
    </row>
    <row r="117" spans="1:17" ht="20.100000000000001" customHeight="1" x14ac:dyDescent="0.2">
      <c r="A117" s="8">
        <v>3</v>
      </c>
      <c r="B117" s="9" t="s">
        <v>177</v>
      </c>
      <c r="C117" s="10" t="s">
        <v>178</v>
      </c>
      <c r="D117" s="13" t="s">
        <v>159</v>
      </c>
      <c r="E117" s="70">
        <v>390248.91666666698</v>
      </c>
      <c r="F117" s="853">
        <v>302987.41666666698</v>
      </c>
      <c r="G117" s="186">
        <v>179859.16666666701</v>
      </c>
      <c r="H117" s="855">
        <f t="shared" si="61"/>
        <v>482846.58333333401</v>
      </c>
      <c r="I117" s="186">
        <f t="shared" si="62"/>
        <v>92597.666666667006</v>
      </c>
      <c r="J117" s="860">
        <v>31219.91</v>
      </c>
      <c r="K117" s="860">
        <f t="shared" si="63"/>
        <v>38627.726666666698</v>
      </c>
      <c r="L117" s="860">
        <f t="shared" si="64"/>
        <v>7407.8166666667203</v>
      </c>
      <c r="M117" s="860">
        <v>5967.3062499999996</v>
      </c>
      <c r="N117" s="860">
        <f>0.025*F117</f>
        <v>7574.6854166666699</v>
      </c>
      <c r="O117" s="860">
        <f t="shared" si="65"/>
        <v>1607.37916666667</v>
      </c>
      <c r="P117" s="860">
        <f t="shared" si="66"/>
        <v>463532.72000000102</v>
      </c>
      <c r="Q117" s="860">
        <f>N117*12</f>
        <v>90896.225000000093</v>
      </c>
    </row>
    <row r="118" spans="1:17" ht="24.75" customHeight="1" x14ac:dyDescent="0.5">
      <c r="A118" s="2"/>
      <c r="B118" s="18" t="s">
        <v>111</v>
      </c>
      <c r="C118" s="19">
        <v>3</v>
      </c>
      <c r="D118" s="24"/>
      <c r="E118" s="78">
        <f t="shared" ref="E118:Q118" si="67">SUM(E115:E117)</f>
        <v>1158230.58333333</v>
      </c>
      <c r="F118" s="856">
        <f t="shared" si="67"/>
        <v>900529.00000000105</v>
      </c>
      <c r="G118" s="78">
        <f t="shared" si="67"/>
        <v>533808.41666666698</v>
      </c>
      <c r="H118" s="78">
        <f t="shared" si="67"/>
        <v>1434337.41666667</v>
      </c>
      <c r="I118" s="78">
        <f t="shared" si="67"/>
        <v>276106.83333333401</v>
      </c>
      <c r="J118" s="78">
        <f t="shared" si="67"/>
        <v>91683.1366666666</v>
      </c>
      <c r="K118" s="78">
        <f t="shared" si="67"/>
        <v>114746.993333333</v>
      </c>
      <c r="L118" s="78">
        <f t="shared" si="67"/>
        <v>23063.856666666801</v>
      </c>
      <c r="M118" s="78">
        <f t="shared" si="67"/>
        <v>5967.3062499999996</v>
      </c>
      <c r="N118" s="78">
        <f t="shared" si="67"/>
        <v>7574.6854166666699</v>
      </c>
      <c r="O118" s="78">
        <f t="shared" si="67"/>
        <v>1607.37916666667</v>
      </c>
      <c r="P118" s="78">
        <f t="shared" si="67"/>
        <v>1376963.92</v>
      </c>
      <c r="Q118" s="78">
        <f t="shared" si="67"/>
        <v>90896.225000000093</v>
      </c>
    </row>
    <row r="119" spans="1:17" ht="24.75" customHeight="1" x14ac:dyDescent="0.5">
      <c r="A119" s="2"/>
      <c r="B119" s="18"/>
      <c r="C119" s="19"/>
      <c r="D119" s="24"/>
      <c r="E119" s="78"/>
      <c r="F119" s="856"/>
      <c r="G119" s="78"/>
      <c r="H119" s="78"/>
      <c r="I119" s="186"/>
      <c r="J119" s="860"/>
      <c r="K119" s="860"/>
      <c r="L119" s="860"/>
      <c r="M119" s="860"/>
      <c r="N119" s="860"/>
      <c r="O119" s="860"/>
      <c r="P119" s="860"/>
      <c r="Q119" s="860"/>
    </row>
    <row r="120" spans="1:17" ht="24.75" customHeight="1" x14ac:dyDescent="0.2">
      <c r="A120" s="8"/>
      <c r="B120" s="18" t="s">
        <v>243</v>
      </c>
      <c r="C120" s="19"/>
      <c r="D120" s="19"/>
      <c r="E120" s="122"/>
      <c r="F120" s="857"/>
      <c r="G120" s="122"/>
      <c r="H120" s="186"/>
      <c r="I120" s="186"/>
      <c r="J120" s="860"/>
      <c r="K120" s="860"/>
      <c r="L120" s="860"/>
      <c r="M120" s="860"/>
      <c r="N120" s="860"/>
      <c r="O120" s="860"/>
      <c r="P120" s="860"/>
      <c r="Q120" s="860"/>
    </row>
    <row r="121" spans="1:17" ht="24.75" customHeight="1" x14ac:dyDescent="0.2">
      <c r="A121" s="8">
        <v>2</v>
      </c>
      <c r="B121" s="9" t="s">
        <v>246</v>
      </c>
      <c r="C121" s="2" t="s">
        <v>247</v>
      </c>
      <c r="D121" s="8" t="s">
        <v>108</v>
      </c>
      <c r="E121" s="70">
        <v>218287.58333333299</v>
      </c>
      <c r="F121" s="853">
        <v>187994.41666666701</v>
      </c>
      <c r="G121" s="186">
        <v>99896.5</v>
      </c>
      <c r="H121" s="855">
        <f t="shared" ref="H121:H135" si="68">F121+G121</f>
        <v>287890.91666666698</v>
      </c>
      <c r="I121" s="186">
        <f t="shared" ref="I121:I135" si="69">H121-E121</f>
        <v>69603.333333333998</v>
      </c>
      <c r="J121" s="860">
        <v>17463.006666666599</v>
      </c>
      <c r="K121" s="860">
        <f t="shared" ref="K121:K135" si="70">H121*0.08</f>
        <v>23031.2733333334</v>
      </c>
      <c r="L121" s="860">
        <f t="shared" ref="L121:L135" si="71">K121-J121</f>
        <v>5568.2666666667601</v>
      </c>
      <c r="M121" s="860"/>
      <c r="N121" s="860"/>
      <c r="O121" s="860">
        <f t="shared" ref="O121:O135" si="72">N121-M121</f>
        <v>0</v>
      </c>
      <c r="P121" s="860">
        <f t="shared" ref="P121:P135" si="73">12*K121</f>
        <v>276375.28000000003</v>
      </c>
      <c r="Q121" s="860"/>
    </row>
    <row r="122" spans="1:17" ht="24.75" customHeight="1" x14ac:dyDescent="0.2">
      <c r="A122" s="8">
        <v>3</v>
      </c>
      <c r="B122" s="9" t="s">
        <v>248</v>
      </c>
      <c r="C122" s="2" t="s">
        <v>249</v>
      </c>
      <c r="D122" s="8" t="s">
        <v>108</v>
      </c>
      <c r="E122" s="70">
        <v>218287.58333333299</v>
      </c>
      <c r="F122" s="853">
        <v>187994.41666666701</v>
      </c>
      <c r="G122" s="186">
        <v>99896.5</v>
      </c>
      <c r="H122" s="855">
        <f t="shared" si="68"/>
        <v>287890.91666666698</v>
      </c>
      <c r="I122" s="186">
        <f t="shared" si="69"/>
        <v>69603.333333333998</v>
      </c>
      <c r="J122" s="860">
        <v>17463.006666666599</v>
      </c>
      <c r="K122" s="860">
        <f t="shared" si="70"/>
        <v>23031.2733333334</v>
      </c>
      <c r="L122" s="860">
        <f t="shared" si="71"/>
        <v>5568.2666666667601</v>
      </c>
      <c r="M122" s="860"/>
      <c r="N122" s="860"/>
      <c r="O122" s="860">
        <f t="shared" si="72"/>
        <v>0</v>
      </c>
      <c r="P122" s="860">
        <f t="shared" si="73"/>
        <v>276375.28000000003</v>
      </c>
      <c r="Q122" s="860"/>
    </row>
    <row r="123" spans="1:17" ht="20.100000000000001" customHeight="1" x14ac:dyDescent="0.5">
      <c r="A123" s="2"/>
      <c r="B123" s="18" t="s">
        <v>111</v>
      </c>
      <c r="C123" s="19">
        <v>3</v>
      </c>
      <c r="D123" s="24"/>
      <c r="E123" s="78">
        <f t="shared" ref="E123:Q123" si="74">SUM(E121:E122)</f>
        <v>436575.16666666599</v>
      </c>
      <c r="F123" s="856">
        <f t="shared" si="74"/>
        <v>375988.83333333401</v>
      </c>
      <c r="G123" s="78">
        <f t="shared" si="74"/>
        <v>199793</v>
      </c>
      <c r="H123" s="78">
        <f t="shared" si="74"/>
        <v>575781.83333333395</v>
      </c>
      <c r="I123" s="78">
        <f t="shared" si="74"/>
        <v>139206.666666668</v>
      </c>
      <c r="J123" s="78">
        <f t="shared" si="74"/>
        <v>34926.013333333198</v>
      </c>
      <c r="K123" s="78">
        <f t="shared" si="74"/>
        <v>46062.546666666698</v>
      </c>
      <c r="L123" s="78">
        <f t="shared" si="74"/>
        <v>11136.5333333335</v>
      </c>
      <c r="M123" s="78">
        <f t="shared" si="74"/>
        <v>0</v>
      </c>
      <c r="N123" s="78">
        <f t="shared" si="74"/>
        <v>0</v>
      </c>
      <c r="O123" s="78">
        <f t="shared" si="74"/>
        <v>0</v>
      </c>
      <c r="P123" s="78">
        <f t="shared" si="74"/>
        <v>552750.56000000099</v>
      </c>
      <c r="Q123" s="78">
        <f t="shared" si="74"/>
        <v>0</v>
      </c>
    </row>
    <row r="124" spans="1:17" ht="20.100000000000001" customHeight="1" x14ac:dyDescent="0.5">
      <c r="A124" s="2"/>
      <c r="B124" s="18"/>
      <c r="C124" s="19"/>
      <c r="D124" s="24"/>
      <c r="E124" s="78"/>
      <c r="F124" s="856"/>
      <c r="G124" s="78"/>
      <c r="H124" s="78"/>
      <c r="I124" s="186"/>
      <c r="J124" s="860"/>
      <c r="K124" s="860"/>
      <c r="L124" s="860"/>
      <c r="M124" s="860"/>
      <c r="N124" s="860"/>
      <c r="O124" s="860"/>
      <c r="P124" s="860"/>
      <c r="Q124" s="860"/>
    </row>
    <row r="125" spans="1:17" ht="20.100000000000001" customHeight="1" x14ac:dyDescent="0.2">
      <c r="A125" s="2"/>
      <c r="B125" s="18" t="s">
        <v>250</v>
      </c>
      <c r="C125" s="19"/>
      <c r="D125" s="19"/>
      <c r="E125" s="122"/>
      <c r="F125" s="857"/>
      <c r="G125" s="122"/>
      <c r="H125" s="186"/>
      <c r="I125" s="186"/>
      <c r="J125" s="860"/>
      <c r="K125" s="860"/>
      <c r="L125" s="860"/>
      <c r="M125" s="860"/>
      <c r="N125" s="860"/>
      <c r="O125" s="860"/>
      <c r="P125" s="860"/>
      <c r="Q125" s="860"/>
    </row>
    <row r="126" spans="1:17" ht="20.100000000000001" customHeight="1" x14ac:dyDescent="0.2">
      <c r="A126" s="2">
        <v>1</v>
      </c>
      <c r="B126" s="9" t="s">
        <v>251</v>
      </c>
      <c r="C126" s="10" t="s">
        <v>252</v>
      </c>
      <c r="D126" s="13" t="s">
        <v>115</v>
      </c>
      <c r="E126" s="70">
        <v>1435720</v>
      </c>
      <c r="F126" s="853">
        <v>1086777.08333333</v>
      </c>
      <c r="G126" s="186">
        <v>660329.33333333302</v>
      </c>
      <c r="H126" s="855">
        <f t="shared" si="68"/>
        <v>1747106.41666666</v>
      </c>
      <c r="I126" s="186">
        <f t="shared" si="69"/>
        <v>311386.41666666302</v>
      </c>
      <c r="J126" s="860">
        <v>114857.60000000001</v>
      </c>
      <c r="K126" s="860">
        <f t="shared" si="70"/>
        <v>139768.51333333299</v>
      </c>
      <c r="L126" s="860">
        <f t="shared" si="71"/>
        <v>24910.913333332999</v>
      </c>
      <c r="M126" s="860">
        <v>19384.766666666699</v>
      </c>
      <c r="N126" s="860">
        <f t="shared" ref="N126:N128" si="75">0.025*F126</f>
        <v>27169.427083333299</v>
      </c>
      <c r="O126" s="860">
        <f t="shared" si="72"/>
        <v>7784.6604166665502</v>
      </c>
      <c r="P126" s="860">
        <f t="shared" si="73"/>
        <v>1677222.16</v>
      </c>
      <c r="Q126" s="860">
        <f t="shared" ref="Q126:Q135" si="76">N126*12</f>
        <v>326033.12499999901</v>
      </c>
    </row>
    <row r="127" spans="1:17" ht="20.100000000000001" customHeight="1" x14ac:dyDescent="0.2">
      <c r="A127" s="2">
        <v>2</v>
      </c>
      <c r="B127" s="9" t="s">
        <v>253</v>
      </c>
      <c r="C127" s="10" t="s">
        <v>254</v>
      </c>
      <c r="D127" s="13" t="s">
        <v>154</v>
      </c>
      <c r="E127" s="70">
        <v>762373.16666666698</v>
      </c>
      <c r="F127" s="853">
        <v>554669.5</v>
      </c>
      <c r="G127" s="186">
        <v>350637.25</v>
      </c>
      <c r="H127" s="855">
        <f t="shared" si="68"/>
        <v>905306.75</v>
      </c>
      <c r="I127" s="186">
        <f t="shared" si="69"/>
        <v>142933.58333333299</v>
      </c>
      <c r="J127" s="860">
        <v>59136.286666666703</v>
      </c>
      <c r="K127" s="860">
        <f t="shared" si="70"/>
        <v>72424.539999999994</v>
      </c>
      <c r="L127" s="860">
        <f t="shared" si="71"/>
        <v>13288.253333333299</v>
      </c>
      <c r="M127" s="860">
        <v>9980.5666666666693</v>
      </c>
      <c r="N127" s="860">
        <f t="shared" si="75"/>
        <v>13866.737499999999</v>
      </c>
      <c r="O127" s="860">
        <f t="shared" si="72"/>
        <v>3886.1708333333299</v>
      </c>
      <c r="P127" s="860">
        <f t="shared" si="73"/>
        <v>869094.48</v>
      </c>
      <c r="Q127" s="860">
        <f t="shared" si="76"/>
        <v>166400.85</v>
      </c>
    </row>
    <row r="128" spans="1:17" ht="20.100000000000001" customHeight="1" x14ac:dyDescent="0.2">
      <c r="A128" s="2">
        <v>3</v>
      </c>
      <c r="B128" s="12" t="s">
        <v>255</v>
      </c>
      <c r="C128" s="10" t="s">
        <v>256</v>
      </c>
      <c r="D128" s="13" t="s">
        <v>192</v>
      </c>
      <c r="E128" s="70">
        <v>716034</v>
      </c>
      <c r="F128" s="853">
        <v>523386.5</v>
      </c>
      <c r="G128" s="186">
        <v>329324.58333333302</v>
      </c>
      <c r="H128" s="855">
        <f t="shared" si="68"/>
        <v>852711.08333333302</v>
      </c>
      <c r="I128" s="186">
        <f t="shared" si="69"/>
        <v>136677.08333333299</v>
      </c>
      <c r="J128" s="860">
        <v>59136.286666666703</v>
      </c>
      <c r="K128" s="860">
        <f t="shared" si="70"/>
        <v>68216.8866666666</v>
      </c>
      <c r="L128" s="860">
        <f t="shared" si="71"/>
        <v>9080.5999999999403</v>
      </c>
      <c r="M128" s="860">
        <v>9980.5666666666693</v>
      </c>
      <c r="N128" s="860">
        <f t="shared" si="75"/>
        <v>13084.6625</v>
      </c>
      <c r="O128" s="860">
        <f t="shared" si="72"/>
        <v>3104.0958333333301</v>
      </c>
      <c r="P128" s="860">
        <f t="shared" si="73"/>
        <v>818602.64</v>
      </c>
      <c r="Q128" s="860">
        <f t="shared" si="76"/>
        <v>157015.95000000001</v>
      </c>
    </row>
    <row r="129" spans="1:17" ht="20.100000000000001" customHeight="1" x14ac:dyDescent="0.2">
      <c r="A129" s="2">
        <v>4</v>
      </c>
      <c r="B129" s="9" t="s">
        <v>257</v>
      </c>
      <c r="C129" s="10" t="s">
        <v>258</v>
      </c>
      <c r="D129" s="13" t="s">
        <v>41</v>
      </c>
      <c r="E129" s="70">
        <v>484373.75</v>
      </c>
      <c r="F129" s="853">
        <v>366417.5</v>
      </c>
      <c r="G129" s="186">
        <v>223239.5</v>
      </c>
      <c r="H129" s="855">
        <f t="shared" si="68"/>
        <v>589657</v>
      </c>
      <c r="I129" s="186">
        <f t="shared" si="69"/>
        <v>105283.25</v>
      </c>
      <c r="J129" s="860">
        <v>37639.839999999997</v>
      </c>
      <c r="K129" s="860">
        <f t="shared" si="70"/>
        <v>47172.56</v>
      </c>
      <c r="L129" s="860">
        <f t="shared" si="71"/>
        <v>9532.7199999999993</v>
      </c>
      <c r="M129" s="860">
        <v>0</v>
      </c>
      <c r="N129" s="860"/>
      <c r="O129" s="860">
        <f t="shared" si="72"/>
        <v>0</v>
      </c>
      <c r="P129" s="860">
        <f t="shared" si="73"/>
        <v>566070.72</v>
      </c>
      <c r="Q129" s="860">
        <f t="shared" si="76"/>
        <v>0</v>
      </c>
    </row>
    <row r="130" spans="1:17" ht="20.100000000000001" customHeight="1" x14ac:dyDescent="0.2">
      <c r="A130" s="2">
        <v>5</v>
      </c>
      <c r="B130" s="9" t="s">
        <v>259</v>
      </c>
      <c r="C130" s="10" t="s">
        <v>489</v>
      </c>
      <c r="D130" s="13" t="s">
        <v>46</v>
      </c>
      <c r="E130" s="70">
        <v>456622.25</v>
      </c>
      <c r="F130" s="853">
        <v>347715.91666666698</v>
      </c>
      <c r="G130" s="186">
        <v>210449.33333333299</v>
      </c>
      <c r="H130" s="855">
        <f t="shared" si="68"/>
        <v>558165.25</v>
      </c>
      <c r="I130" s="186">
        <f t="shared" si="69"/>
        <v>101543</v>
      </c>
      <c r="J130" s="860">
        <v>35419.72</v>
      </c>
      <c r="K130" s="860">
        <f t="shared" si="70"/>
        <v>44653.22</v>
      </c>
      <c r="L130" s="860">
        <f t="shared" si="71"/>
        <v>9233.5</v>
      </c>
      <c r="M130" s="860">
        <v>5967.3062499999996</v>
      </c>
      <c r="N130" s="860">
        <f>0.025*F130</f>
        <v>8692.8979166666704</v>
      </c>
      <c r="O130" s="860">
        <f t="shared" si="72"/>
        <v>2725.5916666666699</v>
      </c>
      <c r="P130" s="860">
        <f t="shared" si="73"/>
        <v>535838.64</v>
      </c>
      <c r="Q130" s="860">
        <f t="shared" si="76"/>
        <v>104314.77499999999</v>
      </c>
    </row>
    <row r="131" spans="1:17" ht="20.100000000000001" customHeight="1" x14ac:dyDescent="0.2">
      <c r="A131" s="2">
        <v>6</v>
      </c>
      <c r="B131" s="9" t="s">
        <v>260</v>
      </c>
      <c r="C131" s="10" t="s">
        <v>258</v>
      </c>
      <c r="D131" s="13" t="s">
        <v>176</v>
      </c>
      <c r="E131" s="70">
        <v>470498</v>
      </c>
      <c r="F131" s="853">
        <v>357066.66666666698</v>
      </c>
      <c r="G131" s="186">
        <v>216844.41666666701</v>
      </c>
      <c r="H131" s="855">
        <f t="shared" si="68"/>
        <v>573911.08333333395</v>
      </c>
      <c r="I131" s="186">
        <f t="shared" si="69"/>
        <v>103413.083333334</v>
      </c>
      <c r="J131" s="860">
        <v>36529.78</v>
      </c>
      <c r="K131" s="860">
        <f t="shared" si="70"/>
        <v>45912.886666666702</v>
      </c>
      <c r="L131" s="860">
        <f t="shared" si="71"/>
        <v>9383.1066666667193</v>
      </c>
      <c r="M131" s="860">
        <v>6154.3229166666697</v>
      </c>
      <c r="N131" s="860">
        <f>0.025*F131</f>
        <v>8926.6666666666806</v>
      </c>
      <c r="O131" s="860">
        <f t="shared" si="72"/>
        <v>2772.34375000001</v>
      </c>
      <c r="P131" s="860">
        <f t="shared" si="73"/>
        <v>550954.64000000095</v>
      </c>
      <c r="Q131" s="860">
        <f t="shared" si="76"/>
        <v>107120</v>
      </c>
    </row>
    <row r="132" spans="1:17" ht="20.100000000000001" customHeight="1" x14ac:dyDescent="0.2">
      <c r="A132" s="2">
        <v>7</v>
      </c>
      <c r="B132" s="9" t="s">
        <v>263</v>
      </c>
      <c r="C132" s="10" t="s">
        <v>264</v>
      </c>
      <c r="D132" s="8" t="s">
        <v>79</v>
      </c>
      <c r="E132" s="70">
        <v>277798</v>
      </c>
      <c r="F132" s="853">
        <v>227615.75</v>
      </c>
      <c r="G132" s="186">
        <v>127704.91666666701</v>
      </c>
      <c r="H132" s="855">
        <f t="shared" si="68"/>
        <v>355320.66666666698</v>
      </c>
      <c r="I132" s="186">
        <f t="shared" si="69"/>
        <v>77522.666666667006</v>
      </c>
      <c r="J132" s="860">
        <v>21638.5333333333</v>
      </c>
      <c r="K132" s="860">
        <f t="shared" si="70"/>
        <v>28425.653333333401</v>
      </c>
      <c r="L132" s="860">
        <f t="shared" si="71"/>
        <v>6787.1200000000599</v>
      </c>
      <c r="M132" s="860"/>
      <c r="N132" s="860"/>
      <c r="O132" s="860">
        <f t="shared" si="72"/>
        <v>0</v>
      </c>
      <c r="P132" s="860">
        <f t="shared" si="73"/>
        <v>341107.84</v>
      </c>
      <c r="Q132" s="860">
        <f t="shared" si="76"/>
        <v>0</v>
      </c>
    </row>
    <row r="133" spans="1:17" ht="20.100000000000001" customHeight="1" x14ac:dyDescent="0.2">
      <c r="A133" s="2">
        <v>8</v>
      </c>
      <c r="B133" s="16" t="s">
        <v>265</v>
      </c>
      <c r="C133" s="10" t="s">
        <v>266</v>
      </c>
      <c r="D133" s="13" t="s">
        <v>102</v>
      </c>
      <c r="E133" s="70">
        <v>230631.91666666701</v>
      </c>
      <c r="F133" s="853">
        <v>196364.41666666701</v>
      </c>
      <c r="G133" s="186">
        <v>105546.33333333299</v>
      </c>
      <c r="H133" s="855">
        <f t="shared" si="68"/>
        <v>301910.75</v>
      </c>
      <c r="I133" s="186">
        <f t="shared" si="69"/>
        <v>71278.833333332994</v>
      </c>
      <c r="J133" s="860">
        <v>17956.78</v>
      </c>
      <c r="K133" s="860">
        <f t="shared" si="70"/>
        <v>24152.86</v>
      </c>
      <c r="L133" s="860">
        <f t="shared" si="71"/>
        <v>6196.08</v>
      </c>
      <c r="M133" s="860">
        <v>0</v>
      </c>
      <c r="N133" s="860"/>
      <c r="O133" s="860">
        <f t="shared" si="72"/>
        <v>0</v>
      </c>
      <c r="P133" s="860">
        <f t="shared" si="73"/>
        <v>289834.32</v>
      </c>
      <c r="Q133" s="860">
        <f t="shared" si="76"/>
        <v>0</v>
      </c>
    </row>
    <row r="134" spans="1:17" ht="20.100000000000001" customHeight="1" x14ac:dyDescent="0.2">
      <c r="A134" s="2">
        <v>9</v>
      </c>
      <c r="B134" s="16" t="s">
        <v>267</v>
      </c>
      <c r="C134" s="10" t="s">
        <v>262</v>
      </c>
      <c r="D134" s="13" t="s">
        <v>102</v>
      </c>
      <c r="E134" s="70">
        <v>230631.91666666701</v>
      </c>
      <c r="F134" s="853">
        <v>196364.41666666701</v>
      </c>
      <c r="G134" s="186">
        <v>105546.33333333299</v>
      </c>
      <c r="H134" s="855">
        <f t="shared" si="68"/>
        <v>301910.75</v>
      </c>
      <c r="I134" s="186">
        <f t="shared" si="69"/>
        <v>71278.833333332994</v>
      </c>
      <c r="J134" s="860">
        <v>17956.78</v>
      </c>
      <c r="K134" s="860">
        <f t="shared" si="70"/>
        <v>24152.86</v>
      </c>
      <c r="L134" s="860">
        <f t="shared" si="71"/>
        <v>6196.08</v>
      </c>
      <c r="M134" s="860">
        <v>0</v>
      </c>
      <c r="N134" s="860"/>
      <c r="O134" s="860">
        <f t="shared" si="72"/>
        <v>0</v>
      </c>
      <c r="P134" s="860">
        <f t="shared" si="73"/>
        <v>289834.32</v>
      </c>
      <c r="Q134" s="860">
        <f t="shared" si="76"/>
        <v>0</v>
      </c>
    </row>
    <row r="135" spans="1:17" ht="20.100000000000001" customHeight="1" x14ac:dyDescent="0.2">
      <c r="A135" s="2">
        <v>10</v>
      </c>
      <c r="B135" s="16" t="s">
        <v>268</v>
      </c>
      <c r="C135" s="10" t="s">
        <v>266</v>
      </c>
      <c r="D135" s="13" t="s">
        <v>105</v>
      </c>
      <c r="E135" s="70">
        <v>224459.75</v>
      </c>
      <c r="F135" s="853">
        <v>192179.41666666701</v>
      </c>
      <c r="G135" s="863">
        <v>102721.41666666701</v>
      </c>
      <c r="H135" s="864">
        <f t="shared" si="68"/>
        <v>294900.83333333401</v>
      </c>
      <c r="I135" s="863">
        <f t="shared" si="69"/>
        <v>70441.083333333998</v>
      </c>
      <c r="J135" s="866">
        <v>17463.006666666599</v>
      </c>
      <c r="K135" s="860">
        <f t="shared" si="70"/>
        <v>23592.066666666698</v>
      </c>
      <c r="L135" s="860">
        <f t="shared" si="71"/>
        <v>6129.0600000001205</v>
      </c>
      <c r="M135" s="860"/>
      <c r="N135" s="860"/>
      <c r="O135" s="860">
        <f t="shared" si="72"/>
        <v>0</v>
      </c>
      <c r="P135" s="860">
        <f t="shared" si="73"/>
        <v>283104.80000000098</v>
      </c>
      <c r="Q135" s="860">
        <f t="shared" si="76"/>
        <v>0</v>
      </c>
    </row>
    <row r="136" spans="1:17" ht="28.5" customHeight="1" x14ac:dyDescent="0.2">
      <c r="A136" s="2"/>
      <c r="B136" s="18" t="s">
        <v>111</v>
      </c>
      <c r="C136" s="24" t="s">
        <v>490</v>
      </c>
      <c r="D136" s="13"/>
      <c r="E136" s="122">
        <f t="shared" ref="E136:Q136" si="77">SUM(E126:E135)</f>
        <v>5289142.75</v>
      </c>
      <c r="F136" s="857">
        <f t="shared" si="77"/>
        <v>4048557.1666666698</v>
      </c>
      <c r="G136" s="187">
        <f t="shared" si="77"/>
        <v>2432343.4166666698</v>
      </c>
      <c r="H136" s="187">
        <f t="shared" si="77"/>
        <v>6480900.5833333302</v>
      </c>
      <c r="I136" s="187">
        <f t="shared" si="77"/>
        <v>1191757.83333333</v>
      </c>
      <c r="J136" s="187">
        <f t="shared" si="77"/>
        <v>417734.61333333299</v>
      </c>
      <c r="K136" s="187">
        <f t="shared" si="77"/>
        <v>518472.04666666698</v>
      </c>
      <c r="L136" s="187">
        <f t="shared" si="77"/>
        <v>100737.433333333</v>
      </c>
      <c r="M136" s="187">
        <f t="shared" si="77"/>
        <v>51467.529166666704</v>
      </c>
      <c r="N136" s="187">
        <f t="shared" si="77"/>
        <v>71740.391666666605</v>
      </c>
      <c r="O136" s="187">
        <f t="shared" si="77"/>
        <v>20272.862499999901</v>
      </c>
      <c r="P136" s="187">
        <f t="shared" si="77"/>
        <v>6221664.5599999996</v>
      </c>
      <c r="Q136" s="187">
        <f t="shared" si="77"/>
        <v>860884.69999999902</v>
      </c>
    </row>
    <row r="137" spans="1:17" ht="20.100000000000001" customHeight="1" x14ac:dyDescent="0.2">
      <c r="A137" s="2"/>
      <c r="B137" s="20"/>
      <c r="C137" s="24"/>
      <c r="D137" s="13"/>
      <c r="E137" s="122"/>
      <c r="F137" s="857"/>
      <c r="G137" s="122"/>
      <c r="H137" s="186"/>
      <c r="I137" s="186"/>
      <c r="J137" s="860"/>
      <c r="K137" s="860"/>
      <c r="L137" s="860"/>
      <c r="M137" s="860"/>
      <c r="N137" s="860"/>
      <c r="O137" s="860"/>
      <c r="P137" s="860"/>
      <c r="Q137" s="860"/>
    </row>
    <row r="138" spans="1:17" ht="20.100000000000001" customHeight="1" x14ac:dyDescent="0.2">
      <c r="A138" s="2"/>
      <c r="B138" s="18" t="s">
        <v>270</v>
      </c>
      <c r="C138" s="10"/>
      <c r="D138" s="13"/>
      <c r="E138" s="70"/>
      <c r="F138" s="853"/>
      <c r="G138" s="70"/>
      <c r="H138" s="186"/>
      <c r="I138" s="186"/>
      <c r="J138" s="860"/>
      <c r="K138" s="860"/>
      <c r="L138" s="860"/>
      <c r="M138" s="860"/>
      <c r="N138" s="860"/>
      <c r="O138" s="860"/>
      <c r="P138" s="860"/>
      <c r="Q138" s="860"/>
    </row>
    <row r="139" spans="1:17" ht="20.100000000000001" customHeight="1" x14ac:dyDescent="0.2">
      <c r="A139" s="25">
        <v>1</v>
      </c>
      <c r="B139" s="12" t="s">
        <v>271</v>
      </c>
      <c r="C139" s="2" t="s">
        <v>272</v>
      </c>
      <c r="D139" s="8" t="s">
        <v>273</v>
      </c>
      <c r="E139" s="70">
        <f>'[4]Annual &amp; Monthly'!$H$44</f>
        <v>1352042.66666667</v>
      </c>
      <c r="F139" s="853">
        <v>1025768.33333333</v>
      </c>
      <c r="G139" s="70">
        <v>621843.66666666698</v>
      </c>
      <c r="H139" s="186">
        <f t="shared" ref="H139:H198" si="78">F139+G139</f>
        <v>1647612</v>
      </c>
      <c r="I139" s="186">
        <f t="shared" ref="I139:I198" si="79">H139-E139</f>
        <v>295569.33333333</v>
      </c>
      <c r="J139" s="860">
        <v>114857.60000000001</v>
      </c>
      <c r="K139" s="860">
        <f t="shared" ref="K139:K198" si="80">H139*0.08</f>
        <v>131808.95999999999</v>
      </c>
      <c r="L139" s="860">
        <f t="shared" ref="L139:L198" si="81">K139-J139</f>
        <v>16951.3599999998</v>
      </c>
      <c r="M139" s="860">
        <v>18254.974999999999</v>
      </c>
      <c r="N139" s="860">
        <f t="shared" ref="N139:N143" si="82">0.025*F139</f>
        <v>25644.208333333299</v>
      </c>
      <c r="O139" s="860">
        <f t="shared" ref="O139:O198" si="83">N139-M139</f>
        <v>7389.2333333332499</v>
      </c>
      <c r="P139" s="860">
        <f t="shared" ref="P139:P198" si="84">12*K139</f>
        <v>1581707.52</v>
      </c>
      <c r="Q139" s="860">
        <f t="shared" ref="Q139:Q198" si="85">N139*12</f>
        <v>307730.49999999901</v>
      </c>
    </row>
    <row r="140" spans="1:17" ht="20.100000000000001" customHeight="1" x14ac:dyDescent="0.2">
      <c r="A140" s="25">
        <v>2</v>
      </c>
      <c r="B140" s="12" t="s">
        <v>274</v>
      </c>
      <c r="C140" s="2" t="s">
        <v>275</v>
      </c>
      <c r="D140" s="14" t="s">
        <v>154</v>
      </c>
      <c r="E140" s="70">
        <v>762373.16666666698</v>
      </c>
      <c r="F140" s="853">
        <v>554669.5</v>
      </c>
      <c r="G140" s="186">
        <v>350637.25</v>
      </c>
      <c r="H140" s="186">
        <f t="shared" si="78"/>
        <v>905306.75</v>
      </c>
      <c r="I140" s="186">
        <f t="shared" si="79"/>
        <v>142933.58333333299</v>
      </c>
      <c r="J140" s="860">
        <v>60989.853333333303</v>
      </c>
      <c r="K140" s="860">
        <f t="shared" si="80"/>
        <v>72424.539999999994</v>
      </c>
      <c r="L140" s="860">
        <f t="shared" si="81"/>
        <v>11434.686666666699</v>
      </c>
      <c r="M140" s="860">
        <v>10293.3979166667</v>
      </c>
      <c r="N140" s="860">
        <f t="shared" si="82"/>
        <v>13866.737499999999</v>
      </c>
      <c r="O140" s="860">
        <f t="shared" si="83"/>
        <v>3573.3395833333002</v>
      </c>
      <c r="P140" s="860">
        <f t="shared" si="84"/>
        <v>869094.48</v>
      </c>
      <c r="Q140" s="860">
        <f t="shared" si="85"/>
        <v>166400.85</v>
      </c>
    </row>
    <row r="141" spans="1:17" ht="20.100000000000001" customHeight="1" x14ac:dyDescent="0.2">
      <c r="A141" s="25">
        <v>3</v>
      </c>
      <c r="B141" s="9" t="s">
        <v>276</v>
      </c>
      <c r="C141" s="10" t="s">
        <v>277</v>
      </c>
      <c r="D141" s="13" t="s">
        <v>49</v>
      </c>
      <c r="E141" s="70">
        <v>582118.08333333302</v>
      </c>
      <c r="F141" s="853">
        <v>432981.08333333302</v>
      </c>
      <c r="G141" s="186">
        <v>267732.83333333302</v>
      </c>
      <c r="H141" s="186">
        <f t="shared" si="78"/>
        <v>700713.91666666605</v>
      </c>
      <c r="I141" s="186">
        <f t="shared" si="79"/>
        <v>118595.83333333299</v>
      </c>
      <c r="J141" s="860">
        <v>46569.45</v>
      </c>
      <c r="K141" s="860">
        <f t="shared" si="80"/>
        <v>56057.113333333298</v>
      </c>
      <c r="L141" s="860">
        <f t="shared" si="81"/>
        <v>9487.6633333332902</v>
      </c>
      <c r="M141" s="860">
        <v>8380.2270833333296</v>
      </c>
      <c r="N141" s="860">
        <f t="shared" si="82"/>
        <v>10824.5270833333</v>
      </c>
      <c r="O141" s="860">
        <f t="shared" si="83"/>
        <v>2444.3000000000002</v>
      </c>
      <c r="P141" s="860">
        <f t="shared" si="84"/>
        <v>672685.35999999905</v>
      </c>
      <c r="Q141" s="860">
        <f t="shared" si="85"/>
        <v>129894.325</v>
      </c>
    </row>
    <row r="142" spans="1:17" ht="20.100000000000001" customHeight="1" x14ac:dyDescent="0.2">
      <c r="A142" s="25">
        <v>4</v>
      </c>
      <c r="B142" s="9" t="s">
        <v>278</v>
      </c>
      <c r="C142" s="2" t="s">
        <v>279</v>
      </c>
      <c r="D142" s="13" t="s">
        <v>49</v>
      </c>
      <c r="E142" s="70">
        <v>582119.08333333302</v>
      </c>
      <c r="F142" s="853">
        <v>432981.08333333302</v>
      </c>
      <c r="G142" s="186">
        <v>267732.83333333302</v>
      </c>
      <c r="H142" s="186">
        <f t="shared" si="78"/>
        <v>700713.91666666605</v>
      </c>
      <c r="I142" s="186">
        <f t="shared" si="79"/>
        <v>118594.83333333299</v>
      </c>
      <c r="J142" s="860">
        <v>46569.45</v>
      </c>
      <c r="K142" s="860">
        <f t="shared" si="80"/>
        <v>56057.113333333298</v>
      </c>
      <c r="L142" s="860">
        <f t="shared" si="81"/>
        <v>9487.6633333332902</v>
      </c>
      <c r="M142" s="860">
        <v>8381.2270833333296</v>
      </c>
      <c r="N142" s="860">
        <f t="shared" si="82"/>
        <v>10824.5270833333</v>
      </c>
      <c r="O142" s="860">
        <f t="shared" si="83"/>
        <v>2443.3000000000002</v>
      </c>
      <c r="P142" s="860">
        <f t="shared" si="84"/>
        <v>672685.35999999905</v>
      </c>
      <c r="Q142" s="860">
        <f t="shared" si="85"/>
        <v>129894.325</v>
      </c>
    </row>
    <row r="143" spans="1:17" ht="20.100000000000001" customHeight="1" x14ac:dyDescent="0.2">
      <c r="A143" s="25">
        <v>5</v>
      </c>
      <c r="B143" s="9" t="s">
        <v>280</v>
      </c>
      <c r="C143" s="2" t="s">
        <v>279</v>
      </c>
      <c r="D143" s="13" t="s">
        <v>49</v>
      </c>
      <c r="E143" s="70">
        <v>582120.08333333302</v>
      </c>
      <c r="F143" s="853">
        <v>432981.08333333302</v>
      </c>
      <c r="G143" s="186">
        <v>267732.83333333302</v>
      </c>
      <c r="H143" s="186">
        <f t="shared" si="78"/>
        <v>700713.91666666605</v>
      </c>
      <c r="I143" s="186">
        <f t="shared" si="79"/>
        <v>118593.83333333299</v>
      </c>
      <c r="J143" s="860">
        <v>46569.45</v>
      </c>
      <c r="K143" s="860">
        <f t="shared" si="80"/>
        <v>56057.113333333298</v>
      </c>
      <c r="L143" s="860">
        <f t="shared" si="81"/>
        <v>9487.6633333332902</v>
      </c>
      <c r="M143" s="860">
        <v>8382.2270833333296</v>
      </c>
      <c r="N143" s="860">
        <f t="shared" si="82"/>
        <v>10824.5270833333</v>
      </c>
      <c r="O143" s="860">
        <f t="shared" si="83"/>
        <v>2442.3000000000002</v>
      </c>
      <c r="P143" s="860">
        <f t="shared" si="84"/>
        <v>672685.35999999905</v>
      </c>
      <c r="Q143" s="860">
        <f t="shared" si="85"/>
        <v>129894.325</v>
      </c>
    </row>
    <row r="144" spans="1:17" ht="20.100000000000001" customHeight="1" x14ac:dyDescent="0.2">
      <c r="A144" s="25">
        <v>6</v>
      </c>
      <c r="B144" s="9" t="s">
        <v>281</v>
      </c>
      <c r="C144" s="10" t="s">
        <v>214</v>
      </c>
      <c r="D144" s="13" t="s">
        <v>159</v>
      </c>
      <c r="E144" s="70">
        <v>390248.91666666698</v>
      </c>
      <c r="F144" s="853">
        <v>311673.25</v>
      </c>
      <c r="G144" s="186">
        <v>185799.5</v>
      </c>
      <c r="H144" s="186">
        <f t="shared" si="78"/>
        <v>497472.75</v>
      </c>
      <c r="I144" s="186">
        <f t="shared" si="79"/>
        <v>107223.83333333299</v>
      </c>
      <c r="J144" s="860">
        <v>31219.91</v>
      </c>
      <c r="K144" s="860">
        <f t="shared" si="80"/>
        <v>39797.82</v>
      </c>
      <c r="L144" s="860">
        <f t="shared" si="81"/>
        <v>8577.91</v>
      </c>
      <c r="M144" s="860">
        <v>0</v>
      </c>
      <c r="N144" s="860"/>
      <c r="O144" s="860">
        <f t="shared" si="83"/>
        <v>0</v>
      </c>
      <c r="P144" s="860">
        <f t="shared" si="84"/>
        <v>477573.84</v>
      </c>
      <c r="Q144" s="860">
        <f t="shared" si="85"/>
        <v>0</v>
      </c>
    </row>
    <row r="145" spans="1:17" ht="20.100000000000001" customHeight="1" x14ac:dyDescent="0.2">
      <c r="A145" s="25">
        <v>7</v>
      </c>
      <c r="B145" s="9" t="s">
        <v>282</v>
      </c>
      <c r="C145" s="2" t="s">
        <v>491</v>
      </c>
      <c r="D145" s="13" t="s">
        <v>159</v>
      </c>
      <c r="E145" s="70">
        <v>390248.91666666698</v>
      </c>
      <c r="F145" s="853">
        <v>302987.41666666698</v>
      </c>
      <c r="G145" s="186">
        <v>179859.16666666701</v>
      </c>
      <c r="H145" s="186">
        <f t="shared" si="78"/>
        <v>482846.58333333401</v>
      </c>
      <c r="I145" s="186">
        <f t="shared" si="79"/>
        <v>92597.666666667006</v>
      </c>
      <c r="J145" s="860">
        <v>31219.91</v>
      </c>
      <c r="K145" s="860">
        <f t="shared" si="80"/>
        <v>38627.726666666698</v>
      </c>
      <c r="L145" s="860">
        <f t="shared" si="81"/>
        <v>7407.8166666667203</v>
      </c>
      <c r="M145" s="860">
        <v>0</v>
      </c>
      <c r="N145" s="860"/>
      <c r="O145" s="860">
        <f t="shared" si="83"/>
        <v>0</v>
      </c>
      <c r="P145" s="860">
        <f t="shared" si="84"/>
        <v>463532.72000000102</v>
      </c>
      <c r="Q145" s="860">
        <f t="shared" si="85"/>
        <v>0</v>
      </c>
    </row>
    <row r="146" spans="1:17" ht="20.100000000000001" customHeight="1" x14ac:dyDescent="0.2">
      <c r="A146" s="25">
        <v>8</v>
      </c>
      <c r="B146" s="9" t="s">
        <v>284</v>
      </c>
      <c r="C146" s="10" t="s">
        <v>285</v>
      </c>
      <c r="D146" s="13" t="s">
        <v>65</v>
      </c>
      <c r="E146" s="70">
        <v>390086.5</v>
      </c>
      <c r="F146" s="853">
        <v>302878.66666666698</v>
      </c>
      <c r="G146" s="186">
        <v>179784</v>
      </c>
      <c r="H146" s="186">
        <f t="shared" si="78"/>
        <v>482662.66666666698</v>
      </c>
      <c r="I146" s="186">
        <f t="shared" si="79"/>
        <v>92576.166666667006</v>
      </c>
      <c r="J146" s="860">
        <v>30231.613333333298</v>
      </c>
      <c r="K146" s="860">
        <f t="shared" si="80"/>
        <v>38613.013333333402</v>
      </c>
      <c r="L146" s="860">
        <f t="shared" si="81"/>
        <v>8381.4000000000597</v>
      </c>
      <c r="M146" s="860">
        <v>0</v>
      </c>
      <c r="N146" s="860"/>
      <c r="O146" s="860">
        <f t="shared" si="83"/>
        <v>0</v>
      </c>
      <c r="P146" s="860">
        <f t="shared" si="84"/>
        <v>463356.15999999997</v>
      </c>
      <c r="Q146" s="860">
        <f t="shared" si="85"/>
        <v>0</v>
      </c>
    </row>
    <row r="147" spans="1:17" ht="20.100000000000001" customHeight="1" x14ac:dyDescent="0.2">
      <c r="A147" s="25">
        <v>9</v>
      </c>
      <c r="B147" s="9" t="s">
        <v>286</v>
      </c>
      <c r="C147" s="10" t="s">
        <v>287</v>
      </c>
      <c r="D147" s="13" t="s">
        <v>162</v>
      </c>
      <c r="E147" s="70">
        <v>377895.16666666698</v>
      </c>
      <c r="F147" s="853">
        <v>294662.91666666698</v>
      </c>
      <c r="G147" s="186">
        <v>174165.25</v>
      </c>
      <c r="H147" s="186">
        <f t="shared" si="78"/>
        <v>468828.16666666698</v>
      </c>
      <c r="I147" s="186">
        <f t="shared" si="79"/>
        <v>90933</v>
      </c>
      <c r="J147" s="860">
        <v>29256.3066666667</v>
      </c>
      <c r="K147" s="860">
        <f t="shared" si="80"/>
        <v>37506.253333333399</v>
      </c>
      <c r="L147" s="860">
        <f t="shared" si="81"/>
        <v>8249.9466666666594</v>
      </c>
      <c r="M147" s="860">
        <v>4928.9333333333298</v>
      </c>
      <c r="N147" s="860">
        <f>0.025*F147</f>
        <v>7366.5729166666797</v>
      </c>
      <c r="O147" s="860">
        <f t="shared" si="83"/>
        <v>2437.6395833333499</v>
      </c>
      <c r="P147" s="860">
        <f t="shared" si="84"/>
        <v>450075.04</v>
      </c>
      <c r="Q147" s="860">
        <f t="shared" si="85"/>
        <v>88398.875000000102</v>
      </c>
    </row>
    <row r="148" spans="1:17" ht="20.100000000000001" customHeight="1" x14ac:dyDescent="0.2">
      <c r="A148" s="25">
        <v>10</v>
      </c>
      <c r="B148" s="16" t="s">
        <v>288</v>
      </c>
      <c r="C148" s="2" t="s">
        <v>289</v>
      </c>
      <c r="D148" s="13" t="s">
        <v>68</v>
      </c>
      <c r="E148" s="186">
        <v>365703.83333333302</v>
      </c>
      <c r="F148" s="853">
        <v>286447.08333333302</v>
      </c>
      <c r="G148" s="186">
        <v>168546.5</v>
      </c>
      <c r="H148" s="186">
        <f t="shared" si="78"/>
        <v>454993.58333333302</v>
      </c>
      <c r="I148" s="186">
        <f t="shared" si="79"/>
        <v>89289.75</v>
      </c>
      <c r="J148" s="860">
        <v>28281</v>
      </c>
      <c r="K148" s="860">
        <f t="shared" si="80"/>
        <v>36399.486666666598</v>
      </c>
      <c r="L148" s="860">
        <f t="shared" si="81"/>
        <v>8118.4866666666403</v>
      </c>
      <c r="M148" s="860">
        <v>0</v>
      </c>
      <c r="N148" s="860"/>
      <c r="O148" s="860">
        <f t="shared" si="83"/>
        <v>0</v>
      </c>
      <c r="P148" s="860">
        <f t="shared" si="84"/>
        <v>436793.84</v>
      </c>
      <c r="Q148" s="860">
        <f t="shared" si="85"/>
        <v>0</v>
      </c>
    </row>
    <row r="149" spans="1:17" ht="20.100000000000001" customHeight="1" x14ac:dyDescent="0.2">
      <c r="A149" s="25">
        <v>11</v>
      </c>
      <c r="B149" s="9" t="s">
        <v>290</v>
      </c>
      <c r="C149" s="2" t="s">
        <v>289</v>
      </c>
      <c r="D149" s="13" t="s">
        <v>137</v>
      </c>
      <c r="E149" s="186">
        <v>353512.5</v>
      </c>
      <c r="F149" s="853">
        <v>278231.25</v>
      </c>
      <c r="G149" s="186">
        <v>162927.75</v>
      </c>
      <c r="H149" s="186">
        <f t="shared" si="78"/>
        <v>441159</v>
      </c>
      <c r="I149" s="186">
        <f t="shared" si="79"/>
        <v>87646.5</v>
      </c>
      <c r="J149" s="860">
        <v>28281</v>
      </c>
      <c r="K149" s="860">
        <f t="shared" si="80"/>
        <v>35292.720000000001</v>
      </c>
      <c r="L149" s="860">
        <f t="shared" si="81"/>
        <v>7011.72</v>
      </c>
      <c r="M149" s="860">
        <v>0</v>
      </c>
      <c r="N149" s="860"/>
      <c r="O149" s="860">
        <f t="shared" si="83"/>
        <v>0</v>
      </c>
      <c r="P149" s="860">
        <f t="shared" si="84"/>
        <v>423512.64</v>
      </c>
      <c r="Q149" s="860">
        <f t="shared" si="85"/>
        <v>0</v>
      </c>
    </row>
    <row r="150" spans="1:17" ht="20.100000000000001" customHeight="1" x14ac:dyDescent="0.2">
      <c r="A150" s="25">
        <v>12</v>
      </c>
      <c r="B150" s="9" t="s">
        <v>291</v>
      </c>
      <c r="C150" s="2" t="s">
        <v>289</v>
      </c>
      <c r="D150" s="13" t="s">
        <v>137</v>
      </c>
      <c r="E150" s="186">
        <v>353512.5</v>
      </c>
      <c r="F150" s="853">
        <v>278231.25</v>
      </c>
      <c r="G150" s="186">
        <v>162927.75</v>
      </c>
      <c r="H150" s="186">
        <f t="shared" si="78"/>
        <v>441159</v>
      </c>
      <c r="I150" s="186">
        <f t="shared" si="79"/>
        <v>87646.5</v>
      </c>
      <c r="J150" s="860">
        <v>28281</v>
      </c>
      <c r="K150" s="860">
        <f t="shared" si="80"/>
        <v>35292.720000000001</v>
      </c>
      <c r="L150" s="860">
        <f t="shared" si="81"/>
        <v>7011.72</v>
      </c>
      <c r="M150" s="860">
        <v>4928.9333333333298</v>
      </c>
      <c r="N150" s="860">
        <f>0.025*F150</f>
        <v>6955.78125</v>
      </c>
      <c r="O150" s="860">
        <f t="shared" si="83"/>
        <v>2026.84791666667</v>
      </c>
      <c r="P150" s="860">
        <f t="shared" si="84"/>
        <v>423512.64</v>
      </c>
      <c r="Q150" s="860">
        <f t="shared" si="85"/>
        <v>83469.375</v>
      </c>
    </row>
    <row r="151" spans="1:17" ht="20.100000000000001" customHeight="1" x14ac:dyDescent="0.2">
      <c r="A151" s="25">
        <v>13</v>
      </c>
      <c r="B151" s="9" t="s">
        <v>293</v>
      </c>
      <c r="C151" s="2" t="s">
        <v>289</v>
      </c>
      <c r="D151" s="13" t="s">
        <v>68</v>
      </c>
      <c r="E151" s="186">
        <v>365703.83333333302</v>
      </c>
      <c r="F151" s="853">
        <v>286447.08333333302</v>
      </c>
      <c r="G151" s="186">
        <v>168546.5</v>
      </c>
      <c r="H151" s="186">
        <f t="shared" si="78"/>
        <v>454993.58333333302</v>
      </c>
      <c r="I151" s="186">
        <f t="shared" si="79"/>
        <v>89289.75</v>
      </c>
      <c r="J151" s="860">
        <v>28281</v>
      </c>
      <c r="K151" s="860">
        <f t="shared" si="80"/>
        <v>36399.486666666598</v>
      </c>
      <c r="L151" s="860">
        <f t="shared" si="81"/>
        <v>8118.4866666666403</v>
      </c>
      <c r="M151" s="860">
        <v>0</v>
      </c>
      <c r="N151" s="860"/>
      <c r="O151" s="860">
        <f t="shared" si="83"/>
        <v>0</v>
      </c>
      <c r="P151" s="860">
        <f t="shared" si="84"/>
        <v>436793.84</v>
      </c>
      <c r="Q151" s="860">
        <f t="shared" si="85"/>
        <v>0</v>
      </c>
    </row>
    <row r="152" spans="1:17" ht="20.100000000000001" customHeight="1" x14ac:dyDescent="0.2">
      <c r="A152" s="25">
        <v>14</v>
      </c>
      <c r="B152" s="9" t="s">
        <v>294</v>
      </c>
      <c r="C152" s="10" t="s">
        <v>295</v>
      </c>
      <c r="D152" s="13" t="s">
        <v>119</v>
      </c>
      <c r="E152" s="186">
        <v>308901.5</v>
      </c>
      <c r="F152" s="853">
        <v>246171.16666666701</v>
      </c>
      <c r="G152" s="186">
        <v>143964.66666666701</v>
      </c>
      <c r="H152" s="186">
        <f t="shared" si="78"/>
        <v>390135.83333333401</v>
      </c>
      <c r="I152" s="186">
        <f t="shared" si="79"/>
        <v>81234.333333333998</v>
      </c>
      <c r="J152" s="860">
        <v>24077.246666666699</v>
      </c>
      <c r="K152" s="860">
        <f t="shared" si="80"/>
        <v>31210.866666666701</v>
      </c>
      <c r="L152" s="860">
        <f t="shared" si="81"/>
        <v>7133.6200000000199</v>
      </c>
      <c r="M152" s="860">
        <v>0</v>
      </c>
      <c r="N152" s="860"/>
      <c r="O152" s="860">
        <f t="shared" si="83"/>
        <v>0</v>
      </c>
      <c r="P152" s="860">
        <f t="shared" si="84"/>
        <v>374530.40000000101</v>
      </c>
      <c r="Q152" s="860">
        <f t="shared" si="85"/>
        <v>0</v>
      </c>
    </row>
    <row r="153" spans="1:17" ht="20.100000000000001" customHeight="1" x14ac:dyDescent="0.2">
      <c r="A153" s="25">
        <v>15</v>
      </c>
      <c r="B153" s="9" t="s">
        <v>296</v>
      </c>
      <c r="C153" s="10" t="s">
        <v>297</v>
      </c>
      <c r="D153" s="8" t="s">
        <v>84</v>
      </c>
      <c r="E153" s="70">
        <v>270481.66666666698</v>
      </c>
      <c r="F153" s="853">
        <v>222674.58333333299</v>
      </c>
      <c r="G153" s="186">
        <v>124341.58333333299</v>
      </c>
      <c r="H153" s="186">
        <f t="shared" si="78"/>
        <v>347016.16666666599</v>
      </c>
      <c r="I153" s="186">
        <f t="shared" si="79"/>
        <v>76534.499999998996</v>
      </c>
      <c r="J153" s="860">
        <v>21053.226666666698</v>
      </c>
      <c r="K153" s="860">
        <f t="shared" si="80"/>
        <v>27761.293333333299</v>
      </c>
      <c r="L153" s="860">
        <f t="shared" si="81"/>
        <v>6708.0666666665802</v>
      </c>
      <c r="M153" s="860">
        <v>0</v>
      </c>
      <c r="N153" s="860"/>
      <c r="O153" s="860">
        <f t="shared" si="83"/>
        <v>0</v>
      </c>
      <c r="P153" s="860">
        <f t="shared" si="84"/>
        <v>333135.51999999903</v>
      </c>
      <c r="Q153" s="860">
        <f t="shared" si="85"/>
        <v>0</v>
      </c>
    </row>
    <row r="154" spans="1:17" ht="20.100000000000001" customHeight="1" x14ac:dyDescent="0.2">
      <c r="A154" s="25">
        <v>16</v>
      </c>
      <c r="B154" s="9" t="s">
        <v>298</v>
      </c>
      <c r="C154" s="10" t="s">
        <v>299</v>
      </c>
      <c r="D154" s="13" t="s">
        <v>300</v>
      </c>
      <c r="E154" s="186">
        <v>316837.41666666698</v>
      </c>
      <c r="F154" s="853">
        <v>308901.5</v>
      </c>
      <c r="G154" s="186">
        <v>147663.25</v>
      </c>
      <c r="H154" s="186">
        <f t="shared" si="78"/>
        <v>456564.75</v>
      </c>
      <c r="I154" s="186">
        <f t="shared" si="79"/>
        <v>139727.33333333299</v>
      </c>
      <c r="J154" s="860">
        <v>24712.12</v>
      </c>
      <c r="K154" s="860">
        <f t="shared" si="80"/>
        <v>36525.18</v>
      </c>
      <c r="L154" s="860">
        <f t="shared" si="81"/>
        <v>11813.06</v>
      </c>
      <c r="M154" s="860">
        <v>0</v>
      </c>
      <c r="N154" s="860"/>
      <c r="O154" s="860">
        <f t="shared" si="83"/>
        <v>0</v>
      </c>
      <c r="P154" s="860">
        <f t="shared" si="84"/>
        <v>438302.16</v>
      </c>
      <c r="Q154" s="860">
        <f t="shared" si="85"/>
        <v>0</v>
      </c>
    </row>
    <row r="155" spans="1:17" ht="20.100000000000001" customHeight="1" x14ac:dyDescent="0.2">
      <c r="A155" s="25">
        <v>17</v>
      </c>
      <c r="B155" s="9" t="s">
        <v>301</v>
      </c>
      <c r="C155" s="10" t="s">
        <v>302</v>
      </c>
      <c r="D155" s="13" t="s">
        <v>79</v>
      </c>
      <c r="E155" s="186">
        <v>277798</v>
      </c>
      <c r="F155" s="853">
        <v>227615.75</v>
      </c>
      <c r="G155" s="186">
        <v>127704.91666666701</v>
      </c>
      <c r="H155" s="186">
        <f t="shared" si="78"/>
        <v>355320.66666666698</v>
      </c>
      <c r="I155" s="186">
        <f t="shared" si="79"/>
        <v>77522.666666667006</v>
      </c>
      <c r="J155" s="860">
        <v>21638.5333333333</v>
      </c>
      <c r="K155" s="860">
        <f t="shared" si="80"/>
        <v>28425.653333333401</v>
      </c>
      <c r="L155" s="860">
        <f t="shared" si="81"/>
        <v>6787.1200000000599</v>
      </c>
      <c r="M155" s="860">
        <v>0</v>
      </c>
      <c r="N155" s="860"/>
      <c r="O155" s="860">
        <f t="shared" si="83"/>
        <v>0</v>
      </c>
      <c r="P155" s="860">
        <f t="shared" si="84"/>
        <v>341107.84</v>
      </c>
      <c r="Q155" s="860">
        <f t="shared" si="85"/>
        <v>0</v>
      </c>
    </row>
    <row r="156" spans="1:17" ht="20.100000000000001" customHeight="1" x14ac:dyDescent="0.2">
      <c r="A156" s="25">
        <v>18</v>
      </c>
      <c r="B156" s="9" t="s">
        <v>303</v>
      </c>
      <c r="C156" s="10" t="s">
        <v>304</v>
      </c>
      <c r="D156" s="13" t="s">
        <v>300</v>
      </c>
      <c r="E156" s="186">
        <v>316837.41666666698</v>
      </c>
      <c r="F156" s="853">
        <v>308901.5</v>
      </c>
      <c r="G156" s="186">
        <v>147663.25</v>
      </c>
      <c r="H156" s="186">
        <f t="shared" si="78"/>
        <v>456564.75</v>
      </c>
      <c r="I156" s="186">
        <f t="shared" si="79"/>
        <v>139727.33333333299</v>
      </c>
      <c r="J156" s="860">
        <v>24712.12</v>
      </c>
      <c r="K156" s="860">
        <f t="shared" si="80"/>
        <v>36525.18</v>
      </c>
      <c r="L156" s="860">
        <f t="shared" si="81"/>
        <v>11813.06</v>
      </c>
      <c r="M156" s="860">
        <v>4123.4208333333299</v>
      </c>
      <c r="N156" s="860">
        <f>0.025*F156</f>
        <v>7722.5375000000004</v>
      </c>
      <c r="O156" s="860">
        <f t="shared" si="83"/>
        <v>3599.11666666667</v>
      </c>
      <c r="P156" s="860">
        <f t="shared" si="84"/>
        <v>438302.16</v>
      </c>
      <c r="Q156" s="860">
        <f t="shared" si="85"/>
        <v>92670.45</v>
      </c>
    </row>
    <row r="157" spans="1:17" ht="20.100000000000001" customHeight="1" x14ac:dyDescent="0.2">
      <c r="A157" s="25">
        <v>19</v>
      </c>
      <c r="B157" s="9" t="s">
        <v>305</v>
      </c>
      <c r="C157" s="10" t="s">
        <v>306</v>
      </c>
      <c r="D157" s="13" t="s">
        <v>79</v>
      </c>
      <c r="E157" s="186">
        <v>277798</v>
      </c>
      <c r="F157" s="853">
        <v>227615.75</v>
      </c>
      <c r="G157" s="186">
        <v>127704.91666666701</v>
      </c>
      <c r="H157" s="186">
        <f t="shared" si="78"/>
        <v>355320.66666666698</v>
      </c>
      <c r="I157" s="186">
        <f t="shared" si="79"/>
        <v>77522.666666667006</v>
      </c>
      <c r="J157" s="860">
        <v>21638.5333333333</v>
      </c>
      <c r="K157" s="860">
        <f t="shared" si="80"/>
        <v>28425.653333333401</v>
      </c>
      <c r="L157" s="860">
        <f t="shared" si="81"/>
        <v>6787.1200000000599</v>
      </c>
      <c r="M157" s="860">
        <v>0</v>
      </c>
      <c r="N157" s="860"/>
      <c r="O157" s="860">
        <f t="shared" si="83"/>
        <v>0</v>
      </c>
      <c r="P157" s="860">
        <f t="shared" si="84"/>
        <v>341107.84</v>
      </c>
      <c r="Q157" s="860">
        <f t="shared" si="85"/>
        <v>0</v>
      </c>
    </row>
    <row r="158" spans="1:17" ht="20.100000000000001" customHeight="1" x14ac:dyDescent="0.2">
      <c r="A158" s="25">
        <v>20</v>
      </c>
      <c r="B158" s="16" t="s">
        <v>307</v>
      </c>
      <c r="C158" s="10" t="s">
        <v>308</v>
      </c>
      <c r="D158" s="13" t="s">
        <v>87</v>
      </c>
      <c r="E158" s="186">
        <v>263165.33333333302</v>
      </c>
      <c r="F158" s="853">
        <v>217733.41666666701</v>
      </c>
      <c r="G158" s="186">
        <v>120978.25</v>
      </c>
      <c r="H158" s="186">
        <f t="shared" si="78"/>
        <v>338711.66666666698</v>
      </c>
      <c r="I158" s="186">
        <f t="shared" si="79"/>
        <v>75546.333333333998</v>
      </c>
      <c r="J158" s="860">
        <v>20467.919999999998</v>
      </c>
      <c r="K158" s="860">
        <f t="shared" si="80"/>
        <v>27096.9333333334</v>
      </c>
      <c r="L158" s="860">
        <f t="shared" si="81"/>
        <v>6629.0133333333597</v>
      </c>
      <c r="M158" s="860">
        <v>0</v>
      </c>
      <c r="N158" s="860"/>
      <c r="O158" s="860">
        <f t="shared" si="83"/>
        <v>0</v>
      </c>
      <c r="P158" s="860">
        <f t="shared" si="84"/>
        <v>325163.2</v>
      </c>
      <c r="Q158" s="860">
        <f t="shared" si="85"/>
        <v>0</v>
      </c>
    </row>
    <row r="159" spans="1:17" ht="20.100000000000001" customHeight="1" x14ac:dyDescent="0.2">
      <c r="A159" s="25">
        <v>21</v>
      </c>
      <c r="B159" s="16" t="s">
        <v>309</v>
      </c>
      <c r="C159" s="10" t="s">
        <v>308</v>
      </c>
      <c r="D159" s="13" t="s">
        <v>87</v>
      </c>
      <c r="E159" s="186">
        <v>263165.33333333302</v>
      </c>
      <c r="F159" s="853">
        <v>217733.41666666701</v>
      </c>
      <c r="G159" s="186">
        <v>120978.25</v>
      </c>
      <c r="H159" s="186">
        <f t="shared" si="78"/>
        <v>338711.66666666698</v>
      </c>
      <c r="I159" s="186">
        <f t="shared" si="79"/>
        <v>75546.333333333998</v>
      </c>
      <c r="J159" s="860">
        <v>20467.919999999998</v>
      </c>
      <c r="K159" s="860">
        <f t="shared" si="80"/>
        <v>27096.9333333334</v>
      </c>
      <c r="L159" s="860">
        <f t="shared" si="81"/>
        <v>6629.0133333333597</v>
      </c>
      <c r="M159" s="860">
        <v>0</v>
      </c>
      <c r="N159" s="860"/>
      <c r="O159" s="860">
        <f t="shared" si="83"/>
        <v>0</v>
      </c>
      <c r="P159" s="860">
        <f t="shared" si="84"/>
        <v>325163.2</v>
      </c>
      <c r="Q159" s="860">
        <f t="shared" si="85"/>
        <v>0</v>
      </c>
    </row>
    <row r="160" spans="1:17" ht="20.100000000000001" customHeight="1" x14ac:dyDescent="0.2">
      <c r="A160" s="25">
        <v>22</v>
      </c>
      <c r="B160" s="16" t="s">
        <v>312</v>
      </c>
      <c r="C160" s="10" t="s">
        <v>313</v>
      </c>
      <c r="D160" s="13" t="s">
        <v>102</v>
      </c>
      <c r="E160" s="70">
        <v>230631.91666666701</v>
      </c>
      <c r="F160" s="853">
        <v>196364.41666666701</v>
      </c>
      <c r="G160" s="186">
        <v>105546.33333333299</v>
      </c>
      <c r="H160" s="186">
        <f t="shared" si="78"/>
        <v>301910.75</v>
      </c>
      <c r="I160" s="186">
        <f t="shared" si="79"/>
        <v>71278.833333332994</v>
      </c>
      <c r="J160" s="860">
        <v>17956.78</v>
      </c>
      <c r="K160" s="860">
        <f t="shared" si="80"/>
        <v>24152.86</v>
      </c>
      <c r="L160" s="860">
        <f t="shared" si="81"/>
        <v>6196.08</v>
      </c>
      <c r="M160" s="860">
        <v>0</v>
      </c>
      <c r="N160" s="860"/>
      <c r="O160" s="860">
        <f t="shared" si="83"/>
        <v>0</v>
      </c>
      <c r="P160" s="860">
        <f t="shared" si="84"/>
        <v>289834.32</v>
      </c>
      <c r="Q160" s="860">
        <f t="shared" si="85"/>
        <v>0</v>
      </c>
    </row>
    <row r="161" spans="1:17" ht="20.100000000000001" customHeight="1" x14ac:dyDescent="0.2">
      <c r="A161" s="25">
        <v>23</v>
      </c>
      <c r="B161" s="16" t="s">
        <v>314</v>
      </c>
      <c r="C161" s="10" t="s">
        <v>315</v>
      </c>
      <c r="D161" s="13" t="s">
        <v>102</v>
      </c>
      <c r="E161" s="70">
        <v>230631.91666666701</v>
      </c>
      <c r="F161" s="853">
        <v>196364.41666666701</v>
      </c>
      <c r="G161" s="186">
        <v>105546.33333333299</v>
      </c>
      <c r="H161" s="186">
        <f t="shared" si="78"/>
        <v>301910.75</v>
      </c>
      <c r="I161" s="186">
        <f t="shared" si="79"/>
        <v>71278.833333332994</v>
      </c>
      <c r="J161" s="860">
        <v>17956.78</v>
      </c>
      <c r="K161" s="860">
        <f t="shared" si="80"/>
        <v>24152.86</v>
      </c>
      <c r="L161" s="860">
        <f t="shared" si="81"/>
        <v>6196.08</v>
      </c>
      <c r="M161" s="860">
        <v>0</v>
      </c>
      <c r="N161" s="860"/>
      <c r="O161" s="860">
        <f t="shared" si="83"/>
        <v>0</v>
      </c>
      <c r="P161" s="860">
        <f t="shared" si="84"/>
        <v>289834.32</v>
      </c>
      <c r="Q161" s="860">
        <f t="shared" si="85"/>
        <v>0</v>
      </c>
    </row>
    <row r="162" spans="1:17" ht="20.100000000000001" customHeight="1" x14ac:dyDescent="0.2">
      <c r="A162" s="25">
        <v>24</v>
      </c>
      <c r="B162" s="16" t="s">
        <v>316</v>
      </c>
      <c r="C162" s="10" t="s">
        <v>317</v>
      </c>
      <c r="D162" s="13" t="s">
        <v>102</v>
      </c>
      <c r="E162" s="70">
        <v>230631.91666666701</v>
      </c>
      <c r="F162" s="853">
        <v>196364.41666666701</v>
      </c>
      <c r="G162" s="186">
        <v>105546.33333333299</v>
      </c>
      <c r="H162" s="186">
        <f t="shared" si="78"/>
        <v>301910.75</v>
      </c>
      <c r="I162" s="186">
        <f t="shared" si="79"/>
        <v>71278.833333332994</v>
      </c>
      <c r="J162" s="860">
        <v>17956.78</v>
      </c>
      <c r="K162" s="860">
        <f t="shared" si="80"/>
        <v>24152.86</v>
      </c>
      <c r="L162" s="860">
        <f t="shared" si="81"/>
        <v>6196.08</v>
      </c>
      <c r="M162" s="860">
        <v>0</v>
      </c>
      <c r="N162" s="860"/>
      <c r="O162" s="860">
        <f t="shared" si="83"/>
        <v>0</v>
      </c>
      <c r="P162" s="860">
        <f t="shared" si="84"/>
        <v>289834.32</v>
      </c>
      <c r="Q162" s="860">
        <f t="shared" si="85"/>
        <v>0</v>
      </c>
    </row>
    <row r="163" spans="1:17" ht="20.100000000000001" customHeight="1" x14ac:dyDescent="0.2">
      <c r="A163" s="25">
        <v>25</v>
      </c>
      <c r="B163" s="16" t="s">
        <v>318</v>
      </c>
      <c r="C163" s="10" t="s">
        <v>319</v>
      </c>
      <c r="D163" s="13" t="s">
        <v>206</v>
      </c>
      <c r="E163" s="70">
        <v>236804.08333333299</v>
      </c>
      <c r="F163" s="853">
        <v>200549.41666666701</v>
      </c>
      <c r="G163" s="186">
        <v>108371.25</v>
      </c>
      <c r="H163" s="186">
        <f t="shared" si="78"/>
        <v>308920.66666666698</v>
      </c>
      <c r="I163" s="186">
        <f t="shared" si="79"/>
        <v>72116.583333333998</v>
      </c>
      <c r="J163" s="860">
        <v>18450.553333333301</v>
      </c>
      <c r="K163" s="860">
        <f t="shared" si="80"/>
        <v>24713.653333333401</v>
      </c>
      <c r="L163" s="860">
        <f t="shared" si="81"/>
        <v>6263.1000000000604</v>
      </c>
      <c r="M163" s="860">
        <v>0</v>
      </c>
      <c r="N163" s="860"/>
      <c r="O163" s="860">
        <f t="shared" si="83"/>
        <v>0</v>
      </c>
      <c r="P163" s="860">
        <f t="shared" si="84"/>
        <v>296563.84000000003</v>
      </c>
      <c r="Q163" s="860">
        <f t="shared" si="85"/>
        <v>0</v>
      </c>
    </row>
    <row r="164" spans="1:17" ht="20.100000000000001" customHeight="1" x14ac:dyDescent="0.2">
      <c r="A164" s="25">
        <v>26</v>
      </c>
      <c r="B164" s="16" t="s">
        <v>320</v>
      </c>
      <c r="C164" s="10" t="s">
        <v>315</v>
      </c>
      <c r="D164" s="13" t="s">
        <v>102</v>
      </c>
      <c r="E164" s="70">
        <v>230631.91666666701</v>
      </c>
      <c r="F164" s="853">
        <v>196364.41666666701</v>
      </c>
      <c r="G164" s="186">
        <v>105546.33333333299</v>
      </c>
      <c r="H164" s="186">
        <f t="shared" si="78"/>
        <v>301910.75</v>
      </c>
      <c r="I164" s="186">
        <f t="shared" si="79"/>
        <v>71278.833333332994</v>
      </c>
      <c r="J164" s="860">
        <v>17956.78</v>
      </c>
      <c r="K164" s="860">
        <f t="shared" si="80"/>
        <v>24152.86</v>
      </c>
      <c r="L164" s="860">
        <f t="shared" si="81"/>
        <v>6196.08</v>
      </c>
      <c r="M164" s="860">
        <v>0</v>
      </c>
      <c r="N164" s="860"/>
      <c r="O164" s="860">
        <f t="shared" si="83"/>
        <v>0</v>
      </c>
      <c r="P164" s="860">
        <f t="shared" si="84"/>
        <v>289834.32</v>
      </c>
      <c r="Q164" s="860">
        <f t="shared" si="85"/>
        <v>0</v>
      </c>
    </row>
    <row r="165" spans="1:17" ht="20.100000000000001" customHeight="1" x14ac:dyDescent="0.2">
      <c r="A165" s="25">
        <v>27</v>
      </c>
      <c r="B165" s="16" t="s">
        <v>321</v>
      </c>
      <c r="C165" s="10" t="s">
        <v>322</v>
      </c>
      <c r="D165" s="13" t="s">
        <v>105</v>
      </c>
      <c r="E165" s="630">
        <v>224459.75</v>
      </c>
      <c r="F165" s="853">
        <v>192179.41666666701</v>
      </c>
      <c r="G165" s="186">
        <v>102721.41666666701</v>
      </c>
      <c r="H165" s="186">
        <f t="shared" si="78"/>
        <v>294900.83333333401</v>
      </c>
      <c r="I165" s="186">
        <f t="shared" si="79"/>
        <v>70441.083333333998</v>
      </c>
      <c r="J165" s="860">
        <v>17463.006666666599</v>
      </c>
      <c r="K165" s="860">
        <f t="shared" si="80"/>
        <v>23592.066666666698</v>
      </c>
      <c r="L165" s="860">
        <f t="shared" si="81"/>
        <v>6129.0600000001205</v>
      </c>
      <c r="M165" s="860"/>
      <c r="N165" s="860"/>
      <c r="O165" s="860">
        <f t="shared" si="83"/>
        <v>0</v>
      </c>
      <c r="P165" s="860">
        <f t="shared" si="84"/>
        <v>283104.80000000098</v>
      </c>
      <c r="Q165" s="860">
        <f t="shared" si="85"/>
        <v>0</v>
      </c>
    </row>
    <row r="166" spans="1:17" ht="20.100000000000001" customHeight="1" x14ac:dyDescent="0.2">
      <c r="A166" s="25">
        <v>28</v>
      </c>
      <c r="B166" s="16" t="s">
        <v>323</v>
      </c>
      <c r="C166" s="10" t="s">
        <v>322</v>
      </c>
      <c r="D166" s="13" t="s">
        <v>105</v>
      </c>
      <c r="E166" s="630">
        <v>224459.75</v>
      </c>
      <c r="F166" s="853">
        <v>192179.41666666701</v>
      </c>
      <c r="G166" s="186">
        <v>102721.41666666701</v>
      </c>
      <c r="H166" s="186">
        <f t="shared" si="78"/>
        <v>294900.83333333401</v>
      </c>
      <c r="I166" s="186">
        <f t="shared" si="79"/>
        <v>70441.083333333998</v>
      </c>
      <c r="J166" s="860">
        <v>17463.006666666599</v>
      </c>
      <c r="K166" s="860">
        <f t="shared" si="80"/>
        <v>23592.066666666698</v>
      </c>
      <c r="L166" s="860">
        <f t="shared" si="81"/>
        <v>6129.0600000001205</v>
      </c>
      <c r="M166" s="860"/>
      <c r="N166" s="860"/>
      <c r="O166" s="860">
        <f t="shared" si="83"/>
        <v>0</v>
      </c>
      <c r="P166" s="860">
        <f t="shared" si="84"/>
        <v>283104.80000000098</v>
      </c>
      <c r="Q166" s="860">
        <f t="shared" si="85"/>
        <v>0</v>
      </c>
    </row>
    <row r="167" spans="1:17" ht="20.100000000000001" customHeight="1" x14ac:dyDescent="0.2">
      <c r="A167" s="25">
        <v>29</v>
      </c>
      <c r="B167" s="9" t="s">
        <v>329</v>
      </c>
      <c r="C167" s="10" t="s">
        <v>330</v>
      </c>
      <c r="D167" s="13" t="s">
        <v>331</v>
      </c>
      <c r="E167" s="192">
        <v>173859.5</v>
      </c>
      <c r="F167" s="865">
        <v>159288.58333333299</v>
      </c>
      <c r="G167" s="186">
        <v>78428.583333333299</v>
      </c>
      <c r="H167" s="186">
        <f t="shared" si="78"/>
        <v>237717.16666666599</v>
      </c>
      <c r="I167" s="186">
        <f t="shared" si="79"/>
        <v>63857.6666666663</v>
      </c>
      <c r="J167" s="860">
        <v>13487.8533333333</v>
      </c>
      <c r="K167" s="860">
        <f t="shared" si="80"/>
        <v>19017.3733333333</v>
      </c>
      <c r="L167" s="860">
        <f t="shared" si="81"/>
        <v>5529.52</v>
      </c>
      <c r="M167" s="860">
        <v>2313.5749999999998</v>
      </c>
      <c r="N167" s="860">
        <f>0.025*F167</f>
        <v>3982.2145833333302</v>
      </c>
      <c r="O167" s="860">
        <f t="shared" si="83"/>
        <v>1668.6395833333299</v>
      </c>
      <c r="P167" s="860">
        <f t="shared" si="84"/>
        <v>228208.48</v>
      </c>
      <c r="Q167" s="860">
        <f t="shared" si="85"/>
        <v>47786.574999999903</v>
      </c>
    </row>
    <row r="168" spans="1:17" ht="20.100000000000001" customHeight="1" x14ac:dyDescent="0.2">
      <c r="A168" s="25">
        <v>30</v>
      </c>
      <c r="B168" s="9" t="s">
        <v>332</v>
      </c>
      <c r="C168" s="10" t="s">
        <v>330</v>
      </c>
      <c r="D168" s="13" t="s">
        <v>331</v>
      </c>
      <c r="E168" s="192">
        <v>173859.5</v>
      </c>
      <c r="F168" s="865">
        <v>159288.58333333299</v>
      </c>
      <c r="G168" s="186">
        <v>78428.583333333299</v>
      </c>
      <c r="H168" s="186">
        <f t="shared" si="78"/>
        <v>237717.16666666599</v>
      </c>
      <c r="I168" s="186">
        <f t="shared" si="79"/>
        <v>63857.6666666663</v>
      </c>
      <c r="J168" s="860">
        <v>13487.8533333333</v>
      </c>
      <c r="K168" s="860">
        <f t="shared" si="80"/>
        <v>19017.3733333333</v>
      </c>
      <c r="L168" s="860">
        <f t="shared" si="81"/>
        <v>5529.52</v>
      </c>
      <c r="M168" s="860">
        <v>0</v>
      </c>
      <c r="N168" s="860"/>
      <c r="O168" s="860">
        <f t="shared" si="83"/>
        <v>0</v>
      </c>
      <c r="P168" s="860">
        <f t="shared" si="84"/>
        <v>228208.48</v>
      </c>
      <c r="Q168" s="860">
        <f t="shared" si="85"/>
        <v>0</v>
      </c>
    </row>
    <row r="169" spans="1:17" ht="20.100000000000001" customHeight="1" x14ac:dyDescent="0.2">
      <c r="A169" s="25">
        <v>31</v>
      </c>
      <c r="B169" s="9" t="s">
        <v>333</v>
      </c>
      <c r="C169" s="10" t="s">
        <v>330</v>
      </c>
      <c r="D169" s="13" t="s">
        <v>331</v>
      </c>
      <c r="E169" s="192">
        <v>173859.5</v>
      </c>
      <c r="F169" s="865">
        <v>159288.58333333299</v>
      </c>
      <c r="G169" s="186">
        <v>78428.583333333299</v>
      </c>
      <c r="H169" s="186">
        <f t="shared" si="78"/>
        <v>237717.16666666599</v>
      </c>
      <c r="I169" s="186">
        <f t="shared" si="79"/>
        <v>63857.6666666663</v>
      </c>
      <c r="J169" s="860">
        <v>13487.8533333333</v>
      </c>
      <c r="K169" s="860">
        <f t="shared" si="80"/>
        <v>19017.3733333333</v>
      </c>
      <c r="L169" s="860">
        <f t="shared" si="81"/>
        <v>5529.52</v>
      </c>
      <c r="M169" s="860">
        <v>0</v>
      </c>
      <c r="N169" s="860"/>
      <c r="O169" s="860">
        <f t="shared" si="83"/>
        <v>0</v>
      </c>
      <c r="P169" s="860">
        <f t="shared" si="84"/>
        <v>228208.48</v>
      </c>
      <c r="Q169" s="860">
        <f t="shared" si="85"/>
        <v>0</v>
      </c>
    </row>
    <row r="170" spans="1:17" ht="20.100000000000001" customHeight="1" x14ac:dyDescent="0.2">
      <c r="A170" s="25">
        <v>32</v>
      </c>
      <c r="B170" s="9" t="s">
        <v>334</v>
      </c>
      <c r="C170" s="10" t="s">
        <v>330</v>
      </c>
      <c r="D170" s="13" t="s">
        <v>331</v>
      </c>
      <c r="E170" s="192">
        <v>173859.5</v>
      </c>
      <c r="F170" s="865">
        <v>159288.58333333299</v>
      </c>
      <c r="G170" s="186">
        <v>78428.583333333299</v>
      </c>
      <c r="H170" s="186">
        <f t="shared" si="78"/>
        <v>237717.16666666599</v>
      </c>
      <c r="I170" s="186">
        <f t="shared" si="79"/>
        <v>63857.6666666663</v>
      </c>
      <c r="J170" s="860">
        <v>13487.8533333333</v>
      </c>
      <c r="K170" s="860">
        <f t="shared" si="80"/>
        <v>19017.3733333333</v>
      </c>
      <c r="L170" s="860">
        <f t="shared" si="81"/>
        <v>5529.52</v>
      </c>
      <c r="M170" s="860">
        <v>2313.5749999999998</v>
      </c>
      <c r="N170" s="860">
        <v>3982.2145833333302</v>
      </c>
      <c r="O170" s="860">
        <f t="shared" si="83"/>
        <v>1668.6395833333299</v>
      </c>
      <c r="P170" s="860">
        <f t="shared" si="84"/>
        <v>228208.48</v>
      </c>
      <c r="Q170" s="860">
        <f t="shared" si="85"/>
        <v>47786.574999999997</v>
      </c>
    </row>
    <row r="171" spans="1:17" ht="20.100000000000001" customHeight="1" x14ac:dyDescent="0.2">
      <c r="A171" s="25">
        <v>33</v>
      </c>
      <c r="B171" s="9" t="s">
        <v>335</v>
      </c>
      <c r="C171" s="10" t="s">
        <v>330</v>
      </c>
      <c r="D171" s="13" t="s">
        <v>331</v>
      </c>
      <c r="E171" s="192">
        <v>173859.5</v>
      </c>
      <c r="F171" s="865">
        <v>159288.58333333299</v>
      </c>
      <c r="G171" s="186">
        <v>78428.583333333299</v>
      </c>
      <c r="H171" s="186">
        <f t="shared" si="78"/>
        <v>237717.16666666599</v>
      </c>
      <c r="I171" s="186">
        <f t="shared" si="79"/>
        <v>63857.6666666663</v>
      </c>
      <c r="J171" s="860">
        <v>13487.8533333333</v>
      </c>
      <c r="K171" s="860">
        <f t="shared" si="80"/>
        <v>19017.3733333333</v>
      </c>
      <c r="L171" s="860">
        <f t="shared" si="81"/>
        <v>5529.52</v>
      </c>
      <c r="M171" s="860"/>
      <c r="N171" s="860"/>
      <c r="O171" s="860">
        <f t="shared" si="83"/>
        <v>0</v>
      </c>
      <c r="P171" s="860">
        <f t="shared" si="84"/>
        <v>228208.48</v>
      </c>
      <c r="Q171" s="860">
        <f t="shared" si="85"/>
        <v>0</v>
      </c>
    </row>
    <row r="172" spans="1:17" ht="20.100000000000001" customHeight="1" x14ac:dyDescent="0.2">
      <c r="A172" s="25">
        <v>34</v>
      </c>
      <c r="B172" s="9" t="s">
        <v>336</v>
      </c>
      <c r="C172" s="10" t="s">
        <v>330</v>
      </c>
      <c r="D172" s="13" t="s">
        <v>337</v>
      </c>
      <c r="E172" s="192">
        <v>168598.16666666701</v>
      </c>
      <c r="F172" s="865">
        <v>155678.66666666701</v>
      </c>
      <c r="G172" s="186">
        <v>76055.166666666701</v>
      </c>
      <c r="H172" s="186">
        <f t="shared" si="78"/>
        <v>231733.83333333401</v>
      </c>
      <c r="I172" s="186">
        <f t="shared" si="79"/>
        <v>63135.666666666701</v>
      </c>
      <c r="J172" s="860">
        <v>13066.946666666699</v>
      </c>
      <c r="K172" s="860">
        <f t="shared" si="80"/>
        <v>18538.706666666701</v>
      </c>
      <c r="L172" s="860">
        <f t="shared" si="81"/>
        <v>5471.76</v>
      </c>
      <c r="M172" s="860"/>
      <c r="N172" s="860"/>
      <c r="O172" s="860">
        <f t="shared" si="83"/>
        <v>0</v>
      </c>
      <c r="P172" s="860">
        <f t="shared" si="84"/>
        <v>222464.48</v>
      </c>
      <c r="Q172" s="860">
        <f t="shared" si="85"/>
        <v>0</v>
      </c>
    </row>
    <row r="173" spans="1:17" ht="20.100000000000001" customHeight="1" x14ac:dyDescent="0.2">
      <c r="A173" s="25">
        <v>35</v>
      </c>
      <c r="B173" s="9" t="s">
        <v>338</v>
      </c>
      <c r="C173" s="10" t="s">
        <v>330</v>
      </c>
      <c r="D173" s="13" t="s">
        <v>337</v>
      </c>
      <c r="E173" s="192">
        <v>168598.16666666701</v>
      </c>
      <c r="F173" s="865">
        <v>155678.66666666701</v>
      </c>
      <c r="G173" s="186">
        <v>76055.166666666701</v>
      </c>
      <c r="H173" s="186">
        <f t="shared" si="78"/>
        <v>231733.83333333401</v>
      </c>
      <c r="I173" s="186">
        <f t="shared" si="79"/>
        <v>63135.666666666701</v>
      </c>
      <c r="J173" s="860">
        <v>13066.946666666699</v>
      </c>
      <c r="K173" s="860">
        <f t="shared" si="80"/>
        <v>18538.706666666701</v>
      </c>
      <c r="L173" s="860">
        <f t="shared" si="81"/>
        <v>5471.76</v>
      </c>
      <c r="M173" s="860"/>
      <c r="N173" s="860"/>
      <c r="O173" s="860">
        <f t="shared" si="83"/>
        <v>0</v>
      </c>
      <c r="P173" s="860">
        <f t="shared" si="84"/>
        <v>222464.48</v>
      </c>
      <c r="Q173" s="860">
        <f t="shared" si="85"/>
        <v>0</v>
      </c>
    </row>
    <row r="174" spans="1:17" ht="20.100000000000001" customHeight="1" x14ac:dyDescent="0.2">
      <c r="A174" s="25">
        <v>36</v>
      </c>
      <c r="B174" s="12" t="s">
        <v>339</v>
      </c>
      <c r="C174" s="10" t="s">
        <v>330</v>
      </c>
      <c r="D174" s="13" t="s">
        <v>337</v>
      </c>
      <c r="E174" s="192">
        <v>168598.16666666701</v>
      </c>
      <c r="F174" s="865">
        <v>155678.66666666701</v>
      </c>
      <c r="G174" s="186">
        <v>76055.166666666701</v>
      </c>
      <c r="H174" s="186">
        <f t="shared" si="78"/>
        <v>231733.83333333401</v>
      </c>
      <c r="I174" s="186">
        <f t="shared" si="79"/>
        <v>63135.666666666701</v>
      </c>
      <c r="J174" s="860">
        <v>13066.946666666699</v>
      </c>
      <c r="K174" s="860">
        <f t="shared" si="80"/>
        <v>18538.706666666701</v>
      </c>
      <c r="L174" s="860">
        <f t="shared" si="81"/>
        <v>5471.76</v>
      </c>
      <c r="M174" s="860"/>
      <c r="N174" s="860"/>
      <c r="O174" s="860">
        <f t="shared" si="83"/>
        <v>0</v>
      </c>
      <c r="P174" s="860">
        <f t="shared" si="84"/>
        <v>222464.48</v>
      </c>
      <c r="Q174" s="860">
        <f t="shared" si="85"/>
        <v>0</v>
      </c>
    </row>
    <row r="175" spans="1:17" ht="20.100000000000001" customHeight="1" x14ac:dyDescent="0.2">
      <c r="A175" s="25">
        <v>37</v>
      </c>
      <c r="B175" s="9" t="s">
        <v>340</v>
      </c>
      <c r="C175" s="10" t="s">
        <v>330</v>
      </c>
      <c r="D175" s="13" t="s">
        <v>337</v>
      </c>
      <c r="E175" s="192">
        <v>168598.16666666701</v>
      </c>
      <c r="F175" s="865">
        <v>155678.66666666701</v>
      </c>
      <c r="G175" s="186">
        <v>76055.166666666701</v>
      </c>
      <c r="H175" s="186">
        <f t="shared" si="78"/>
        <v>231733.83333333401</v>
      </c>
      <c r="I175" s="186">
        <f t="shared" si="79"/>
        <v>63135.666666666701</v>
      </c>
      <c r="J175" s="860">
        <v>13066.946666666699</v>
      </c>
      <c r="K175" s="860">
        <f t="shared" si="80"/>
        <v>18538.706666666701</v>
      </c>
      <c r="L175" s="860">
        <f t="shared" si="81"/>
        <v>5471.76</v>
      </c>
      <c r="M175" s="860"/>
      <c r="N175" s="860"/>
      <c r="O175" s="860">
        <f t="shared" si="83"/>
        <v>0</v>
      </c>
      <c r="P175" s="860">
        <f t="shared" si="84"/>
        <v>222464.48</v>
      </c>
      <c r="Q175" s="860">
        <f t="shared" si="85"/>
        <v>0</v>
      </c>
    </row>
    <row r="176" spans="1:17" ht="20.100000000000001" customHeight="1" x14ac:dyDescent="0.2">
      <c r="A176" s="25">
        <v>38</v>
      </c>
      <c r="B176" s="16" t="s">
        <v>341</v>
      </c>
      <c r="C176" s="10" t="s">
        <v>330</v>
      </c>
      <c r="D176" s="13" t="s">
        <v>337</v>
      </c>
      <c r="E176" s="192">
        <v>168598.16666666701</v>
      </c>
      <c r="F176" s="865">
        <v>155678.66666666701</v>
      </c>
      <c r="G176" s="186">
        <v>76055.166666666701</v>
      </c>
      <c r="H176" s="186">
        <f t="shared" si="78"/>
        <v>231733.83333333401</v>
      </c>
      <c r="I176" s="186">
        <f t="shared" si="79"/>
        <v>63135.666666666701</v>
      </c>
      <c r="J176" s="860">
        <v>13066.946666666699</v>
      </c>
      <c r="K176" s="860">
        <f t="shared" si="80"/>
        <v>18538.706666666701</v>
      </c>
      <c r="L176" s="860">
        <f t="shared" si="81"/>
        <v>5471.76</v>
      </c>
      <c r="M176" s="860"/>
      <c r="N176" s="860"/>
      <c r="O176" s="860">
        <f t="shared" si="83"/>
        <v>0</v>
      </c>
      <c r="P176" s="860">
        <f t="shared" si="84"/>
        <v>222464.48</v>
      </c>
      <c r="Q176" s="860">
        <f t="shared" si="85"/>
        <v>0</v>
      </c>
    </row>
    <row r="177" spans="1:17" ht="20.100000000000001" customHeight="1" x14ac:dyDescent="0.2">
      <c r="A177" s="25">
        <v>39</v>
      </c>
      <c r="B177" s="16" t="s">
        <v>342</v>
      </c>
      <c r="C177" s="10" t="s">
        <v>330</v>
      </c>
      <c r="D177" s="13" t="s">
        <v>337</v>
      </c>
      <c r="E177" s="192">
        <v>168598.16666666701</v>
      </c>
      <c r="F177" s="865">
        <v>155678.66666666701</v>
      </c>
      <c r="G177" s="186">
        <v>76055.166666666701</v>
      </c>
      <c r="H177" s="186">
        <f t="shared" si="78"/>
        <v>231733.83333333401</v>
      </c>
      <c r="I177" s="186">
        <f t="shared" si="79"/>
        <v>63135.666666666701</v>
      </c>
      <c r="J177" s="860">
        <v>13066.946666666699</v>
      </c>
      <c r="K177" s="860">
        <f t="shared" si="80"/>
        <v>18538.706666666701</v>
      </c>
      <c r="L177" s="860">
        <f t="shared" si="81"/>
        <v>5471.76</v>
      </c>
      <c r="M177" s="860"/>
      <c r="N177" s="860"/>
      <c r="O177" s="860">
        <f t="shared" si="83"/>
        <v>0</v>
      </c>
      <c r="P177" s="860">
        <f t="shared" si="84"/>
        <v>222464.48</v>
      </c>
      <c r="Q177" s="860">
        <f t="shared" si="85"/>
        <v>0</v>
      </c>
    </row>
    <row r="178" spans="1:17" ht="20.100000000000001" customHeight="1" x14ac:dyDescent="0.2">
      <c r="A178" s="25">
        <v>40</v>
      </c>
      <c r="B178" s="9" t="s">
        <v>343</v>
      </c>
      <c r="C178" s="10" t="s">
        <v>344</v>
      </c>
      <c r="D178" s="13" t="s">
        <v>345</v>
      </c>
      <c r="E178" s="70">
        <v>158075.5</v>
      </c>
      <c r="F178" s="865">
        <v>148459</v>
      </c>
      <c r="G178" s="186">
        <v>71308.333333333299</v>
      </c>
      <c r="H178" s="186">
        <f t="shared" si="78"/>
        <v>219767.33333333299</v>
      </c>
      <c r="I178" s="186">
        <f t="shared" si="79"/>
        <v>61691.833333333299</v>
      </c>
      <c r="J178" s="860">
        <v>12225.1333333333</v>
      </c>
      <c r="K178" s="860">
        <f t="shared" si="80"/>
        <v>17581.386666666702</v>
      </c>
      <c r="L178" s="860">
        <f t="shared" si="81"/>
        <v>5356.2533333333604</v>
      </c>
      <c r="M178" s="860"/>
      <c r="N178" s="860"/>
      <c r="O178" s="860">
        <f t="shared" si="83"/>
        <v>0</v>
      </c>
      <c r="P178" s="860">
        <f t="shared" si="84"/>
        <v>210976.64000000001</v>
      </c>
      <c r="Q178" s="860">
        <f t="shared" si="85"/>
        <v>0</v>
      </c>
    </row>
    <row r="179" spans="1:17" ht="20.100000000000001" customHeight="1" x14ac:dyDescent="0.2">
      <c r="A179" s="25">
        <v>41</v>
      </c>
      <c r="B179" s="9" t="s">
        <v>346</v>
      </c>
      <c r="C179" s="10" t="s">
        <v>344</v>
      </c>
      <c r="D179" s="13" t="s">
        <v>345</v>
      </c>
      <c r="E179" s="70">
        <v>158075.5</v>
      </c>
      <c r="F179" s="865">
        <v>148459</v>
      </c>
      <c r="G179" s="186">
        <v>71308.333333333299</v>
      </c>
      <c r="H179" s="186">
        <f t="shared" si="78"/>
        <v>219767.33333333299</v>
      </c>
      <c r="I179" s="186">
        <f t="shared" si="79"/>
        <v>61691.833333333299</v>
      </c>
      <c r="J179" s="860">
        <v>12225.1333333333</v>
      </c>
      <c r="K179" s="860">
        <f t="shared" si="80"/>
        <v>17581.386666666702</v>
      </c>
      <c r="L179" s="860">
        <f t="shared" si="81"/>
        <v>5356.2533333333604</v>
      </c>
      <c r="M179" s="860"/>
      <c r="N179" s="860"/>
      <c r="O179" s="860">
        <f t="shared" si="83"/>
        <v>0</v>
      </c>
      <c r="P179" s="860">
        <f t="shared" si="84"/>
        <v>210976.64000000001</v>
      </c>
      <c r="Q179" s="860">
        <f t="shared" si="85"/>
        <v>0</v>
      </c>
    </row>
    <row r="180" spans="1:17" ht="20.100000000000001" customHeight="1" x14ac:dyDescent="0.2">
      <c r="A180" s="25">
        <v>42</v>
      </c>
      <c r="B180" s="16" t="s">
        <v>347</v>
      </c>
      <c r="C180" s="10" t="s">
        <v>344</v>
      </c>
      <c r="D180" s="13" t="s">
        <v>348</v>
      </c>
      <c r="E180" s="70">
        <v>163336.83333333299</v>
      </c>
      <c r="F180" s="865">
        <v>152068.83333333299</v>
      </c>
      <c r="G180" s="186">
        <v>73681.75</v>
      </c>
      <c r="H180" s="186">
        <f t="shared" si="78"/>
        <v>225750.58333333299</v>
      </c>
      <c r="I180" s="186">
        <f t="shared" si="79"/>
        <v>62413.75</v>
      </c>
      <c r="J180" s="860">
        <v>12646.04</v>
      </c>
      <c r="K180" s="860">
        <f t="shared" si="80"/>
        <v>18060.0466666666</v>
      </c>
      <c r="L180" s="860">
        <f t="shared" si="81"/>
        <v>5414.0066666666398</v>
      </c>
      <c r="M180" s="860"/>
      <c r="N180" s="860"/>
      <c r="O180" s="860">
        <f t="shared" si="83"/>
        <v>0</v>
      </c>
      <c r="P180" s="860">
        <f t="shared" si="84"/>
        <v>216720.56</v>
      </c>
      <c r="Q180" s="860">
        <f t="shared" si="85"/>
        <v>0</v>
      </c>
    </row>
    <row r="181" spans="1:17" ht="20.100000000000001" customHeight="1" x14ac:dyDescent="0.2">
      <c r="A181" s="25">
        <v>43</v>
      </c>
      <c r="B181" s="9" t="s">
        <v>349</v>
      </c>
      <c r="C181" s="10" t="s">
        <v>350</v>
      </c>
      <c r="D181" s="13" t="s">
        <v>351</v>
      </c>
      <c r="E181" s="70">
        <v>152814.16666666701</v>
      </c>
      <c r="F181" s="865">
        <v>144849.08333333299</v>
      </c>
      <c r="G181" s="186">
        <v>68934.916666666701</v>
      </c>
      <c r="H181" s="186">
        <f t="shared" si="78"/>
        <v>213784</v>
      </c>
      <c r="I181" s="186">
        <f t="shared" si="79"/>
        <v>60969.833333332703</v>
      </c>
      <c r="J181" s="860">
        <v>12225.1333333333</v>
      </c>
      <c r="K181" s="860">
        <f t="shared" si="80"/>
        <v>17102.72</v>
      </c>
      <c r="L181" s="860">
        <f t="shared" si="81"/>
        <v>4877.5866666666798</v>
      </c>
      <c r="M181" s="860"/>
      <c r="N181" s="860"/>
      <c r="O181" s="860">
        <f t="shared" si="83"/>
        <v>0</v>
      </c>
      <c r="P181" s="860">
        <f t="shared" si="84"/>
        <v>205232.64000000001</v>
      </c>
      <c r="Q181" s="860">
        <f t="shared" si="85"/>
        <v>0</v>
      </c>
    </row>
    <row r="182" spans="1:17" ht="20.100000000000001" customHeight="1" x14ac:dyDescent="0.2">
      <c r="A182" s="25">
        <v>44</v>
      </c>
      <c r="B182" s="9" t="s">
        <v>352</v>
      </c>
      <c r="C182" s="10" t="s">
        <v>353</v>
      </c>
      <c r="D182" s="13" t="s">
        <v>492</v>
      </c>
      <c r="E182" s="70">
        <v>94145.75</v>
      </c>
      <c r="F182" s="865">
        <v>101053.25</v>
      </c>
      <c r="G182" s="186">
        <v>45303.5</v>
      </c>
      <c r="H182" s="186">
        <f t="shared" si="78"/>
        <v>146356.75</v>
      </c>
      <c r="I182" s="186">
        <f t="shared" si="79"/>
        <v>52211</v>
      </c>
      <c r="J182" s="860">
        <v>7327.84</v>
      </c>
      <c r="K182" s="860">
        <f t="shared" si="80"/>
        <v>11708.54</v>
      </c>
      <c r="L182" s="860">
        <f t="shared" si="81"/>
        <v>4380.7</v>
      </c>
      <c r="M182" s="860"/>
      <c r="N182" s="860"/>
      <c r="O182" s="860">
        <f t="shared" si="83"/>
        <v>0</v>
      </c>
      <c r="P182" s="860">
        <f t="shared" si="84"/>
        <v>140502.48000000001</v>
      </c>
      <c r="Q182" s="860">
        <f t="shared" si="85"/>
        <v>0</v>
      </c>
    </row>
    <row r="183" spans="1:17" ht="20.100000000000001" customHeight="1" x14ac:dyDescent="0.2">
      <c r="A183" s="25">
        <v>45</v>
      </c>
      <c r="B183" s="9" t="s">
        <v>355</v>
      </c>
      <c r="C183" s="10" t="s">
        <v>353</v>
      </c>
      <c r="D183" s="13" t="s">
        <v>492</v>
      </c>
      <c r="E183" s="70">
        <v>94145.75</v>
      </c>
      <c r="F183" s="865">
        <v>101053.25</v>
      </c>
      <c r="G183" s="186">
        <v>45303.5</v>
      </c>
      <c r="H183" s="186">
        <f t="shared" si="78"/>
        <v>146356.75</v>
      </c>
      <c r="I183" s="186">
        <f t="shared" si="79"/>
        <v>52211</v>
      </c>
      <c r="J183" s="860">
        <v>7327.84</v>
      </c>
      <c r="K183" s="860">
        <f t="shared" si="80"/>
        <v>11708.54</v>
      </c>
      <c r="L183" s="860">
        <f t="shared" si="81"/>
        <v>4380.7</v>
      </c>
      <c r="M183" s="860"/>
      <c r="N183" s="860"/>
      <c r="O183" s="860">
        <f t="shared" si="83"/>
        <v>0</v>
      </c>
      <c r="P183" s="860">
        <f t="shared" si="84"/>
        <v>140502.48000000001</v>
      </c>
      <c r="Q183" s="860">
        <f t="shared" si="85"/>
        <v>0</v>
      </c>
    </row>
    <row r="184" spans="1:17" ht="20.100000000000001" customHeight="1" x14ac:dyDescent="0.2">
      <c r="A184" s="25">
        <v>46</v>
      </c>
      <c r="B184" s="9" t="s">
        <v>356</v>
      </c>
      <c r="C184" s="10" t="s">
        <v>353</v>
      </c>
      <c r="D184" s="13" t="s">
        <v>492</v>
      </c>
      <c r="E184" s="70">
        <v>94145.75</v>
      </c>
      <c r="F184" s="865">
        <v>101053.25</v>
      </c>
      <c r="G184" s="186">
        <v>45303.5</v>
      </c>
      <c r="H184" s="186">
        <f t="shared" si="78"/>
        <v>146356.75</v>
      </c>
      <c r="I184" s="186">
        <f t="shared" si="79"/>
        <v>52211</v>
      </c>
      <c r="J184" s="860">
        <v>7327.84</v>
      </c>
      <c r="K184" s="860">
        <f t="shared" si="80"/>
        <v>11708.54</v>
      </c>
      <c r="L184" s="860">
        <f t="shared" si="81"/>
        <v>4380.7</v>
      </c>
      <c r="M184" s="860"/>
      <c r="N184" s="860"/>
      <c r="O184" s="860">
        <f t="shared" si="83"/>
        <v>0</v>
      </c>
      <c r="P184" s="860">
        <f t="shared" si="84"/>
        <v>140502.48000000001</v>
      </c>
      <c r="Q184" s="860">
        <f t="shared" si="85"/>
        <v>0</v>
      </c>
    </row>
    <row r="185" spans="1:17" ht="20.100000000000001" customHeight="1" x14ac:dyDescent="0.2">
      <c r="A185" s="25">
        <v>47</v>
      </c>
      <c r="B185" s="9" t="s">
        <v>357</v>
      </c>
      <c r="C185" s="10" t="s">
        <v>353</v>
      </c>
      <c r="D185" s="13" t="s">
        <v>492</v>
      </c>
      <c r="E185" s="70">
        <v>94145.75</v>
      </c>
      <c r="F185" s="865">
        <v>101053.25</v>
      </c>
      <c r="G185" s="186">
        <v>45303.5</v>
      </c>
      <c r="H185" s="186">
        <f t="shared" si="78"/>
        <v>146356.75</v>
      </c>
      <c r="I185" s="186">
        <f t="shared" si="79"/>
        <v>52211</v>
      </c>
      <c r="J185" s="860">
        <v>7327.84</v>
      </c>
      <c r="K185" s="860">
        <f t="shared" si="80"/>
        <v>11708.54</v>
      </c>
      <c r="L185" s="860">
        <f t="shared" si="81"/>
        <v>4380.7</v>
      </c>
      <c r="M185" s="860"/>
      <c r="N185" s="860"/>
      <c r="O185" s="860">
        <f t="shared" si="83"/>
        <v>0</v>
      </c>
      <c r="P185" s="860">
        <f t="shared" si="84"/>
        <v>140502.48000000001</v>
      </c>
      <c r="Q185" s="860">
        <f t="shared" si="85"/>
        <v>0</v>
      </c>
    </row>
    <row r="186" spans="1:17" ht="20.100000000000001" customHeight="1" x14ac:dyDescent="0.2">
      <c r="A186" s="25">
        <v>48</v>
      </c>
      <c r="B186" s="9" t="s">
        <v>358</v>
      </c>
      <c r="C186" s="10" t="s">
        <v>353</v>
      </c>
      <c r="D186" s="13" t="s">
        <v>492</v>
      </c>
      <c r="E186" s="70">
        <v>94145.75</v>
      </c>
      <c r="F186" s="865">
        <v>101053.25</v>
      </c>
      <c r="G186" s="186">
        <v>45303.5</v>
      </c>
      <c r="H186" s="186">
        <f t="shared" si="78"/>
        <v>146356.75</v>
      </c>
      <c r="I186" s="186">
        <f t="shared" si="79"/>
        <v>52211</v>
      </c>
      <c r="J186" s="860">
        <v>7327.84</v>
      </c>
      <c r="K186" s="860">
        <f t="shared" si="80"/>
        <v>11708.54</v>
      </c>
      <c r="L186" s="860">
        <f t="shared" si="81"/>
        <v>4380.7</v>
      </c>
      <c r="M186" s="860"/>
      <c r="N186" s="860"/>
      <c r="O186" s="860">
        <f t="shared" si="83"/>
        <v>0</v>
      </c>
      <c r="P186" s="860">
        <f t="shared" si="84"/>
        <v>140502.48000000001</v>
      </c>
      <c r="Q186" s="860">
        <f t="shared" si="85"/>
        <v>0</v>
      </c>
    </row>
    <row r="187" spans="1:17" ht="20.100000000000001" customHeight="1" x14ac:dyDescent="0.2">
      <c r="A187" s="25">
        <v>49</v>
      </c>
      <c r="B187" s="16" t="s">
        <v>359</v>
      </c>
      <c r="C187" s="10" t="s">
        <v>353</v>
      </c>
      <c r="D187" s="13" t="s">
        <v>492</v>
      </c>
      <c r="E187" s="70">
        <v>94145.75</v>
      </c>
      <c r="F187" s="865">
        <v>101053.25</v>
      </c>
      <c r="G187" s="186">
        <v>45303.5</v>
      </c>
      <c r="H187" s="186">
        <f t="shared" si="78"/>
        <v>146356.75</v>
      </c>
      <c r="I187" s="186">
        <f t="shared" si="79"/>
        <v>52211</v>
      </c>
      <c r="J187" s="860">
        <v>7327.84</v>
      </c>
      <c r="K187" s="860">
        <f t="shared" si="80"/>
        <v>11708.54</v>
      </c>
      <c r="L187" s="860">
        <f t="shared" si="81"/>
        <v>4380.7</v>
      </c>
      <c r="M187" s="860"/>
      <c r="N187" s="860"/>
      <c r="O187" s="860">
        <f t="shared" si="83"/>
        <v>0</v>
      </c>
      <c r="P187" s="860">
        <f t="shared" si="84"/>
        <v>140502.48000000001</v>
      </c>
      <c r="Q187" s="860">
        <f t="shared" si="85"/>
        <v>0</v>
      </c>
    </row>
    <row r="188" spans="1:17" ht="20.100000000000001" customHeight="1" x14ac:dyDescent="0.2">
      <c r="A188" s="25">
        <v>50</v>
      </c>
      <c r="B188" s="16" t="s">
        <v>360</v>
      </c>
      <c r="C188" s="10" t="s">
        <v>353</v>
      </c>
      <c r="D188" s="13" t="s">
        <v>492</v>
      </c>
      <c r="E188" s="70">
        <v>94145.75</v>
      </c>
      <c r="F188" s="865">
        <v>101053.25</v>
      </c>
      <c r="G188" s="186">
        <v>45303.5</v>
      </c>
      <c r="H188" s="186">
        <f t="shared" si="78"/>
        <v>146356.75</v>
      </c>
      <c r="I188" s="186">
        <f t="shared" si="79"/>
        <v>52211</v>
      </c>
      <c r="J188" s="860">
        <v>7327.84</v>
      </c>
      <c r="K188" s="860">
        <f t="shared" si="80"/>
        <v>11708.54</v>
      </c>
      <c r="L188" s="860">
        <f t="shared" si="81"/>
        <v>4380.7</v>
      </c>
      <c r="M188" s="860"/>
      <c r="N188" s="860"/>
      <c r="O188" s="860">
        <f t="shared" si="83"/>
        <v>0</v>
      </c>
      <c r="P188" s="860">
        <f t="shared" si="84"/>
        <v>140502.48000000001</v>
      </c>
      <c r="Q188" s="860">
        <f t="shared" si="85"/>
        <v>0</v>
      </c>
    </row>
    <row r="189" spans="1:17" ht="20.100000000000001" customHeight="1" x14ac:dyDescent="0.2">
      <c r="A189" s="25">
        <v>51</v>
      </c>
      <c r="B189" s="9" t="s">
        <v>493</v>
      </c>
      <c r="C189" s="10" t="s">
        <v>350</v>
      </c>
      <c r="D189" s="13" t="s">
        <v>492</v>
      </c>
      <c r="E189" s="70">
        <v>94145.75</v>
      </c>
      <c r="F189" s="865">
        <v>101053.25</v>
      </c>
      <c r="G189" s="186">
        <v>45303.5</v>
      </c>
      <c r="H189" s="186">
        <f t="shared" si="78"/>
        <v>146356.75</v>
      </c>
      <c r="I189" s="186">
        <f t="shared" si="79"/>
        <v>52211</v>
      </c>
      <c r="J189" s="860"/>
      <c r="K189" s="860">
        <f t="shared" si="80"/>
        <v>11708.54</v>
      </c>
      <c r="L189" s="860">
        <f t="shared" si="81"/>
        <v>11708.54</v>
      </c>
      <c r="M189" s="860"/>
      <c r="N189" s="860"/>
      <c r="O189" s="860">
        <f t="shared" si="83"/>
        <v>0</v>
      </c>
      <c r="P189" s="860">
        <f t="shared" si="84"/>
        <v>140502.48000000001</v>
      </c>
      <c r="Q189" s="860">
        <f t="shared" si="85"/>
        <v>0</v>
      </c>
    </row>
    <row r="190" spans="1:17" ht="20.100000000000001" customHeight="1" x14ac:dyDescent="0.2">
      <c r="A190" s="25">
        <v>52</v>
      </c>
      <c r="B190" s="9" t="s">
        <v>361</v>
      </c>
      <c r="C190" s="10" t="s">
        <v>350</v>
      </c>
      <c r="D190" s="13" t="s">
        <v>492</v>
      </c>
      <c r="E190" s="70">
        <v>94145.75</v>
      </c>
      <c r="F190" s="865">
        <v>101053.25</v>
      </c>
      <c r="G190" s="186">
        <v>45303.5</v>
      </c>
      <c r="H190" s="186">
        <f t="shared" si="78"/>
        <v>146356.75</v>
      </c>
      <c r="I190" s="186">
        <f t="shared" si="79"/>
        <v>52211</v>
      </c>
      <c r="J190" s="860">
        <v>7327.84</v>
      </c>
      <c r="K190" s="860">
        <f t="shared" si="80"/>
        <v>11708.54</v>
      </c>
      <c r="L190" s="860">
        <f t="shared" si="81"/>
        <v>4380.7</v>
      </c>
      <c r="M190" s="860"/>
      <c r="N190" s="860"/>
      <c r="O190" s="860">
        <f t="shared" si="83"/>
        <v>0</v>
      </c>
      <c r="P190" s="860">
        <f t="shared" si="84"/>
        <v>140502.48000000001</v>
      </c>
      <c r="Q190" s="860">
        <f t="shared" si="85"/>
        <v>0</v>
      </c>
    </row>
    <row r="191" spans="1:17" ht="20.100000000000001" customHeight="1" x14ac:dyDescent="0.2">
      <c r="A191" s="25">
        <v>53</v>
      </c>
      <c r="B191" s="16" t="s">
        <v>362</v>
      </c>
      <c r="C191" s="10" t="s">
        <v>363</v>
      </c>
      <c r="D191" s="13" t="s">
        <v>364</v>
      </c>
      <c r="E191" s="70">
        <v>91598</v>
      </c>
      <c r="F191" s="865">
        <v>99486.916666666701</v>
      </c>
      <c r="G191" s="186">
        <v>44008.75</v>
      </c>
      <c r="H191" s="186">
        <f t="shared" si="78"/>
        <v>143495.66666666701</v>
      </c>
      <c r="I191" s="186">
        <f t="shared" si="79"/>
        <v>51897.666666666701</v>
      </c>
      <c r="J191" s="860">
        <v>7124.02</v>
      </c>
      <c r="K191" s="860">
        <f t="shared" si="80"/>
        <v>11479.653333333301</v>
      </c>
      <c r="L191" s="860">
        <f t="shared" si="81"/>
        <v>4355.6333333333396</v>
      </c>
      <c r="M191" s="860"/>
      <c r="N191" s="860"/>
      <c r="O191" s="860">
        <f t="shared" si="83"/>
        <v>0</v>
      </c>
      <c r="P191" s="860">
        <f t="shared" si="84"/>
        <v>137755.84</v>
      </c>
      <c r="Q191" s="860">
        <f t="shared" si="85"/>
        <v>0</v>
      </c>
    </row>
    <row r="192" spans="1:17" ht="20.100000000000001" customHeight="1" x14ac:dyDescent="0.2">
      <c r="A192" s="25">
        <v>54</v>
      </c>
      <c r="B192" s="16" t="s">
        <v>365</v>
      </c>
      <c r="C192" s="10" t="s">
        <v>363</v>
      </c>
      <c r="D192" s="13" t="s">
        <v>366</v>
      </c>
      <c r="E192" s="70">
        <v>86502.5</v>
      </c>
      <c r="F192" s="865">
        <v>96354.25</v>
      </c>
      <c r="G192" s="186">
        <v>41419.25</v>
      </c>
      <c r="H192" s="186">
        <f t="shared" si="78"/>
        <v>137773.5</v>
      </c>
      <c r="I192" s="186">
        <f t="shared" si="79"/>
        <v>51271</v>
      </c>
      <c r="J192" s="860"/>
      <c r="K192" s="860">
        <f t="shared" si="80"/>
        <v>11021.88</v>
      </c>
      <c r="L192" s="860">
        <f t="shared" si="81"/>
        <v>11021.88</v>
      </c>
      <c r="M192" s="860"/>
      <c r="N192" s="860"/>
      <c r="O192" s="860">
        <f t="shared" si="83"/>
        <v>0</v>
      </c>
      <c r="P192" s="860">
        <f t="shared" si="84"/>
        <v>132262.56</v>
      </c>
      <c r="Q192" s="860">
        <f t="shared" si="85"/>
        <v>0</v>
      </c>
    </row>
    <row r="193" spans="1:17" ht="20.100000000000001" customHeight="1" x14ac:dyDescent="0.2">
      <c r="A193" s="25">
        <v>55</v>
      </c>
      <c r="B193" s="16" t="s">
        <v>367</v>
      </c>
      <c r="C193" s="10" t="s">
        <v>363</v>
      </c>
      <c r="D193" s="13" t="s">
        <v>368</v>
      </c>
      <c r="E193" s="70">
        <v>83933</v>
      </c>
      <c r="F193" s="865">
        <v>94788.166666666701</v>
      </c>
      <c r="G193" s="186">
        <v>40124.5</v>
      </c>
      <c r="H193" s="186">
        <f t="shared" si="78"/>
        <v>134912.66666666701</v>
      </c>
      <c r="I193" s="186">
        <f t="shared" si="79"/>
        <v>50979.666666666701</v>
      </c>
      <c r="J193" s="860">
        <v>6920.2</v>
      </c>
      <c r="K193" s="860">
        <f t="shared" si="80"/>
        <v>10793.0133333333</v>
      </c>
      <c r="L193" s="860">
        <f t="shared" si="81"/>
        <v>3872.8133333333299</v>
      </c>
      <c r="M193" s="860"/>
      <c r="N193" s="860"/>
      <c r="O193" s="860">
        <f t="shared" si="83"/>
        <v>0</v>
      </c>
      <c r="P193" s="860">
        <f t="shared" si="84"/>
        <v>129516.16</v>
      </c>
      <c r="Q193" s="860">
        <f t="shared" si="85"/>
        <v>0</v>
      </c>
    </row>
    <row r="194" spans="1:17" ht="20.100000000000001" customHeight="1" x14ac:dyDescent="0.2">
      <c r="A194" s="25">
        <v>56</v>
      </c>
      <c r="B194" s="16" t="s">
        <v>369</v>
      </c>
      <c r="C194" s="10" t="s">
        <v>370</v>
      </c>
      <c r="D194" s="13" t="s">
        <v>371</v>
      </c>
      <c r="E194" s="70">
        <v>78733.833333333299</v>
      </c>
      <c r="F194" s="853">
        <v>91578.25</v>
      </c>
      <c r="G194" s="2">
        <v>37471.166666666701</v>
      </c>
      <c r="H194" s="186">
        <f t="shared" si="78"/>
        <v>129049.41666666701</v>
      </c>
      <c r="I194" s="186">
        <f t="shared" si="79"/>
        <v>50315.583333333401</v>
      </c>
      <c r="J194" s="860">
        <v>6123.26</v>
      </c>
      <c r="K194" s="860">
        <f t="shared" si="80"/>
        <v>10323.9533333333</v>
      </c>
      <c r="L194" s="860">
        <f t="shared" si="81"/>
        <v>4200.69333333334</v>
      </c>
      <c r="M194" s="860"/>
      <c r="N194" s="860"/>
      <c r="O194" s="860">
        <f t="shared" si="83"/>
        <v>0</v>
      </c>
      <c r="P194" s="860">
        <f t="shared" si="84"/>
        <v>123887.44</v>
      </c>
      <c r="Q194" s="860">
        <f t="shared" si="85"/>
        <v>0</v>
      </c>
    </row>
    <row r="195" spans="1:17" ht="20.100000000000001" customHeight="1" x14ac:dyDescent="0.2">
      <c r="A195" s="25">
        <v>57</v>
      </c>
      <c r="B195" s="16" t="s">
        <v>372</v>
      </c>
      <c r="C195" s="10" t="s">
        <v>370</v>
      </c>
      <c r="D195" s="13" t="s">
        <v>371</v>
      </c>
      <c r="E195" s="70">
        <v>78733.833333333299</v>
      </c>
      <c r="F195" s="853">
        <v>91578.25</v>
      </c>
      <c r="G195" s="2">
        <v>37471.166666666701</v>
      </c>
      <c r="H195" s="186">
        <f t="shared" si="78"/>
        <v>129049.41666666701</v>
      </c>
      <c r="I195" s="186">
        <f t="shared" si="79"/>
        <v>50315.583333333401</v>
      </c>
      <c r="J195" s="860">
        <v>6123.26</v>
      </c>
      <c r="K195" s="860">
        <f t="shared" si="80"/>
        <v>10323.9533333333</v>
      </c>
      <c r="L195" s="860">
        <f t="shared" si="81"/>
        <v>4200.69333333334</v>
      </c>
      <c r="M195" s="860"/>
      <c r="N195" s="860"/>
      <c r="O195" s="860">
        <f t="shared" si="83"/>
        <v>0</v>
      </c>
      <c r="P195" s="860">
        <f t="shared" si="84"/>
        <v>123887.44</v>
      </c>
      <c r="Q195" s="860">
        <f t="shared" si="85"/>
        <v>0</v>
      </c>
    </row>
    <row r="196" spans="1:17" ht="20.100000000000001" customHeight="1" x14ac:dyDescent="0.2">
      <c r="A196" s="25">
        <v>58</v>
      </c>
      <c r="B196" s="16" t="s">
        <v>373</v>
      </c>
      <c r="C196" s="10" t="s">
        <v>370</v>
      </c>
      <c r="D196" s="13" t="s">
        <v>371</v>
      </c>
      <c r="E196" s="70">
        <v>78733.833333333299</v>
      </c>
      <c r="F196" s="853">
        <v>91578.25</v>
      </c>
      <c r="G196" s="2">
        <v>37471.166666666701</v>
      </c>
      <c r="H196" s="186">
        <f t="shared" si="78"/>
        <v>129049.41666666701</v>
      </c>
      <c r="I196" s="186">
        <f t="shared" si="79"/>
        <v>50315.583333333401</v>
      </c>
      <c r="J196" s="860">
        <v>6123.26</v>
      </c>
      <c r="K196" s="860">
        <f t="shared" si="80"/>
        <v>10323.9533333333</v>
      </c>
      <c r="L196" s="860">
        <f t="shared" si="81"/>
        <v>4200.69333333334</v>
      </c>
      <c r="M196" s="860"/>
      <c r="N196" s="860"/>
      <c r="O196" s="860">
        <f t="shared" si="83"/>
        <v>0</v>
      </c>
      <c r="P196" s="860">
        <f t="shared" si="84"/>
        <v>123887.44</v>
      </c>
      <c r="Q196" s="860">
        <f t="shared" si="85"/>
        <v>0</v>
      </c>
    </row>
    <row r="197" spans="1:17" ht="20.100000000000001" customHeight="1" x14ac:dyDescent="0.2">
      <c r="A197" s="25">
        <v>59</v>
      </c>
      <c r="B197" s="16" t="s">
        <v>374</v>
      </c>
      <c r="C197" s="10" t="s">
        <v>375</v>
      </c>
      <c r="D197" s="13" t="s">
        <v>376</v>
      </c>
      <c r="E197" s="70">
        <v>89050.25</v>
      </c>
      <c r="F197" s="853">
        <v>97920.666666666701</v>
      </c>
      <c r="G197" s="186">
        <v>42714</v>
      </c>
      <c r="H197" s="186">
        <f t="shared" si="78"/>
        <v>140634.66666666701</v>
      </c>
      <c r="I197" s="186">
        <f t="shared" si="79"/>
        <v>51584.416666666701</v>
      </c>
      <c r="J197" s="860">
        <v>6920.2</v>
      </c>
      <c r="K197" s="860">
        <f t="shared" si="80"/>
        <v>11250.7733333333</v>
      </c>
      <c r="L197" s="860">
        <f t="shared" si="81"/>
        <v>4330.5733333333301</v>
      </c>
      <c r="M197" s="860"/>
      <c r="N197" s="860"/>
      <c r="O197" s="860">
        <f t="shared" si="83"/>
        <v>0</v>
      </c>
      <c r="P197" s="860">
        <f t="shared" si="84"/>
        <v>135009.28</v>
      </c>
      <c r="Q197" s="860">
        <f t="shared" si="85"/>
        <v>0</v>
      </c>
    </row>
    <row r="198" spans="1:17" ht="20.100000000000001" customHeight="1" x14ac:dyDescent="0.2">
      <c r="A198" s="25">
        <v>60</v>
      </c>
      <c r="B198" s="16" t="s">
        <v>377</v>
      </c>
      <c r="C198" s="10" t="s">
        <v>375</v>
      </c>
      <c r="D198" s="13" t="s">
        <v>376</v>
      </c>
      <c r="E198" s="70">
        <v>89050.25</v>
      </c>
      <c r="F198" s="853">
        <v>97920.666666666701</v>
      </c>
      <c r="G198" s="186">
        <v>42714</v>
      </c>
      <c r="H198" s="186">
        <f t="shared" si="78"/>
        <v>140634.66666666701</v>
      </c>
      <c r="I198" s="186">
        <f t="shared" si="79"/>
        <v>51584.416666666701</v>
      </c>
      <c r="J198" s="860">
        <v>6920.2</v>
      </c>
      <c r="K198" s="860">
        <f t="shared" si="80"/>
        <v>11250.7733333333</v>
      </c>
      <c r="L198" s="860">
        <f t="shared" si="81"/>
        <v>4330.5733333333301</v>
      </c>
      <c r="M198" s="860"/>
      <c r="N198" s="860"/>
      <c r="O198" s="860">
        <f t="shared" si="83"/>
        <v>0</v>
      </c>
      <c r="P198" s="860">
        <f t="shared" si="84"/>
        <v>135009.28</v>
      </c>
      <c r="Q198" s="860">
        <f t="shared" si="85"/>
        <v>0</v>
      </c>
    </row>
    <row r="199" spans="1:17" ht="30.75" customHeight="1" x14ac:dyDescent="0.5">
      <c r="A199" s="25"/>
      <c r="B199" s="6" t="s">
        <v>111</v>
      </c>
      <c r="C199" s="26" t="s">
        <v>494</v>
      </c>
      <c r="D199" s="27"/>
      <c r="E199" s="78">
        <f t="shared" ref="E199:Q199" si="86">SUM(E139:E198)</f>
        <v>14787756.9166667</v>
      </c>
      <c r="F199" s="856">
        <f t="shared" si="86"/>
        <v>12563688.5</v>
      </c>
      <c r="G199" s="78">
        <f t="shared" si="86"/>
        <v>6820067.0833333302</v>
      </c>
      <c r="H199" s="78">
        <f t="shared" si="86"/>
        <v>19383755.583333299</v>
      </c>
      <c r="I199" s="78">
        <f t="shared" si="86"/>
        <v>4595998.6666666605</v>
      </c>
      <c r="J199" s="78">
        <f t="shared" si="86"/>
        <v>1154618.3566666699</v>
      </c>
      <c r="K199" s="78">
        <f t="shared" si="86"/>
        <v>1550700.44666667</v>
      </c>
      <c r="L199" s="78">
        <f t="shared" si="86"/>
        <v>396082.09000000102</v>
      </c>
      <c r="M199" s="78">
        <f t="shared" si="86"/>
        <v>72300.491666666698</v>
      </c>
      <c r="N199" s="78">
        <f t="shared" si="86"/>
        <v>101993.847916667</v>
      </c>
      <c r="O199" s="78">
        <f t="shared" si="86"/>
        <v>29693.356249999899</v>
      </c>
      <c r="P199" s="78">
        <f t="shared" si="86"/>
        <v>18608405.359999999</v>
      </c>
      <c r="Q199" s="78">
        <f t="shared" si="86"/>
        <v>1223926.175</v>
      </c>
    </row>
    <row r="200" spans="1:17" ht="30" customHeight="1" x14ac:dyDescent="0.2">
      <c r="A200" s="2"/>
      <c r="B200" s="28" t="s">
        <v>495</v>
      </c>
      <c r="C200" s="29">
        <f>C39+C46+C57+C62+C72+C81+C94+C102+C112+C123+C136+C199</f>
        <v>153</v>
      </c>
      <c r="D200" s="30"/>
      <c r="E200" s="193">
        <f t="shared" ref="E200:Q200" si="87">E199+E136+E123+E118+E112+E102+E94+E81+E72+E62+E57+E46+E39</f>
        <v>62694852.333666697</v>
      </c>
      <c r="F200" s="867">
        <f t="shared" si="87"/>
        <v>49444664.75</v>
      </c>
      <c r="G200" s="193">
        <f t="shared" si="87"/>
        <v>29012246.75</v>
      </c>
      <c r="H200" s="193">
        <f t="shared" si="87"/>
        <v>78456911.5</v>
      </c>
      <c r="I200" s="868">
        <f t="shared" si="87"/>
        <v>15762059.166333299</v>
      </c>
      <c r="J200" s="193">
        <f t="shared" si="87"/>
        <v>4754163.5599999996</v>
      </c>
      <c r="K200" s="193">
        <f t="shared" si="87"/>
        <v>6046437.4133333303</v>
      </c>
      <c r="L200" s="868">
        <f t="shared" si="87"/>
        <v>1292273.85333333</v>
      </c>
      <c r="M200" s="193">
        <f t="shared" si="87"/>
        <v>267480.25624999998</v>
      </c>
      <c r="N200" s="193">
        <f t="shared" si="87"/>
        <v>373109.29583333299</v>
      </c>
      <c r="O200" s="868">
        <f t="shared" si="87"/>
        <v>105629.039583333</v>
      </c>
      <c r="P200" s="193">
        <f t="shared" si="87"/>
        <v>72557248.959999993</v>
      </c>
      <c r="Q200" s="193">
        <f t="shared" si="87"/>
        <v>4477311.55</v>
      </c>
    </row>
    <row r="201" spans="1:17" ht="35.25" customHeight="1" x14ac:dyDescent="0.2">
      <c r="A201" s="2"/>
      <c r="B201" s="28" t="s">
        <v>496</v>
      </c>
      <c r="C201" s="29">
        <v>22</v>
      </c>
      <c r="D201" s="30"/>
      <c r="E201" s="193">
        <v>6563729.25</v>
      </c>
      <c r="F201" s="193">
        <v>5346094.8333333302</v>
      </c>
      <c r="G201" s="193">
        <v>3022887.4166666698</v>
      </c>
      <c r="H201" s="193">
        <v>8368982.25</v>
      </c>
      <c r="I201" s="869">
        <v>1805253</v>
      </c>
      <c r="J201" s="193">
        <v>525098.34</v>
      </c>
      <c r="K201" s="193">
        <v>669518.57999999996</v>
      </c>
      <c r="L201" s="868">
        <v>144420.24</v>
      </c>
      <c r="M201" s="193"/>
      <c r="P201" s="11"/>
    </row>
    <row r="202" spans="1:17" ht="30" customHeight="1" x14ac:dyDescent="0.2">
      <c r="A202" s="2"/>
      <c r="B202" s="28" t="s">
        <v>497</v>
      </c>
      <c r="C202" s="29">
        <f>SUM(C200:C201)</f>
        <v>175</v>
      </c>
      <c r="D202" s="30"/>
      <c r="E202" s="193">
        <f t="shared" ref="E202:Q202" si="88">E200+E201</f>
        <v>69258581.583666697</v>
      </c>
      <c r="F202" s="193">
        <f t="shared" si="88"/>
        <v>54790759.583333299</v>
      </c>
      <c r="G202" s="193">
        <f t="shared" si="88"/>
        <v>32035134.166666701</v>
      </c>
      <c r="H202" s="193">
        <f t="shared" si="88"/>
        <v>86825893.75</v>
      </c>
      <c r="I202" s="193">
        <f t="shared" si="88"/>
        <v>17567312.166333299</v>
      </c>
      <c r="J202" s="193">
        <f t="shared" si="88"/>
        <v>5279261.9000000004</v>
      </c>
      <c r="K202" s="193">
        <f t="shared" si="88"/>
        <v>6715955.9933333304</v>
      </c>
      <c r="L202" s="193">
        <f t="shared" si="88"/>
        <v>1436694.09333333</v>
      </c>
      <c r="M202" s="193">
        <f t="shared" si="88"/>
        <v>267480.25624999998</v>
      </c>
      <c r="N202" s="193">
        <f t="shared" si="88"/>
        <v>373109.29583333299</v>
      </c>
      <c r="O202" s="193">
        <f t="shared" si="88"/>
        <v>105629.039583333</v>
      </c>
      <c r="P202" s="193">
        <f t="shared" si="88"/>
        <v>72557248.959999993</v>
      </c>
      <c r="Q202" s="193">
        <f t="shared" si="88"/>
        <v>4477311.55</v>
      </c>
    </row>
    <row r="203" spans="1:17" ht="20.100000000000001" customHeight="1" x14ac:dyDescent="0.2">
      <c r="F203" s="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20.100000000000001" customHeight="1" x14ac:dyDescent="0.2">
      <c r="F204" s="1"/>
    </row>
    <row r="205" spans="1:17" ht="20.100000000000001" customHeight="1" x14ac:dyDescent="0.2">
      <c r="F205" s="1"/>
    </row>
    <row r="206" spans="1:17" ht="20.100000000000001" customHeight="1" x14ac:dyDescent="0.2">
      <c r="F206" s="1"/>
    </row>
    <row r="207" spans="1:17" ht="20.100000000000001" customHeight="1" x14ac:dyDescent="0.2">
      <c r="F207" s="1"/>
    </row>
    <row r="208" spans="1:17" ht="20.100000000000001" customHeight="1" x14ac:dyDescent="0.2">
      <c r="F208" s="1"/>
    </row>
    <row r="209" spans="6:6" ht="20.100000000000001" customHeight="1" x14ac:dyDescent="0.2">
      <c r="F209" s="1"/>
    </row>
    <row r="210" spans="6:6" ht="20.100000000000001" customHeight="1" x14ac:dyDescent="0.2">
      <c r="F210" s="1"/>
    </row>
    <row r="211" spans="6:6" ht="20.100000000000001" customHeight="1" x14ac:dyDescent="0.2">
      <c r="F211" s="1"/>
    </row>
    <row r="212" spans="6:6" ht="20.100000000000001" customHeight="1" x14ac:dyDescent="0.2">
      <c r="F212" s="1"/>
    </row>
    <row r="213" spans="6:6" ht="20.100000000000001" customHeight="1" x14ac:dyDescent="0.2">
      <c r="F213" s="1"/>
    </row>
    <row r="214" spans="6:6" ht="20.100000000000001" customHeight="1" x14ac:dyDescent="0.2">
      <c r="F214" s="1"/>
    </row>
    <row r="215" spans="6:6" ht="20.100000000000001" customHeight="1" x14ac:dyDescent="0.2">
      <c r="F215" s="1"/>
    </row>
    <row r="216" spans="6:6" ht="20.100000000000001" customHeight="1" x14ac:dyDescent="0.2">
      <c r="F216" s="1"/>
    </row>
    <row r="217" spans="6:6" ht="20.100000000000001" customHeight="1" x14ac:dyDescent="0.2">
      <c r="F217" s="1"/>
    </row>
    <row r="218" spans="6:6" ht="20.100000000000001" customHeight="1" x14ac:dyDescent="0.2">
      <c r="F218" s="1"/>
    </row>
    <row r="219" spans="6:6" ht="20.100000000000001" customHeight="1" x14ac:dyDescent="0.2">
      <c r="F219" s="1"/>
    </row>
    <row r="220" spans="6:6" ht="20.100000000000001" customHeight="1" x14ac:dyDescent="0.2">
      <c r="F220" s="1"/>
    </row>
    <row r="221" spans="6:6" ht="20.100000000000001" customHeight="1" x14ac:dyDescent="0.2">
      <c r="F221" s="1"/>
    </row>
    <row r="222" spans="6:6" ht="20.100000000000001" customHeight="1" x14ac:dyDescent="0.2">
      <c r="F222" s="1"/>
    </row>
    <row r="223" spans="6:6" ht="20.100000000000001" customHeight="1" x14ac:dyDescent="0.2">
      <c r="F223" s="1"/>
    </row>
    <row r="224" spans="6:6" ht="20.100000000000001" customHeight="1" x14ac:dyDescent="0.2">
      <c r="F224" s="1"/>
    </row>
    <row r="225" spans="6:6" ht="20.100000000000001" customHeight="1" x14ac:dyDescent="0.2">
      <c r="F225" s="1"/>
    </row>
    <row r="226" spans="6:6" ht="20.100000000000001" customHeight="1" x14ac:dyDescent="0.2">
      <c r="F226" s="1"/>
    </row>
    <row r="227" spans="6:6" ht="20.100000000000001" customHeight="1" x14ac:dyDescent="0.2">
      <c r="F227" s="1"/>
    </row>
    <row r="228" spans="6:6" ht="20.100000000000001" customHeight="1" x14ac:dyDescent="0.2">
      <c r="F228" s="1"/>
    </row>
    <row r="229" spans="6:6" ht="20.100000000000001" customHeight="1" x14ac:dyDescent="0.2">
      <c r="F229" s="1"/>
    </row>
    <row r="230" spans="6:6" ht="20.100000000000001" customHeight="1" x14ac:dyDescent="0.2">
      <c r="F230" s="1"/>
    </row>
    <row r="231" spans="6:6" ht="20.100000000000001" customHeight="1" x14ac:dyDescent="0.2">
      <c r="F231" s="1"/>
    </row>
    <row r="232" spans="6:6" ht="20.100000000000001" customHeight="1" x14ac:dyDescent="0.2">
      <c r="F232" s="1"/>
    </row>
    <row r="233" spans="6:6" ht="20.100000000000001" customHeight="1" x14ac:dyDescent="0.2">
      <c r="F233" s="1"/>
    </row>
    <row r="234" spans="6:6" ht="20.100000000000001" customHeight="1" x14ac:dyDescent="0.2">
      <c r="F234" s="1"/>
    </row>
    <row r="235" spans="6:6" ht="20.100000000000001" customHeight="1" x14ac:dyDescent="0.2">
      <c r="F235" s="1"/>
    </row>
    <row r="236" spans="6:6" ht="20.100000000000001" customHeight="1" x14ac:dyDescent="0.2">
      <c r="F236" s="1"/>
    </row>
    <row r="237" spans="6:6" ht="20.100000000000001" customHeight="1" x14ac:dyDescent="0.2">
      <c r="F237" s="1"/>
    </row>
    <row r="238" spans="6:6" ht="20.100000000000001" customHeight="1" x14ac:dyDescent="0.2">
      <c r="F238" s="1"/>
    </row>
    <row r="239" spans="6:6" ht="20.100000000000001" customHeight="1" x14ac:dyDescent="0.2">
      <c r="F239" s="1"/>
    </row>
    <row r="240" spans="6:6" ht="20.100000000000001" customHeight="1" x14ac:dyDescent="0.2">
      <c r="F240" s="1"/>
    </row>
    <row r="241" spans="6:6" ht="20.100000000000001" customHeight="1" x14ac:dyDescent="0.2">
      <c r="F241" s="1"/>
    </row>
    <row r="242" spans="6:6" ht="20.100000000000001" customHeight="1" x14ac:dyDescent="0.2">
      <c r="F242" s="1"/>
    </row>
    <row r="243" spans="6:6" ht="20.100000000000001" customHeight="1" x14ac:dyDescent="0.2">
      <c r="F243" s="1"/>
    </row>
    <row r="244" spans="6:6" ht="20.100000000000001" customHeight="1" x14ac:dyDescent="0.2">
      <c r="F244" s="1"/>
    </row>
    <row r="245" spans="6:6" ht="20.100000000000001" customHeight="1" x14ac:dyDescent="0.2">
      <c r="F245" s="1"/>
    </row>
    <row r="246" spans="6:6" ht="20.100000000000001" customHeight="1" x14ac:dyDescent="0.2">
      <c r="F246" s="1"/>
    </row>
    <row r="247" spans="6:6" ht="20.100000000000001" customHeight="1" x14ac:dyDescent="0.2">
      <c r="F247" s="1"/>
    </row>
    <row r="248" spans="6:6" ht="20.100000000000001" customHeight="1" x14ac:dyDescent="0.2">
      <c r="F248" s="1"/>
    </row>
    <row r="249" spans="6:6" ht="20.100000000000001" customHeight="1" x14ac:dyDescent="0.2">
      <c r="F249" s="1"/>
    </row>
    <row r="250" spans="6:6" ht="20.100000000000001" customHeight="1" x14ac:dyDescent="0.2">
      <c r="F250" s="1"/>
    </row>
    <row r="251" spans="6:6" ht="20.100000000000001" customHeight="1" x14ac:dyDescent="0.2">
      <c r="F251" s="1"/>
    </row>
    <row r="252" spans="6:6" ht="20.100000000000001" customHeight="1" x14ac:dyDescent="0.2">
      <c r="F252" s="1"/>
    </row>
    <row r="253" spans="6:6" ht="20.100000000000001" customHeight="1" x14ac:dyDescent="0.2">
      <c r="F253" s="1"/>
    </row>
    <row r="254" spans="6:6" ht="20.100000000000001" customHeight="1" x14ac:dyDescent="0.2">
      <c r="F254" s="1"/>
    </row>
    <row r="255" spans="6:6" ht="20.100000000000001" customHeight="1" x14ac:dyDescent="0.2">
      <c r="F255" s="1"/>
    </row>
    <row r="256" spans="6:6" ht="20.100000000000001" customHeight="1" x14ac:dyDescent="0.2">
      <c r="F256" s="1"/>
    </row>
    <row r="257" spans="6:6" ht="20.100000000000001" customHeight="1" x14ac:dyDescent="0.2">
      <c r="F257" s="1"/>
    </row>
    <row r="258" spans="6:6" ht="20.100000000000001" customHeight="1" x14ac:dyDescent="0.2">
      <c r="F258" s="1"/>
    </row>
    <row r="259" spans="6:6" ht="20.100000000000001" customHeight="1" x14ac:dyDescent="0.2">
      <c r="F259" s="1"/>
    </row>
    <row r="260" spans="6:6" ht="20.100000000000001" customHeight="1" x14ac:dyDescent="0.2">
      <c r="F260" s="1"/>
    </row>
    <row r="261" spans="6:6" ht="20.100000000000001" customHeight="1" x14ac:dyDescent="0.2">
      <c r="F261" s="1"/>
    </row>
    <row r="262" spans="6:6" ht="20.100000000000001" customHeight="1" x14ac:dyDescent="0.2">
      <c r="F262" s="1"/>
    </row>
    <row r="263" spans="6:6" ht="20.100000000000001" customHeight="1" x14ac:dyDescent="0.2">
      <c r="F263" s="1"/>
    </row>
    <row r="264" spans="6:6" ht="20.100000000000001" customHeight="1" x14ac:dyDescent="0.2">
      <c r="F264" s="1"/>
    </row>
    <row r="265" spans="6:6" ht="20.100000000000001" customHeight="1" x14ac:dyDescent="0.2">
      <c r="F265" s="1"/>
    </row>
    <row r="266" spans="6:6" ht="20.100000000000001" customHeight="1" x14ac:dyDescent="0.2">
      <c r="F266" s="1"/>
    </row>
    <row r="267" spans="6:6" ht="20.100000000000001" customHeight="1" x14ac:dyDescent="0.2">
      <c r="F267" s="1"/>
    </row>
    <row r="268" spans="6:6" ht="20.100000000000001" customHeight="1" x14ac:dyDescent="0.2">
      <c r="F268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9" max="16" man="1"/>
    <brk id="81" max="16" man="1"/>
    <brk id="124" max="16" man="1"/>
    <brk id="161" max="1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ColWidth="8.76171875" defaultRowHeight="12.75" x14ac:dyDescent="0.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96"/>
  <sheetViews>
    <sheetView view="pageBreakPreview" topLeftCell="A155" zoomScaleNormal="100" workbookViewId="0">
      <selection activeCell="L165" sqref="L165"/>
    </sheetView>
  </sheetViews>
  <sheetFormatPr defaultColWidth="8.76171875" defaultRowHeight="12.75" x14ac:dyDescent="0.15"/>
  <cols>
    <col min="1" max="1" width="4.8515625" customWidth="1"/>
    <col min="2" max="2" width="31.41796875" customWidth="1"/>
    <col min="3" max="3" width="22.11328125" customWidth="1"/>
    <col min="5" max="5" width="10.78515625" customWidth="1"/>
    <col min="6" max="6" width="11.0546875" customWidth="1"/>
    <col min="7" max="7" width="12.13671875" customWidth="1"/>
    <col min="8" max="8" width="11.4609375" customWidth="1"/>
    <col min="9" max="9" width="10.78515625" customWidth="1"/>
    <col min="10" max="10" width="11.0546875" customWidth="1"/>
    <col min="11" max="11" width="12.26953125" customWidth="1"/>
  </cols>
  <sheetData>
    <row r="1" spans="1:12" ht="14.25" x14ac:dyDescent="0.15">
      <c r="A1" s="953" t="s">
        <v>525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</row>
    <row r="2" spans="1:12" ht="14.25" x14ac:dyDescent="0.15">
      <c r="A2" s="953" t="s">
        <v>526</v>
      </c>
      <c r="B2" s="953"/>
      <c r="C2" s="953"/>
      <c r="D2" s="953"/>
      <c r="E2" s="953"/>
      <c r="F2" s="953"/>
      <c r="G2" s="953"/>
      <c r="H2" s="953"/>
      <c r="I2" s="953"/>
      <c r="J2" s="953"/>
      <c r="K2" s="953"/>
    </row>
    <row r="3" spans="1:12" ht="14.25" x14ac:dyDescent="0.15">
      <c r="A3" s="954" t="s">
        <v>527</v>
      </c>
      <c r="B3" s="954"/>
      <c r="C3" s="954"/>
      <c r="D3" s="954"/>
      <c r="E3" s="954"/>
      <c r="F3" s="954"/>
      <c r="G3" s="954"/>
      <c r="H3" s="954"/>
      <c r="I3" s="954"/>
      <c r="J3" s="954"/>
      <c r="K3" s="954"/>
    </row>
    <row r="4" spans="1:12" ht="14.25" x14ac:dyDescent="0.1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819"/>
    </row>
    <row r="5" spans="1:12" ht="41.1" customHeight="1" x14ac:dyDescent="0.15">
      <c r="A5" s="802" t="s">
        <v>21</v>
      </c>
      <c r="B5" s="803" t="s">
        <v>2</v>
      </c>
      <c r="C5" s="803" t="s">
        <v>3</v>
      </c>
      <c r="D5" s="804" t="s">
        <v>4</v>
      </c>
      <c r="E5" s="805">
        <v>45293</v>
      </c>
      <c r="F5" s="805">
        <v>45324</v>
      </c>
      <c r="G5" s="805">
        <v>45354</v>
      </c>
      <c r="H5" s="805">
        <v>45386</v>
      </c>
      <c r="I5" s="805">
        <v>45417</v>
      </c>
      <c r="J5" s="805">
        <v>45449</v>
      </c>
      <c r="K5" s="820" t="s">
        <v>528</v>
      </c>
      <c r="L5" s="819"/>
    </row>
    <row r="6" spans="1:12" ht="24.95" customHeight="1" x14ac:dyDescent="0.15">
      <c r="A6" s="806"/>
      <c r="B6" s="250"/>
      <c r="C6" s="250"/>
      <c r="D6" s="807"/>
      <c r="E6" s="807"/>
      <c r="F6" s="808" t="s">
        <v>20</v>
      </c>
      <c r="G6" s="808"/>
      <c r="H6" s="808"/>
      <c r="I6" s="808"/>
      <c r="J6" s="808"/>
      <c r="K6" s="808" t="s">
        <v>20</v>
      </c>
      <c r="L6" s="819"/>
    </row>
    <row r="7" spans="1:12" ht="29.1" customHeight="1" x14ac:dyDescent="0.15">
      <c r="A7" s="80">
        <v>1</v>
      </c>
      <c r="B7" s="597" t="s">
        <v>23</v>
      </c>
      <c r="C7" s="68" t="s">
        <v>24</v>
      </c>
      <c r="D7" s="68" t="s">
        <v>25</v>
      </c>
      <c r="E7" s="595">
        <v>35000</v>
      </c>
      <c r="F7" s="595">
        <v>35000</v>
      </c>
      <c r="G7" s="595">
        <v>35000</v>
      </c>
      <c r="H7" s="595">
        <v>35000</v>
      </c>
      <c r="I7" s="595">
        <v>35000</v>
      </c>
      <c r="J7" s="595">
        <v>35000</v>
      </c>
      <c r="K7" s="596">
        <f>SUM(E7:J7)</f>
        <v>210000</v>
      </c>
      <c r="L7" s="819"/>
    </row>
    <row r="8" spans="1:12" ht="24.95" customHeight="1" x14ac:dyDescent="0.15">
      <c r="A8" s="80">
        <v>2</v>
      </c>
      <c r="B8" s="597" t="s">
        <v>26</v>
      </c>
      <c r="C8" s="68" t="s">
        <v>27</v>
      </c>
      <c r="D8" s="80" t="s">
        <v>28</v>
      </c>
      <c r="E8" s="595">
        <v>35000</v>
      </c>
      <c r="F8" s="595">
        <v>35000</v>
      </c>
      <c r="G8" s="595">
        <v>35000</v>
      </c>
      <c r="H8" s="595">
        <v>35000</v>
      </c>
      <c r="I8" s="595">
        <v>35000</v>
      </c>
      <c r="J8" s="595">
        <v>35000</v>
      </c>
      <c r="K8" s="596">
        <f t="shared" ref="K8:K33" si="0">SUM(E8:J8)</f>
        <v>210000</v>
      </c>
      <c r="L8" s="819"/>
    </row>
    <row r="9" spans="1:12" ht="24.95" customHeight="1" x14ac:dyDescent="0.15">
      <c r="A9" s="80">
        <v>3</v>
      </c>
      <c r="B9" s="593" t="s">
        <v>29</v>
      </c>
      <c r="C9" s="71" t="s">
        <v>30</v>
      </c>
      <c r="D9" s="80" t="s">
        <v>28</v>
      </c>
      <c r="E9" s="595">
        <v>35000</v>
      </c>
      <c r="F9" s="595">
        <v>35000</v>
      </c>
      <c r="G9" s="595">
        <v>35000</v>
      </c>
      <c r="H9" s="595">
        <v>35000</v>
      </c>
      <c r="I9" s="595">
        <v>35000</v>
      </c>
      <c r="J9" s="595">
        <v>35000</v>
      </c>
      <c r="K9" s="596">
        <f t="shared" si="0"/>
        <v>210000</v>
      </c>
      <c r="L9" s="819"/>
    </row>
    <row r="10" spans="1:12" ht="24.95" customHeight="1" x14ac:dyDescent="0.15">
      <c r="A10" s="80">
        <v>4</v>
      </c>
      <c r="B10" s="597" t="s">
        <v>31</v>
      </c>
      <c r="C10" s="72" t="s">
        <v>32</v>
      </c>
      <c r="D10" s="80" t="s">
        <v>28</v>
      </c>
      <c r="E10" s="595">
        <v>35000</v>
      </c>
      <c r="F10" s="595">
        <v>35000</v>
      </c>
      <c r="G10" s="595">
        <v>35000</v>
      </c>
      <c r="H10" s="595">
        <v>35000</v>
      </c>
      <c r="I10" s="595">
        <v>35000</v>
      </c>
      <c r="J10" s="595">
        <v>35000</v>
      </c>
      <c r="K10" s="596">
        <f t="shared" si="0"/>
        <v>210000</v>
      </c>
      <c r="L10" s="819"/>
    </row>
    <row r="11" spans="1:12" ht="24.95" customHeight="1" x14ac:dyDescent="0.15">
      <c r="A11" s="80">
        <v>5</v>
      </c>
      <c r="B11" s="593" t="s">
        <v>271</v>
      </c>
      <c r="C11" s="71" t="s">
        <v>529</v>
      </c>
      <c r="D11" s="80" t="s">
        <v>28</v>
      </c>
      <c r="E11" s="595">
        <v>35000</v>
      </c>
      <c r="F11" s="595">
        <v>35000</v>
      </c>
      <c r="G11" s="595">
        <v>35000</v>
      </c>
      <c r="H11" s="595">
        <v>35000</v>
      </c>
      <c r="I11" s="595">
        <v>35000</v>
      </c>
      <c r="J11" s="595">
        <v>35000</v>
      </c>
      <c r="K11" s="596">
        <f t="shared" si="0"/>
        <v>210000</v>
      </c>
      <c r="L11" s="819"/>
    </row>
    <row r="12" spans="1:12" ht="24.95" customHeight="1" x14ac:dyDescent="0.15">
      <c r="A12" s="80">
        <v>6</v>
      </c>
      <c r="B12" s="313" t="s">
        <v>530</v>
      </c>
      <c r="C12" s="72" t="s">
        <v>531</v>
      </c>
      <c r="D12" s="80" t="s">
        <v>28</v>
      </c>
      <c r="E12" s="595">
        <v>35000</v>
      </c>
      <c r="F12" s="595">
        <v>35000</v>
      </c>
      <c r="G12" s="595">
        <v>35000</v>
      </c>
      <c r="H12" s="595">
        <v>35000</v>
      </c>
      <c r="I12" s="595">
        <v>35000</v>
      </c>
      <c r="J12" s="595">
        <v>35000</v>
      </c>
      <c r="K12" s="596">
        <f t="shared" si="0"/>
        <v>210000</v>
      </c>
      <c r="L12" s="819"/>
    </row>
    <row r="13" spans="1:12" ht="24.95" customHeight="1" x14ac:dyDescent="0.15">
      <c r="A13" s="80">
        <v>7</v>
      </c>
      <c r="B13" s="597" t="s">
        <v>33</v>
      </c>
      <c r="C13" s="68" t="s">
        <v>532</v>
      </c>
      <c r="D13" s="594" t="s">
        <v>131</v>
      </c>
      <c r="E13" s="595">
        <v>35000</v>
      </c>
      <c r="F13" s="595">
        <v>35000</v>
      </c>
      <c r="G13" s="595">
        <v>35000</v>
      </c>
      <c r="H13" s="595">
        <v>35000</v>
      </c>
      <c r="I13" s="595">
        <v>35000</v>
      </c>
      <c r="J13" s="595">
        <v>35000</v>
      </c>
      <c r="K13" s="596">
        <f t="shared" si="0"/>
        <v>210000</v>
      </c>
      <c r="L13" s="819"/>
    </row>
    <row r="14" spans="1:12" ht="24.95" customHeight="1" x14ac:dyDescent="0.15">
      <c r="A14" s="80">
        <v>8</v>
      </c>
      <c r="B14" s="597" t="s">
        <v>36</v>
      </c>
      <c r="C14" s="71" t="s">
        <v>37</v>
      </c>
      <c r="D14" s="80" t="s">
        <v>49</v>
      </c>
      <c r="E14" s="595">
        <v>35000</v>
      </c>
      <c r="F14" s="595">
        <v>35000</v>
      </c>
      <c r="G14" s="595">
        <v>35000</v>
      </c>
      <c r="H14" s="595">
        <v>35000</v>
      </c>
      <c r="I14" s="595">
        <v>35000</v>
      </c>
      <c r="J14" s="595">
        <v>35000</v>
      </c>
      <c r="K14" s="596">
        <f t="shared" si="0"/>
        <v>210000</v>
      </c>
      <c r="L14" s="819"/>
    </row>
    <row r="15" spans="1:12" ht="24.95" customHeight="1" x14ac:dyDescent="0.15">
      <c r="A15" s="80">
        <v>9</v>
      </c>
      <c r="B15" s="597" t="s">
        <v>39</v>
      </c>
      <c r="C15" s="71" t="s">
        <v>40</v>
      </c>
      <c r="D15" s="594" t="s">
        <v>41</v>
      </c>
      <c r="E15" s="595">
        <v>35000</v>
      </c>
      <c r="F15" s="595">
        <v>35000</v>
      </c>
      <c r="G15" s="595">
        <v>35000</v>
      </c>
      <c r="H15" s="595">
        <v>35000</v>
      </c>
      <c r="I15" s="595">
        <v>35000</v>
      </c>
      <c r="J15" s="595">
        <v>35000</v>
      </c>
      <c r="K15" s="596">
        <f t="shared" si="0"/>
        <v>210000</v>
      </c>
      <c r="L15" s="819"/>
    </row>
    <row r="16" spans="1:12" ht="24.95" customHeight="1" x14ac:dyDescent="0.15">
      <c r="A16" s="80">
        <v>10</v>
      </c>
      <c r="B16" s="593" t="s">
        <v>42</v>
      </c>
      <c r="C16" s="72" t="s">
        <v>156</v>
      </c>
      <c r="D16" s="594" t="s">
        <v>176</v>
      </c>
      <c r="E16" s="595">
        <v>35000</v>
      </c>
      <c r="F16" s="595">
        <v>35000</v>
      </c>
      <c r="G16" s="595">
        <v>35000</v>
      </c>
      <c r="H16" s="595">
        <v>35000</v>
      </c>
      <c r="I16" s="595">
        <v>35000</v>
      </c>
      <c r="J16" s="595">
        <v>35000</v>
      </c>
      <c r="K16" s="596">
        <f t="shared" si="0"/>
        <v>210000</v>
      </c>
      <c r="L16" s="819"/>
    </row>
    <row r="17" spans="1:12" ht="24.95" customHeight="1" x14ac:dyDescent="0.15">
      <c r="A17" s="80">
        <v>11</v>
      </c>
      <c r="B17" s="597" t="s">
        <v>44</v>
      </c>
      <c r="C17" s="71" t="s">
        <v>45</v>
      </c>
      <c r="D17" s="80" t="s">
        <v>197</v>
      </c>
      <c r="E17" s="595">
        <v>35000</v>
      </c>
      <c r="F17" s="595">
        <v>35000</v>
      </c>
      <c r="G17" s="595">
        <v>35000</v>
      </c>
      <c r="H17" s="595">
        <v>35000</v>
      </c>
      <c r="I17" s="595">
        <v>35000</v>
      </c>
      <c r="J17" s="595">
        <v>35000</v>
      </c>
      <c r="K17" s="596">
        <f t="shared" si="0"/>
        <v>210000</v>
      </c>
      <c r="L17" s="819"/>
    </row>
    <row r="18" spans="1:12" ht="24.95" customHeight="1" x14ac:dyDescent="0.15">
      <c r="A18" s="80">
        <v>12</v>
      </c>
      <c r="B18" s="597" t="s">
        <v>47</v>
      </c>
      <c r="C18" s="71" t="s">
        <v>533</v>
      </c>
      <c r="D18" s="80" t="s">
        <v>52</v>
      </c>
      <c r="E18" s="595">
        <v>35000</v>
      </c>
      <c r="F18" s="595">
        <v>35000</v>
      </c>
      <c r="G18" s="595">
        <v>35000</v>
      </c>
      <c r="H18" s="595">
        <v>35000</v>
      </c>
      <c r="I18" s="595">
        <v>35000</v>
      </c>
      <c r="J18" s="595">
        <v>35000</v>
      </c>
      <c r="K18" s="596">
        <f t="shared" si="0"/>
        <v>210000</v>
      </c>
      <c r="L18" s="819"/>
    </row>
    <row r="19" spans="1:12" ht="24.95" customHeight="1" x14ac:dyDescent="0.15">
      <c r="A19" s="80">
        <v>13</v>
      </c>
      <c r="B19" s="597" t="s">
        <v>50</v>
      </c>
      <c r="C19" s="68" t="s">
        <v>51</v>
      </c>
      <c r="D19" s="594" t="s">
        <v>534</v>
      </c>
      <c r="E19" s="595">
        <v>35000</v>
      </c>
      <c r="F19" s="595">
        <v>35000</v>
      </c>
      <c r="G19" s="595">
        <v>35000</v>
      </c>
      <c r="H19" s="595">
        <v>35000</v>
      </c>
      <c r="I19" s="595">
        <v>35000</v>
      </c>
      <c r="J19" s="595">
        <v>35000</v>
      </c>
      <c r="K19" s="596">
        <f t="shared" si="0"/>
        <v>210000</v>
      </c>
      <c r="L19" s="819"/>
    </row>
    <row r="20" spans="1:12" ht="24.95" customHeight="1" x14ac:dyDescent="0.15">
      <c r="A20" s="80">
        <v>14</v>
      </c>
      <c r="B20" s="313" t="s">
        <v>53</v>
      </c>
      <c r="C20" s="71" t="s">
        <v>54</v>
      </c>
      <c r="D20" s="594" t="s">
        <v>535</v>
      </c>
      <c r="E20" s="595">
        <v>35000</v>
      </c>
      <c r="F20" s="595">
        <v>35000</v>
      </c>
      <c r="G20" s="595">
        <v>35000</v>
      </c>
      <c r="H20" s="595">
        <v>35000</v>
      </c>
      <c r="I20" s="595">
        <v>35000</v>
      </c>
      <c r="J20" s="595">
        <v>35000</v>
      </c>
      <c r="K20" s="596">
        <f t="shared" si="0"/>
        <v>210000</v>
      </c>
      <c r="L20" s="819"/>
    </row>
    <row r="21" spans="1:12" ht="24.95" customHeight="1" x14ac:dyDescent="0.15">
      <c r="A21" s="80">
        <v>15</v>
      </c>
      <c r="B21" s="597" t="s">
        <v>63</v>
      </c>
      <c r="C21" s="68" t="s">
        <v>64</v>
      </c>
      <c r="D21" s="594" t="s">
        <v>162</v>
      </c>
      <c r="E21" s="595">
        <v>35000</v>
      </c>
      <c r="F21" s="595">
        <v>35000</v>
      </c>
      <c r="G21" s="595">
        <v>35000</v>
      </c>
      <c r="H21" s="595">
        <v>35000</v>
      </c>
      <c r="I21" s="595">
        <v>35000</v>
      </c>
      <c r="J21" s="595">
        <v>35000</v>
      </c>
      <c r="K21" s="596">
        <f t="shared" si="0"/>
        <v>210000</v>
      </c>
      <c r="L21" s="819"/>
    </row>
    <row r="22" spans="1:12" ht="24.95" customHeight="1" x14ac:dyDescent="0.15">
      <c r="A22" s="80">
        <v>16</v>
      </c>
      <c r="B22" s="593" t="s">
        <v>66</v>
      </c>
      <c r="C22" s="72" t="s">
        <v>67</v>
      </c>
      <c r="D22" s="80" t="s">
        <v>137</v>
      </c>
      <c r="E22" s="595">
        <v>35000</v>
      </c>
      <c r="F22" s="595">
        <v>35000</v>
      </c>
      <c r="G22" s="595">
        <v>35000</v>
      </c>
      <c r="H22" s="595">
        <v>35000</v>
      </c>
      <c r="I22" s="595">
        <v>35000</v>
      </c>
      <c r="J22" s="595">
        <v>35000</v>
      </c>
      <c r="K22" s="596">
        <f t="shared" si="0"/>
        <v>210000</v>
      </c>
      <c r="L22" s="819"/>
    </row>
    <row r="23" spans="1:12" ht="24.95" customHeight="1" x14ac:dyDescent="0.15">
      <c r="A23" s="80">
        <v>17</v>
      </c>
      <c r="B23" s="597" t="s">
        <v>69</v>
      </c>
      <c r="C23" s="72" t="s">
        <v>70</v>
      </c>
      <c r="D23" s="594" t="s">
        <v>137</v>
      </c>
      <c r="E23" s="595">
        <v>35000</v>
      </c>
      <c r="F23" s="595">
        <v>35000</v>
      </c>
      <c r="G23" s="595">
        <v>35000</v>
      </c>
      <c r="H23" s="595">
        <v>35000</v>
      </c>
      <c r="I23" s="595">
        <v>35000</v>
      </c>
      <c r="J23" s="595">
        <v>35000</v>
      </c>
      <c r="K23" s="596">
        <f t="shared" si="0"/>
        <v>210000</v>
      </c>
      <c r="L23" s="819"/>
    </row>
    <row r="24" spans="1:12" ht="24.95" customHeight="1" x14ac:dyDescent="0.15">
      <c r="A24" s="80">
        <v>18</v>
      </c>
      <c r="B24" s="593" t="s">
        <v>71</v>
      </c>
      <c r="C24" s="72" t="s">
        <v>72</v>
      </c>
      <c r="D24" s="80" t="s">
        <v>73</v>
      </c>
      <c r="E24" s="595">
        <v>35000</v>
      </c>
      <c r="F24" s="595">
        <v>35000</v>
      </c>
      <c r="G24" s="595">
        <v>35000</v>
      </c>
      <c r="H24" s="595">
        <v>35000</v>
      </c>
      <c r="I24" s="595">
        <v>35000</v>
      </c>
      <c r="J24" s="595">
        <v>35000</v>
      </c>
      <c r="K24" s="596">
        <f t="shared" si="0"/>
        <v>210000</v>
      </c>
      <c r="L24" s="819"/>
    </row>
    <row r="25" spans="1:12" ht="24.95" customHeight="1" x14ac:dyDescent="0.15">
      <c r="A25" s="80">
        <v>19</v>
      </c>
      <c r="B25" s="71" t="s">
        <v>77</v>
      </c>
      <c r="C25" s="71" t="s">
        <v>78</v>
      </c>
      <c r="D25" s="80" t="s">
        <v>84</v>
      </c>
      <c r="E25" s="595">
        <v>35000</v>
      </c>
      <c r="F25" s="595">
        <v>35000</v>
      </c>
      <c r="G25" s="595">
        <v>35000</v>
      </c>
      <c r="H25" s="595">
        <v>35000</v>
      </c>
      <c r="I25" s="595">
        <v>35000</v>
      </c>
      <c r="J25" s="595">
        <v>35000</v>
      </c>
      <c r="K25" s="596">
        <f t="shared" si="0"/>
        <v>210000</v>
      </c>
      <c r="L25" s="819"/>
    </row>
    <row r="26" spans="1:12" ht="24.95" customHeight="1" x14ac:dyDescent="0.15">
      <c r="A26" s="80">
        <v>20</v>
      </c>
      <c r="B26" s="313" t="s">
        <v>80</v>
      </c>
      <c r="C26" s="68" t="s">
        <v>78</v>
      </c>
      <c r="D26" s="594" t="s">
        <v>84</v>
      </c>
      <c r="E26" s="595">
        <v>35000</v>
      </c>
      <c r="F26" s="595">
        <v>35000</v>
      </c>
      <c r="G26" s="595">
        <v>35000</v>
      </c>
      <c r="H26" s="595">
        <v>35000</v>
      </c>
      <c r="I26" s="595">
        <v>35000</v>
      </c>
      <c r="J26" s="595">
        <v>35000</v>
      </c>
      <c r="K26" s="596">
        <f t="shared" si="0"/>
        <v>210000</v>
      </c>
      <c r="L26" s="819"/>
    </row>
    <row r="27" spans="1:12" ht="24.95" customHeight="1" x14ac:dyDescent="0.15">
      <c r="A27" s="80">
        <v>21</v>
      </c>
      <c r="B27" s="597" t="s">
        <v>81</v>
      </c>
      <c r="C27" s="72" t="s">
        <v>67</v>
      </c>
      <c r="D27" s="80" t="s">
        <v>84</v>
      </c>
      <c r="E27" s="595">
        <v>35000</v>
      </c>
      <c r="F27" s="595">
        <v>35000</v>
      </c>
      <c r="G27" s="595">
        <v>35000</v>
      </c>
      <c r="H27" s="595">
        <v>35000</v>
      </c>
      <c r="I27" s="595">
        <v>35000</v>
      </c>
      <c r="J27" s="595">
        <v>35000</v>
      </c>
      <c r="K27" s="596">
        <f t="shared" si="0"/>
        <v>210000</v>
      </c>
      <c r="L27" s="819"/>
    </row>
    <row r="28" spans="1:12" ht="24.95" customHeight="1" x14ac:dyDescent="0.15">
      <c r="A28" s="80">
        <v>22</v>
      </c>
      <c r="B28" s="313" t="s">
        <v>82</v>
      </c>
      <c r="C28" s="68" t="s">
        <v>83</v>
      </c>
      <c r="D28" s="594" t="s">
        <v>87</v>
      </c>
      <c r="E28" s="595">
        <v>35000</v>
      </c>
      <c r="F28" s="595">
        <v>35000</v>
      </c>
      <c r="G28" s="595">
        <v>35000</v>
      </c>
      <c r="H28" s="595">
        <v>35000</v>
      </c>
      <c r="I28" s="595">
        <v>35000</v>
      </c>
      <c r="J28" s="595">
        <v>35000</v>
      </c>
      <c r="K28" s="596">
        <f t="shared" si="0"/>
        <v>210000</v>
      </c>
      <c r="L28" s="819"/>
    </row>
    <row r="29" spans="1:12" ht="24.95" customHeight="1" x14ac:dyDescent="0.15">
      <c r="A29" s="80">
        <v>23</v>
      </c>
      <c r="B29" s="313" t="s">
        <v>85</v>
      </c>
      <c r="C29" s="71" t="s">
        <v>86</v>
      </c>
      <c r="D29" s="80" t="s">
        <v>96</v>
      </c>
      <c r="E29" s="595">
        <v>35000</v>
      </c>
      <c r="F29" s="595">
        <v>35000</v>
      </c>
      <c r="G29" s="595">
        <v>35000</v>
      </c>
      <c r="H29" s="595">
        <v>35000</v>
      </c>
      <c r="I29" s="595">
        <v>35000</v>
      </c>
      <c r="J29" s="595">
        <v>35000</v>
      </c>
      <c r="K29" s="596">
        <f t="shared" si="0"/>
        <v>210000</v>
      </c>
      <c r="L29" s="819"/>
    </row>
    <row r="30" spans="1:12" ht="24.95" customHeight="1" x14ac:dyDescent="0.15">
      <c r="A30" s="80">
        <v>24</v>
      </c>
      <c r="B30" s="313" t="s">
        <v>88</v>
      </c>
      <c r="C30" s="71" t="s">
        <v>86</v>
      </c>
      <c r="D30" s="80" t="s">
        <v>96</v>
      </c>
      <c r="E30" s="595">
        <v>35000</v>
      </c>
      <c r="F30" s="595">
        <v>35000</v>
      </c>
      <c r="G30" s="595">
        <v>35000</v>
      </c>
      <c r="H30" s="595">
        <v>35000</v>
      </c>
      <c r="I30" s="595">
        <v>35000</v>
      </c>
      <c r="J30" s="595">
        <v>35000</v>
      </c>
      <c r="K30" s="596">
        <f t="shared" si="0"/>
        <v>210000</v>
      </c>
      <c r="L30" s="819"/>
    </row>
    <row r="31" spans="1:12" ht="24.95" customHeight="1" x14ac:dyDescent="0.15">
      <c r="A31" s="80">
        <v>25</v>
      </c>
      <c r="B31" s="313" t="s">
        <v>89</v>
      </c>
      <c r="C31" s="72" t="s">
        <v>90</v>
      </c>
      <c r="D31" s="594" t="s">
        <v>84</v>
      </c>
      <c r="E31" s="595">
        <v>35000</v>
      </c>
      <c r="F31" s="595">
        <v>35000</v>
      </c>
      <c r="G31" s="595">
        <v>35000</v>
      </c>
      <c r="H31" s="595">
        <v>35000</v>
      </c>
      <c r="I31" s="595">
        <v>35000</v>
      </c>
      <c r="J31" s="595">
        <v>35000</v>
      </c>
      <c r="K31" s="596">
        <f t="shared" si="0"/>
        <v>210000</v>
      </c>
      <c r="L31" s="819"/>
    </row>
    <row r="32" spans="1:12" ht="24.95" customHeight="1" x14ac:dyDescent="0.15">
      <c r="A32" s="80">
        <v>26</v>
      </c>
      <c r="B32" s="313" t="s">
        <v>92</v>
      </c>
      <c r="C32" s="71" t="s">
        <v>93</v>
      </c>
      <c r="D32" s="80" t="s">
        <v>102</v>
      </c>
      <c r="E32" s="595">
        <v>35000</v>
      </c>
      <c r="F32" s="595">
        <v>35000</v>
      </c>
      <c r="G32" s="595">
        <v>35000</v>
      </c>
      <c r="H32" s="595">
        <v>35000</v>
      </c>
      <c r="I32" s="595">
        <v>35000</v>
      </c>
      <c r="J32" s="595">
        <v>35000</v>
      </c>
      <c r="K32" s="596">
        <f t="shared" si="0"/>
        <v>210000</v>
      </c>
      <c r="L32" s="819"/>
    </row>
    <row r="33" spans="1:12" ht="24.95" customHeight="1" x14ac:dyDescent="0.15">
      <c r="A33" s="80">
        <v>27</v>
      </c>
      <c r="B33" s="313" t="s">
        <v>100</v>
      </c>
      <c r="C33" s="68" t="s">
        <v>101</v>
      </c>
      <c r="D33" s="594" t="s">
        <v>105</v>
      </c>
      <c r="E33" s="595">
        <v>35000</v>
      </c>
      <c r="F33" s="595">
        <v>35000</v>
      </c>
      <c r="G33" s="595">
        <v>35000</v>
      </c>
      <c r="H33" s="595">
        <v>35000</v>
      </c>
      <c r="I33" s="595">
        <v>35000</v>
      </c>
      <c r="J33" s="595">
        <v>35000</v>
      </c>
      <c r="K33" s="596">
        <f t="shared" si="0"/>
        <v>210000</v>
      </c>
      <c r="L33" s="819"/>
    </row>
    <row r="34" spans="1:12" ht="24.95" customHeight="1" x14ac:dyDescent="0.15">
      <c r="A34" s="80"/>
      <c r="B34" s="809" t="s">
        <v>111</v>
      </c>
      <c r="C34" s="73">
        <v>27</v>
      </c>
      <c r="D34" s="594"/>
      <c r="E34" s="810">
        <f t="shared" ref="E34:K34" si="1">SUM(E7:E33)</f>
        <v>945000</v>
      </c>
      <c r="F34" s="811">
        <f t="shared" si="1"/>
        <v>945000</v>
      </c>
      <c r="G34" s="811">
        <f t="shared" si="1"/>
        <v>945000</v>
      </c>
      <c r="H34" s="811">
        <f t="shared" si="1"/>
        <v>945000</v>
      </c>
      <c r="I34" s="811">
        <f t="shared" si="1"/>
        <v>945000</v>
      </c>
      <c r="J34" s="811">
        <f t="shared" si="1"/>
        <v>945000</v>
      </c>
      <c r="K34" s="811">
        <f t="shared" si="1"/>
        <v>5670000</v>
      </c>
      <c r="L34" s="819"/>
    </row>
    <row r="35" spans="1:12" ht="24.95" customHeight="1" x14ac:dyDescent="0.15">
      <c r="A35" s="80"/>
      <c r="B35" s="812"/>
      <c r="C35" s="71"/>
      <c r="D35" s="594"/>
      <c r="E35" s="594"/>
      <c r="F35" s="813"/>
      <c r="G35" s="813"/>
      <c r="H35" s="813"/>
      <c r="I35" s="813"/>
      <c r="J35" s="813"/>
      <c r="K35" s="596"/>
      <c r="L35" s="819"/>
    </row>
    <row r="36" spans="1:12" ht="24.95" customHeight="1" x14ac:dyDescent="0.15">
      <c r="A36" s="80"/>
      <c r="B36" s="809" t="s">
        <v>112</v>
      </c>
      <c r="C36" s="71"/>
      <c r="D36" s="594"/>
      <c r="E36" s="594"/>
      <c r="F36" s="595"/>
      <c r="G36" s="595"/>
      <c r="H36" s="595"/>
      <c r="I36" s="595"/>
      <c r="J36" s="595"/>
      <c r="K36" s="596"/>
      <c r="L36" s="819"/>
    </row>
    <row r="37" spans="1:12" ht="24.95" customHeight="1" x14ac:dyDescent="0.15">
      <c r="A37" s="80">
        <v>1</v>
      </c>
      <c r="B37" s="313" t="s">
        <v>113</v>
      </c>
      <c r="C37" s="71" t="s">
        <v>114</v>
      </c>
      <c r="D37" s="80" t="s">
        <v>115</v>
      </c>
      <c r="E37" s="595">
        <v>35000</v>
      </c>
      <c r="F37" s="595">
        <v>35000</v>
      </c>
      <c r="G37" s="595">
        <v>35000</v>
      </c>
      <c r="H37" s="595">
        <v>35000</v>
      </c>
      <c r="I37" s="595">
        <v>35000</v>
      </c>
      <c r="J37" s="595">
        <v>35000</v>
      </c>
      <c r="K37" s="596">
        <f t="shared" ref="K37:K39" si="2">SUM(E37:J37)</f>
        <v>210000</v>
      </c>
      <c r="L37" s="819"/>
    </row>
    <row r="38" spans="1:12" ht="24.95" customHeight="1" x14ac:dyDescent="0.15">
      <c r="A38" s="80">
        <v>2</v>
      </c>
      <c r="B38" s="313" t="s">
        <v>116</v>
      </c>
      <c r="C38" s="71" t="s">
        <v>117</v>
      </c>
      <c r="D38" s="80" t="s">
        <v>73</v>
      </c>
      <c r="E38" s="595">
        <v>35000</v>
      </c>
      <c r="F38" s="595">
        <v>35000</v>
      </c>
      <c r="G38" s="595">
        <v>35000</v>
      </c>
      <c r="H38" s="595">
        <v>35000</v>
      </c>
      <c r="I38" s="595">
        <v>35000</v>
      </c>
      <c r="J38" s="595">
        <v>35000</v>
      </c>
      <c r="K38" s="596">
        <f t="shared" si="2"/>
        <v>210000</v>
      </c>
      <c r="L38" s="819"/>
    </row>
    <row r="39" spans="1:12" ht="24.95" customHeight="1" x14ac:dyDescent="0.15">
      <c r="A39" s="80">
        <v>3</v>
      </c>
      <c r="B39" s="597" t="s">
        <v>118</v>
      </c>
      <c r="C39" s="71" t="s">
        <v>117</v>
      </c>
      <c r="D39" s="594" t="s">
        <v>76</v>
      </c>
      <c r="E39" s="595">
        <v>35000</v>
      </c>
      <c r="F39" s="595">
        <v>35000</v>
      </c>
      <c r="G39" s="595">
        <v>35000</v>
      </c>
      <c r="H39" s="595">
        <v>35000</v>
      </c>
      <c r="I39" s="595">
        <v>35000</v>
      </c>
      <c r="J39" s="595">
        <v>35000</v>
      </c>
      <c r="K39" s="596">
        <f t="shared" si="2"/>
        <v>210000</v>
      </c>
      <c r="L39" s="819"/>
    </row>
    <row r="40" spans="1:12" ht="24.95" customHeight="1" x14ac:dyDescent="0.15">
      <c r="A40" s="80"/>
      <c r="B40" s="593"/>
      <c r="C40" s="73">
        <v>3</v>
      </c>
      <c r="D40" s="80"/>
      <c r="E40" s="811">
        <f t="shared" ref="E40:K40" si="3">SUM(E37:E39)</f>
        <v>105000</v>
      </c>
      <c r="F40" s="811">
        <f t="shared" si="3"/>
        <v>105000</v>
      </c>
      <c r="G40" s="811">
        <f t="shared" si="3"/>
        <v>105000</v>
      </c>
      <c r="H40" s="811">
        <f t="shared" si="3"/>
        <v>105000</v>
      </c>
      <c r="I40" s="811">
        <f t="shared" si="3"/>
        <v>105000</v>
      </c>
      <c r="J40" s="811">
        <f t="shared" si="3"/>
        <v>105000</v>
      </c>
      <c r="K40" s="811">
        <f t="shared" si="3"/>
        <v>630000</v>
      </c>
      <c r="L40" s="819"/>
    </row>
    <row r="41" spans="1:12" ht="24.95" customHeight="1" x14ac:dyDescent="0.15">
      <c r="A41" s="80"/>
      <c r="B41" s="593"/>
      <c r="C41" s="71"/>
      <c r="D41" s="80"/>
      <c r="E41" s="80"/>
      <c r="F41" s="813"/>
      <c r="G41" s="813"/>
      <c r="H41" s="813"/>
      <c r="I41" s="813"/>
      <c r="J41" s="813"/>
      <c r="K41" s="596"/>
      <c r="L41" s="819"/>
    </row>
    <row r="42" spans="1:12" ht="24.95" customHeight="1" x14ac:dyDescent="0.15">
      <c r="A42" s="80"/>
      <c r="B42" s="814" t="s">
        <v>125</v>
      </c>
      <c r="C42" s="75"/>
      <c r="D42" s="600"/>
      <c r="E42" s="600"/>
      <c r="F42" s="813"/>
      <c r="G42" s="813"/>
      <c r="H42" s="813"/>
      <c r="I42" s="813"/>
      <c r="J42" s="813"/>
      <c r="K42" s="596"/>
      <c r="L42" s="819"/>
    </row>
    <row r="43" spans="1:12" ht="24.95" customHeight="1" x14ac:dyDescent="0.15">
      <c r="A43" s="80">
        <v>1</v>
      </c>
      <c r="B43" s="815" t="s">
        <v>536</v>
      </c>
      <c r="C43" s="71" t="s">
        <v>537</v>
      </c>
      <c r="D43" s="80" t="s">
        <v>115</v>
      </c>
      <c r="E43" s="595">
        <v>35000</v>
      </c>
      <c r="F43" s="595">
        <v>35000</v>
      </c>
      <c r="G43" s="595">
        <v>35000</v>
      </c>
      <c r="H43" s="595">
        <v>35000</v>
      </c>
      <c r="I43" s="595">
        <v>35000</v>
      </c>
      <c r="J43" s="595">
        <v>35000</v>
      </c>
      <c r="K43" s="596">
        <f t="shared" ref="K43:K45" si="4">SUM(E43:J43)</f>
        <v>210000</v>
      </c>
      <c r="L43" s="819"/>
    </row>
    <row r="44" spans="1:12" ht="24.95" customHeight="1" x14ac:dyDescent="0.15">
      <c r="A44" s="80">
        <v>2</v>
      </c>
      <c r="B44" s="815" t="s">
        <v>538</v>
      </c>
      <c r="C44" s="71" t="s">
        <v>43</v>
      </c>
      <c r="D44" s="80" t="s">
        <v>131</v>
      </c>
      <c r="E44" s="595">
        <v>35000</v>
      </c>
      <c r="F44" s="595">
        <v>35000</v>
      </c>
      <c r="G44" s="595">
        <v>35000</v>
      </c>
      <c r="H44" s="595">
        <v>35000</v>
      </c>
      <c r="I44" s="595">
        <v>35000</v>
      </c>
      <c r="J44" s="595">
        <v>35000</v>
      </c>
      <c r="K44" s="596">
        <f t="shared" si="4"/>
        <v>210000</v>
      </c>
      <c r="L44" s="819"/>
    </row>
    <row r="45" spans="1:12" ht="24.95" customHeight="1" x14ac:dyDescent="0.15">
      <c r="A45" s="80">
        <v>3</v>
      </c>
      <c r="B45" s="597" t="s">
        <v>126</v>
      </c>
      <c r="C45" s="71" t="s">
        <v>127</v>
      </c>
      <c r="D45" s="80" t="s">
        <v>35</v>
      </c>
      <c r="E45" s="595">
        <v>35000</v>
      </c>
      <c r="F45" s="595">
        <v>35000</v>
      </c>
      <c r="G45" s="595">
        <v>35000</v>
      </c>
      <c r="H45" s="595">
        <v>35000</v>
      </c>
      <c r="I45" s="595">
        <v>35000</v>
      </c>
      <c r="J45" s="595">
        <v>35000</v>
      </c>
      <c r="K45" s="596">
        <f t="shared" si="4"/>
        <v>210000</v>
      </c>
      <c r="L45" s="819"/>
    </row>
    <row r="46" spans="1:12" ht="24.95" customHeight="1" x14ac:dyDescent="0.15">
      <c r="A46" s="80">
        <v>4</v>
      </c>
      <c r="B46" s="597" t="s">
        <v>129</v>
      </c>
      <c r="C46" s="71" t="s">
        <v>130</v>
      </c>
      <c r="D46" s="80" t="s">
        <v>131</v>
      </c>
      <c r="E46" s="595">
        <v>35000</v>
      </c>
      <c r="F46" s="595">
        <v>35000</v>
      </c>
      <c r="G46" s="595">
        <v>35000</v>
      </c>
      <c r="H46" s="595">
        <v>35000</v>
      </c>
      <c r="I46" s="595">
        <v>35000</v>
      </c>
      <c r="J46" s="595">
        <v>35000</v>
      </c>
      <c r="K46" s="596">
        <f t="shared" ref="K46:K53" si="5">SUM(E46:J46)</f>
        <v>210000</v>
      </c>
      <c r="L46" s="819"/>
    </row>
    <row r="47" spans="1:12" ht="24.95" customHeight="1" x14ac:dyDescent="0.15">
      <c r="A47" s="80">
        <v>5</v>
      </c>
      <c r="B47" s="597" t="s">
        <v>132</v>
      </c>
      <c r="C47" s="71" t="s">
        <v>130</v>
      </c>
      <c r="D47" s="80" t="s">
        <v>131</v>
      </c>
      <c r="E47" s="595">
        <v>35000</v>
      </c>
      <c r="F47" s="595">
        <v>35000</v>
      </c>
      <c r="G47" s="595">
        <v>35000</v>
      </c>
      <c r="H47" s="595">
        <v>35000</v>
      </c>
      <c r="I47" s="595">
        <v>35000</v>
      </c>
      <c r="J47" s="595">
        <v>35000</v>
      </c>
      <c r="K47" s="596">
        <f t="shared" si="5"/>
        <v>210000</v>
      </c>
      <c r="L47" s="819"/>
    </row>
    <row r="48" spans="1:12" ht="24.95" customHeight="1" x14ac:dyDescent="0.15">
      <c r="A48" s="80">
        <v>6</v>
      </c>
      <c r="B48" s="597" t="s">
        <v>133</v>
      </c>
      <c r="C48" s="71" t="s">
        <v>130</v>
      </c>
      <c r="D48" s="80" t="s">
        <v>49</v>
      </c>
      <c r="E48" s="595">
        <v>35000</v>
      </c>
      <c r="F48" s="595">
        <v>35000</v>
      </c>
      <c r="G48" s="595">
        <v>35000</v>
      </c>
      <c r="H48" s="595">
        <v>35000</v>
      </c>
      <c r="I48" s="595">
        <v>35000</v>
      </c>
      <c r="J48" s="595">
        <v>35000</v>
      </c>
      <c r="K48" s="596">
        <f t="shared" si="5"/>
        <v>210000</v>
      </c>
      <c r="L48" s="819"/>
    </row>
    <row r="49" spans="1:12" ht="24.95" customHeight="1" x14ac:dyDescent="0.15">
      <c r="A49" s="80">
        <v>7</v>
      </c>
      <c r="B49" s="593" t="s">
        <v>134</v>
      </c>
      <c r="C49" s="71" t="s">
        <v>156</v>
      </c>
      <c r="D49" s="816" t="s">
        <v>176</v>
      </c>
      <c r="E49" s="595">
        <v>35000</v>
      </c>
      <c r="F49" s="595">
        <v>35000</v>
      </c>
      <c r="G49" s="595">
        <v>35000</v>
      </c>
      <c r="H49" s="595">
        <v>35000</v>
      </c>
      <c r="I49" s="595">
        <v>35000</v>
      </c>
      <c r="J49" s="595">
        <v>35000</v>
      </c>
      <c r="K49" s="596">
        <f t="shared" si="5"/>
        <v>210000</v>
      </c>
      <c r="L49" s="819"/>
    </row>
    <row r="50" spans="1:12" ht="24.95" customHeight="1" x14ac:dyDescent="0.15">
      <c r="A50" s="80">
        <v>8</v>
      </c>
      <c r="B50" s="597" t="s">
        <v>138</v>
      </c>
      <c r="C50" s="71" t="s">
        <v>139</v>
      </c>
      <c r="D50" s="80" t="s">
        <v>76</v>
      </c>
      <c r="E50" s="595">
        <v>35000</v>
      </c>
      <c r="F50" s="595">
        <v>35000</v>
      </c>
      <c r="G50" s="595">
        <v>35000</v>
      </c>
      <c r="H50" s="595">
        <v>35000</v>
      </c>
      <c r="I50" s="595">
        <v>35000</v>
      </c>
      <c r="J50" s="595">
        <v>35000</v>
      </c>
      <c r="K50" s="596">
        <f t="shared" si="5"/>
        <v>210000</v>
      </c>
      <c r="L50" s="819"/>
    </row>
    <row r="51" spans="1:12" ht="24.95" customHeight="1" x14ac:dyDescent="0.15">
      <c r="A51" s="80">
        <v>9</v>
      </c>
      <c r="B51" s="597" t="s">
        <v>142</v>
      </c>
      <c r="C51" s="71" t="s">
        <v>139</v>
      </c>
      <c r="D51" s="80" t="s">
        <v>87</v>
      </c>
      <c r="E51" s="595">
        <v>35000</v>
      </c>
      <c r="F51" s="595">
        <v>35000</v>
      </c>
      <c r="G51" s="595">
        <v>35000</v>
      </c>
      <c r="H51" s="595">
        <v>35000</v>
      </c>
      <c r="I51" s="595">
        <v>35000</v>
      </c>
      <c r="J51" s="595">
        <v>35000</v>
      </c>
      <c r="K51" s="596">
        <f t="shared" si="5"/>
        <v>210000</v>
      </c>
      <c r="L51" s="819"/>
    </row>
    <row r="52" spans="1:12" ht="24.95" customHeight="1" x14ac:dyDescent="0.15">
      <c r="A52" s="80">
        <v>10</v>
      </c>
      <c r="B52" s="597" t="s">
        <v>539</v>
      </c>
      <c r="C52" s="71" t="s">
        <v>139</v>
      </c>
      <c r="D52" s="80" t="s">
        <v>87</v>
      </c>
      <c r="E52" s="595">
        <v>35000</v>
      </c>
      <c r="F52" s="595">
        <v>35000</v>
      </c>
      <c r="G52" s="595">
        <v>35000</v>
      </c>
      <c r="H52" s="595">
        <v>35000</v>
      </c>
      <c r="I52" s="595">
        <v>35000</v>
      </c>
      <c r="J52" s="595">
        <v>35000</v>
      </c>
      <c r="K52" s="596">
        <f t="shared" si="5"/>
        <v>210000</v>
      </c>
      <c r="L52" s="819"/>
    </row>
    <row r="53" spans="1:12" ht="24.95" customHeight="1" x14ac:dyDescent="0.15">
      <c r="A53" s="80">
        <v>11</v>
      </c>
      <c r="B53" s="597" t="s">
        <v>143</v>
      </c>
      <c r="C53" s="71" t="s">
        <v>139</v>
      </c>
      <c r="D53" s="80" t="s">
        <v>87</v>
      </c>
      <c r="E53" s="595">
        <v>35000</v>
      </c>
      <c r="F53" s="595">
        <v>35000</v>
      </c>
      <c r="G53" s="595">
        <v>35000</v>
      </c>
      <c r="H53" s="595">
        <v>35000</v>
      </c>
      <c r="I53" s="595">
        <v>35000</v>
      </c>
      <c r="J53" s="595">
        <v>35000</v>
      </c>
      <c r="K53" s="596">
        <f t="shared" si="5"/>
        <v>210000</v>
      </c>
      <c r="L53" s="819"/>
    </row>
    <row r="54" spans="1:12" ht="24.95" customHeight="1" x14ac:dyDescent="0.15">
      <c r="A54" s="80"/>
      <c r="B54" s="809" t="s">
        <v>111</v>
      </c>
      <c r="C54" s="73">
        <v>11</v>
      </c>
      <c r="D54" s="73"/>
      <c r="E54" s="817">
        <f t="shared" ref="E54:K54" si="6">SUM(E43:E53)</f>
        <v>385000</v>
      </c>
      <c r="F54" s="817">
        <f t="shared" si="6"/>
        <v>385000</v>
      </c>
      <c r="G54" s="817">
        <f t="shared" si="6"/>
        <v>385000</v>
      </c>
      <c r="H54" s="817">
        <f t="shared" si="6"/>
        <v>385000</v>
      </c>
      <c r="I54" s="817">
        <f t="shared" si="6"/>
        <v>385000</v>
      </c>
      <c r="J54" s="817">
        <f t="shared" si="6"/>
        <v>385000</v>
      </c>
      <c r="K54" s="811">
        <f t="shared" si="6"/>
        <v>2310000</v>
      </c>
      <c r="L54" s="819"/>
    </row>
    <row r="55" spans="1:12" ht="24.95" customHeight="1" x14ac:dyDescent="0.15">
      <c r="A55" s="80"/>
      <c r="B55" s="812"/>
      <c r="C55" s="73"/>
      <c r="D55" s="73"/>
      <c r="E55" s="73"/>
      <c r="F55" s="601"/>
      <c r="G55" s="601"/>
      <c r="H55" s="601"/>
      <c r="I55" s="601"/>
      <c r="J55" s="601"/>
      <c r="K55" s="596"/>
      <c r="L55" s="819"/>
    </row>
    <row r="56" spans="1:12" ht="24.95" customHeight="1" x14ac:dyDescent="0.15">
      <c r="A56" s="80"/>
      <c r="B56" s="809" t="s">
        <v>145</v>
      </c>
      <c r="C56" s="73"/>
      <c r="D56" s="73"/>
      <c r="E56" s="73"/>
      <c r="F56" s="601"/>
      <c r="G56" s="601"/>
      <c r="H56" s="601"/>
      <c r="I56" s="601"/>
      <c r="J56" s="601"/>
      <c r="K56" s="596"/>
      <c r="L56" s="819"/>
    </row>
    <row r="57" spans="1:12" ht="24.95" customHeight="1" x14ac:dyDescent="0.15">
      <c r="A57" s="80">
        <v>1</v>
      </c>
      <c r="B57" s="597" t="s">
        <v>540</v>
      </c>
      <c r="C57" s="68" t="s">
        <v>147</v>
      </c>
      <c r="D57" s="594" t="s">
        <v>115</v>
      </c>
      <c r="E57" s="595">
        <v>35000</v>
      </c>
      <c r="F57" s="595">
        <v>35000</v>
      </c>
      <c r="G57" s="595">
        <v>35000</v>
      </c>
      <c r="H57" s="595">
        <v>35000</v>
      </c>
      <c r="I57" s="595">
        <v>35000</v>
      </c>
      <c r="J57" s="595">
        <v>35000</v>
      </c>
      <c r="K57" s="596">
        <f t="shared" ref="K57:K71" si="7">SUM(E57:J57)</f>
        <v>210000</v>
      </c>
      <c r="L57" s="819"/>
    </row>
    <row r="58" spans="1:12" ht="24.95" customHeight="1" x14ac:dyDescent="0.15">
      <c r="A58" s="80">
        <v>2</v>
      </c>
      <c r="B58" s="597" t="s">
        <v>148</v>
      </c>
      <c r="C58" s="68" t="s">
        <v>149</v>
      </c>
      <c r="D58" s="594" t="s">
        <v>150</v>
      </c>
      <c r="E58" s="595">
        <v>35000</v>
      </c>
      <c r="F58" s="595">
        <v>35000</v>
      </c>
      <c r="G58" s="595">
        <v>35000</v>
      </c>
      <c r="H58" s="595">
        <v>35000</v>
      </c>
      <c r="I58" s="595">
        <v>35000</v>
      </c>
      <c r="J58" s="595">
        <v>35000</v>
      </c>
      <c r="K58" s="596">
        <f t="shared" si="7"/>
        <v>210000</v>
      </c>
      <c r="L58" s="819"/>
    </row>
    <row r="59" spans="1:12" ht="24.95" customHeight="1" x14ac:dyDescent="0.3">
      <c r="A59" s="80"/>
      <c r="B59" s="809" t="s">
        <v>111</v>
      </c>
      <c r="C59" s="73">
        <v>2</v>
      </c>
      <c r="D59" s="73"/>
      <c r="E59" s="817">
        <f t="shared" ref="E59:K59" si="8">SUM(E57:E58)</f>
        <v>70000</v>
      </c>
      <c r="F59" s="817">
        <f t="shared" si="8"/>
        <v>70000</v>
      </c>
      <c r="G59" s="817">
        <f t="shared" si="8"/>
        <v>70000</v>
      </c>
      <c r="H59" s="817">
        <f t="shared" si="8"/>
        <v>70000</v>
      </c>
      <c r="I59" s="817">
        <f t="shared" si="8"/>
        <v>70000</v>
      </c>
      <c r="J59" s="817">
        <f t="shared" si="8"/>
        <v>70000</v>
      </c>
      <c r="K59" s="821">
        <f t="shared" si="8"/>
        <v>420000</v>
      </c>
      <c r="L59" s="819"/>
    </row>
    <row r="60" spans="1:12" ht="24.95" customHeight="1" x14ac:dyDescent="0.15">
      <c r="A60" s="80"/>
      <c r="B60" s="809"/>
      <c r="C60" s="73"/>
      <c r="D60" s="73"/>
      <c r="E60" s="73"/>
      <c r="F60" s="601"/>
      <c r="G60" s="601"/>
      <c r="H60" s="601"/>
      <c r="I60" s="601"/>
      <c r="J60" s="601"/>
      <c r="K60" s="596"/>
      <c r="L60" s="819"/>
    </row>
    <row r="61" spans="1:12" ht="24.95" customHeight="1" x14ac:dyDescent="0.15">
      <c r="A61" s="80"/>
      <c r="B61" s="809" t="s">
        <v>151</v>
      </c>
      <c r="C61" s="73"/>
      <c r="D61" s="73"/>
      <c r="E61" s="73"/>
      <c r="F61" s="601"/>
      <c r="G61" s="601"/>
      <c r="H61" s="601"/>
      <c r="I61" s="601"/>
      <c r="J61" s="601"/>
      <c r="K61" s="596"/>
      <c r="L61" s="819"/>
    </row>
    <row r="62" spans="1:12" ht="24.95" customHeight="1" x14ac:dyDescent="0.15">
      <c r="A62" s="80">
        <v>1</v>
      </c>
      <c r="B62" s="815" t="s">
        <v>541</v>
      </c>
      <c r="C62" s="72" t="s">
        <v>542</v>
      </c>
      <c r="D62" s="80" t="s">
        <v>115</v>
      </c>
      <c r="E62" s="595">
        <v>35000</v>
      </c>
      <c r="F62" s="595">
        <v>35000</v>
      </c>
      <c r="G62" s="595">
        <v>35000</v>
      </c>
      <c r="H62" s="595">
        <v>35000</v>
      </c>
      <c r="I62" s="595">
        <v>35000</v>
      </c>
      <c r="J62" s="595">
        <v>35000</v>
      </c>
      <c r="K62" s="596">
        <f t="shared" si="7"/>
        <v>210000</v>
      </c>
      <c r="L62" s="819"/>
    </row>
    <row r="63" spans="1:12" ht="24.95" customHeight="1" x14ac:dyDescent="0.15">
      <c r="A63" s="80">
        <v>2</v>
      </c>
      <c r="B63" s="818" t="s">
        <v>543</v>
      </c>
      <c r="C63" s="72" t="s">
        <v>544</v>
      </c>
      <c r="D63" s="594" t="s">
        <v>38</v>
      </c>
      <c r="E63" s="595">
        <v>35000</v>
      </c>
      <c r="F63" s="595">
        <v>35000</v>
      </c>
      <c r="G63" s="595">
        <v>35000</v>
      </c>
      <c r="H63" s="595">
        <v>35000</v>
      </c>
      <c r="I63" s="595">
        <v>35000</v>
      </c>
      <c r="J63" s="595">
        <v>35000</v>
      </c>
      <c r="K63" s="596">
        <f t="shared" si="7"/>
        <v>210000</v>
      </c>
      <c r="L63" s="819"/>
    </row>
    <row r="64" spans="1:12" ht="24.95" customHeight="1" x14ac:dyDescent="0.15">
      <c r="A64" s="80">
        <v>3</v>
      </c>
      <c r="B64" s="597" t="s">
        <v>155</v>
      </c>
      <c r="C64" s="71" t="s">
        <v>156</v>
      </c>
      <c r="D64" s="80" t="s">
        <v>197</v>
      </c>
      <c r="E64" s="595">
        <v>35000</v>
      </c>
      <c r="F64" s="595">
        <v>35000</v>
      </c>
      <c r="G64" s="595">
        <v>35000</v>
      </c>
      <c r="H64" s="595">
        <v>35000</v>
      </c>
      <c r="I64" s="595">
        <v>35000</v>
      </c>
      <c r="J64" s="595">
        <v>35000</v>
      </c>
      <c r="K64" s="596">
        <f t="shared" si="7"/>
        <v>210000</v>
      </c>
      <c r="L64" s="819"/>
    </row>
    <row r="65" spans="1:12" ht="24.95" customHeight="1" x14ac:dyDescent="0.15">
      <c r="A65" s="80">
        <v>4</v>
      </c>
      <c r="B65" s="818" t="s">
        <v>545</v>
      </c>
      <c r="C65" s="72" t="s">
        <v>158</v>
      </c>
      <c r="D65" s="594" t="s">
        <v>534</v>
      </c>
      <c r="E65" s="595">
        <v>35000</v>
      </c>
      <c r="F65" s="595">
        <v>35000</v>
      </c>
      <c r="G65" s="595">
        <v>35000</v>
      </c>
      <c r="H65" s="595">
        <v>35000</v>
      </c>
      <c r="I65" s="595">
        <v>35000</v>
      </c>
      <c r="J65" s="595">
        <v>35000</v>
      </c>
      <c r="K65" s="596">
        <f t="shared" si="7"/>
        <v>210000</v>
      </c>
      <c r="L65" s="819"/>
    </row>
    <row r="66" spans="1:12" ht="24.95" customHeight="1" x14ac:dyDescent="0.15">
      <c r="A66" s="80">
        <v>5</v>
      </c>
      <c r="B66" s="822" t="s">
        <v>546</v>
      </c>
      <c r="C66" s="72" t="s">
        <v>156</v>
      </c>
      <c r="D66" s="594" t="s">
        <v>41</v>
      </c>
      <c r="E66" s="595">
        <v>35000</v>
      </c>
      <c r="F66" s="595">
        <v>35000</v>
      </c>
      <c r="G66" s="595">
        <v>35000</v>
      </c>
      <c r="H66" s="595">
        <v>35000</v>
      </c>
      <c r="I66" s="595">
        <v>35000</v>
      </c>
      <c r="J66" s="595">
        <v>35000</v>
      </c>
      <c r="K66" s="596">
        <f t="shared" si="7"/>
        <v>210000</v>
      </c>
      <c r="L66" s="819"/>
    </row>
    <row r="67" spans="1:12" ht="24.95" customHeight="1" x14ac:dyDescent="0.15">
      <c r="A67" s="80">
        <v>6</v>
      </c>
      <c r="B67" s="597" t="s">
        <v>161</v>
      </c>
      <c r="C67" s="71" t="s">
        <v>139</v>
      </c>
      <c r="D67" s="80" t="s">
        <v>68</v>
      </c>
      <c r="E67" s="595">
        <v>35000</v>
      </c>
      <c r="F67" s="595">
        <v>35000</v>
      </c>
      <c r="G67" s="595">
        <v>35000</v>
      </c>
      <c r="H67" s="595">
        <v>35000</v>
      </c>
      <c r="I67" s="595">
        <v>35000</v>
      </c>
      <c r="J67" s="595">
        <v>35000</v>
      </c>
      <c r="K67" s="596">
        <f t="shared" si="7"/>
        <v>210000</v>
      </c>
      <c r="L67" s="819"/>
    </row>
    <row r="68" spans="1:12" ht="24.95" customHeight="1" x14ac:dyDescent="0.15">
      <c r="A68" s="80">
        <v>7</v>
      </c>
      <c r="B68" s="597" t="s">
        <v>163</v>
      </c>
      <c r="C68" s="72" t="s">
        <v>70</v>
      </c>
      <c r="D68" s="80" t="s">
        <v>68</v>
      </c>
      <c r="E68" s="595">
        <v>35000</v>
      </c>
      <c r="F68" s="595">
        <v>35000</v>
      </c>
      <c r="G68" s="595">
        <v>35000</v>
      </c>
      <c r="H68" s="595">
        <v>35000</v>
      </c>
      <c r="I68" s="595">
        <v>35000</v>
      </c>
      <c r="J68" s="595">
        <v>35000</v>
      </c>
      <c r="K68" s="596">
        <f t="shared" si="7"/>
        <v>210000</v>
      </c>
      <c r="L68" s="819"/>
    </row>
    <row r="69" spans="1:12" ht="24.95" customHeight="1" x14ac:dyDescent="0.15">
      <c r="A69" s="80">
        <v>8</v>
      </c>
      <c r="B69" s="597" t="s">
        <v>164</v>
      </c>
      <c r="C69" s="72" t="s">
        <v>70</v>
      </c>
      <c r="D69" s="80" t="s">
        <v>68</v>
      </c>
      <c r="E69" s="595">
        <v>35000</v>
      </c>
      <c r="F69" s="595">
        <v>35000</v>
      </c>
      <c r="G69" s="595">
        <v>35000</v>
      </c>
      <c r="H69" s="595">
        <v>35000</v>
      </c>
      <c r="I69" s="595">
        <v>35000</v>
      </c>
      <c r="J69" s="595">
        <v>35000</v>
      </c>
      <c r="K69" s="596">
        <f t="shared" si="7"/>
        <v>210000</v>
      </c>
      <c r="L69" s="819"/>
    </row>
    <row r="70" spans="1:12" ht="24.95" customHeight="1" x14ac:dyDescent="0.15">
      <c r="A70" s="80">
        <v>9</v>
      </c>
      <c r="B70" s="597" t="s">
        <v>165</v>
      </c>
      <c r="C70" s="71" t="s">
        <v>166</v>
      </c>
      <c r="D70" s="80" t="s">
        <v>162</v>
      </c>
      <c r="E70" s="595">
        <v>35000</v>
      </c>
      <c r="F70" s="595">
        <v>35000</v>
      </c>
      <c r="G70" s="595">
        <v>35000</v>
      </c>
      <c r="H70" s="595">
        <v>35000</v>
      </c>
      <c r="I70" s="595">
        <v>35000</v>
      </c>
      <c r="J70" s="595">
        <v>35000</v>
      </c>
      <c r="K70" s="596">
        <f t="shared" si="7"/>
        <v>210000</v>
      </c>
      <c r="L70" s="819"/>
    </row>
    <row r="71" spans="1:12" ht="24.95" customHeight="1" x14ac:dyDescent="0.15">
      <c r="A71" s="80">
        <v>10</v>
      </c>
      <c r="B71" s="597" t="s">
        <v>168</v>
      </c>
      <c r="C71" s="71" t="s">
        <v>139</v>
      </c>
      <c r="D71" s="80" t="s">
        <v>76</v>
      </c>
      <c r="E71" s="595">
        <v>35000</v>
      </c>
      <c r="F71" s="595">
        <v>35000</v>
      </c>
      <c r="G71" s="595">
        <v>35000</v>
      </c>
      <c r="H71" s="595">
        <v>35000</v>
      </c>
      <c r="I71" s="595">
        <v>35000</v>
      </c>
      <c r="J71" s="595">
        <v>35000</v>
      </c>
      <c r="K71" s="596">
        <f t="shared" si="7"/>
        <v>210000</v>
      </c>
      <c r="L71" s="819"/>
    </row>
    <row r="72" spans="1:12" ht="24.95" customHeight="1" x14ac:dyDescent="0.3">
      <c r="A72" s="80"/>
      <c r="B72" s="809" t="s">
        <v>111</v>
      </c>
      <c r="C72" s="73">
        <v>10</v>
      </c>
      <c r="D72" s="73"/>
      <c r="E72" s="817">
        <f t="shared" ref="E72:K72" si="9">SUM(E62:E71)</f>
        <v>350000</v>
      </c>
      <c r="F72" s="817">
        <f t="shared" si="9"/>
        <v>350000</v>
      </c>
      <c r="G72" s="817">
        <f t="shared" si="9"/>
        <v>350000</v>
      </c>
      <c r="H72" s="817">
        <f t="shared" si="9"/>
        <v>350000</v>
      </c>
      <c r="I72" s="817">
        <f t="shared" si="9"/>
        <v>350000</v>
      </c>
      <c r="J72" s="817">
        <f t="shared" si="9"/>
        <v>350000</v>
      </c>
      <c r="K72" s="821">
        <f t="shared" si="9"/>
        <v>2100000</v>
      </c>
      <c r="L72" s="819"/>
    </row>
    <row r="73" spans="1:12" ht="24.95" customHeight="1" x14ac:dyDescent="0.15">
      <c r="A73" s="80"/>
      <c r="B73" s="812"/>
      <c r="C73" s="73"/>
      <c r="D73" s="73"/>
      <c r="E73" s="73"/>
      <c r="F73" s="601"/>
      <c r="G73" s="601"/>
      <c r="H73" s="601"/>
      <c r="I73" s="601"/>
      <c r="J73" s="601"/>
      <c r="K73" s="596"/>
      <c r="L73" s="819"/>
    </row>
    <row r="74" spans="1:12" ht="24.95" customHeight="1" x14ac:dyDescent="0.15">
      <c r="A74" s="80"/>
      <c r="B74" s="809" t="s">
        <v>169</v>
      </c>
      <c r="C74" s="73"/>
      <c r="D74" s="73"/>
      <c r="E74" s="73"/>
      <c r="F74" s="601"/>
      <c r="G74" s="601"/>
      <c r="H74" s="601"/>
      <c r="I74" s="601"/>
      <c r="J74" s="601"/>
      <c r="K74" s="596"/>
      <c r="L74" s="819"/>
    </row>
    <row r="75" spans="1:12" ht="24.95" customHeight="1" x14ac:dyDescent="0.15">
      <c r="A75" s="80">
        <v>1</v>
      </c>
      <c r="B75" s="597" t="s">
        <v>170</v>
      </c>
      <c r="C75" s="71" t="s">
        <v>171</v>
      </c>
      <c r="D75" s="80" t="s">
        <v>115</v>
      </c>
      <c r="E75" s="595">
        <v>35000</v>
      </c>
      <c r="F75" s="595">
        <v>35000</v>
      </c>
      <c r="G75" s="595">
        <v>35000</v>
      </c>
      <c r="H75" s="595">
        <v>35000</v>
      </c>
      <c r="I75" s="595">
        <v>35000</v>
      </c>
      <c r="J75" s="595">
        <v>35000</v>
      </c>
      <c r="K75" s="596">
        <f t="shared" ref="K75:K81" si="10">SUM(E75:J75)</f>
        <v>210000</v>
      </c>
      <c r="L75" s="819"/>
    </row>
    <row r="76" spans="1:12" ht="24.95" customHeight="1" x14ac:dyDescent="0.15">
      <c r="A76" s="80">
        <v>2</v>
      </c>
      <c r="B76" s="593" t="s">
        <v>547</v>
      </c>
      <c r="C76" s="71" t="s">
        <v>548</v>
      </c>
      <c r="D76" s="594" t="s">
        <v>549</v>
      </c>
      <c r="E76" s="595">
        <v>35000</v>
      </c>
      <c r="F76" s="595">
        <v>35000</v>
      </c>
      <c r="G76" s="595">
        <v>35000</v>
      </c>
      <c r="H76" s="595">
        <v>35000</v>
      </c>
      <c r="I76" s="595">
        <v>35000</v>
      </c>
      <c r="J76" s="595">
        <v>35000</v>
      </c>
      <c r="K76" s="596">
        <f t="shared" si="10"/>
        <v>210000</v>
      </c>
      <c r="L76" s="819"/>
    </row>
    <row r="77" spans="1:12" ht="24.95" customHeight="1" x14ac:dyDescent="0.15">
      <c r="A77" s="80">
        <v>3</v>
      </c>
      <c r="B77" s="313" t="s">
        <v>550</v>
      </c>
      <c r="C77" s="68" t="s">
        <v>551</v>
      </c>
      <c r="D77" s="80" t="s">
        <v>150</v>
      </c>
      <c r="E77" s="595">
        <v>35000</v>
      </c>
      <c r="F77" s="595">
        <v>35000</v>
      </c>
      <c r="G77" s="595">
        <v>35000</v>
      </c>
      <c r="H77" s="595">
        <v>35000</v>
      </c>
      <c r="I77" s="595">
        <v>35000</v>
      </c>
      <c r="J77" s="595">
        <v>35000</v>
      </c>
      <c r="K77" s="596">
        <f t="shared" si="10"/>
        <v>210000</v>
      </c>
      <c r="L77" s="819"/>
    </row>
    <row r="78" spans="1:12" ht="24.95" customHeight="1" x14ac:dyDescent="0.15">
      <c r="A78" s="80">
        <v>4</v>
      </c>
      <c r="B78" s="597" t="s">
        <v>174</v>
      </c>
      <c r="C78" s="71" t="s">
        <v>175</v>
      </c>
      <c r="D78" s="594" t="s">
        <v>46</v>
      </c>
      <c r="E78" s="595">
        <v>35000</v>
      </c>
      <c r="F78" s="595">
        <v>35000</v>
      </c>
      <c r="G78" s="595">
        <v>35000</v>
      </c>
      <c r="H78" s="595">
        <v>35000</v>
      </c>
      <c r="I78" s="595">
        <v>35000</v>
      </c>
      <c r="J78" s="595">
        <v>35000</v>
      </c>
      <c r="K78" s="596">
        <f t="shared" si="10"/>
        <v>210000</v>
      </c>
      <c r="L78" s="819"/>
    </row>
    <row r="79" spans="1:12" ht="24.95" customHeight="1" x14ac:dyDescent="0.15">
      <c r="A79" s="80">
        <v>5</v>
      </c>
      <c r="B79" s="597" t="s">
        <v>181</v>
      </c>
      <c r="C79" s="71" t="s">
        <v>184</v>
      </c>
      <c r="D79" s="80" t="s">
        <v>119</v>
      </c>
      <c r="E79" s="595">
        <v>35000</v>
      </c>
      <c r="F79" s="595">
        <v>35000</v>
      </c>
      <c r="G79" s="595">
        <v>35000</v>
      </c>
      <c r="H79" s="595">
        <v>35000</v>
      </c>
      <c r="I79" s="595">
        <v>35000</v>
      </c>
      <c r="J79" s="595">
        <v>35000</v>
      </c>
      <c r="K79" s="596">
        <f t="shared" si="10"/>
        <v>210000</v>
      </c>
      <c r="L79" s="819"/>
    </row>
    <row r="80" spans="1:12" ht="24.95" customHeight="1" x14ac:dyDescent="0.15">
      <c r="A80" s="80">
        <v>6</v>
      </c>
      <c r="B80" s="597" t="s">
        <v>183</v>
      </c>
      <c r="C80" s="71" t="s">
        <v>184</v>
      </c>
      <c r="D80" s="80" t="s">
        <v>87</v>
      </c>
      <c r="E80" s="595">
        <v>35000</v>
      </c>
      <c r="F80" s="595">
        <v>35000</v>
      </c>
      <c r="G80" s="595">
        <v>35000</v>
      </c>
      <c r="H80" s="595">
        <v>35000</v>
      </c>
      <c r="I80" s="595">
        <v>35000</v>
      </c>
      <c r="J80" s="595">
        <v>35000</v>
      </c>
      <c r="K80" s="596">
        <f t="shared" si="10"/>
        <v>210000</v>
      </c>
      <c r="L80" s="819"/>
    </row>
    <row r="81" spans="1:12" ht="24.95" customHeight="1" x14ac:dyDescent="0.15">
      <c r="A81" s="80">
        <v>7</v>
      </c>
      <c r="B81" s="597" t="s">
        <v>185</v>
      </c>
      <c r="C81" s="71" t="s">
        <v>186</v>
      </c>
      <c r="D81" s="80" t="s">
        <v>105</v>
      </c>
      <c r="E81" s="595">
        <v>35000</v>
      </c>
      <c r="F81" s="595">
        <v>35000</v>
      </c>
      <c r="G81" s="595">
        <v>35000</v>
      </c>
      <c r="H81" s="595">
        <v>35000</v>
      </c>
      <c r="I81" s="595">
        <v>35000</v>
      </c>
      <c r="J81" s="595">
        <v>35000</v>
      </c>
      <c r="K81" s="596">
        <f t="shared" si="10"/>
        <v>210000</v>
      </c>
      <c r="L81" s="819"/>
    </row>
    <row r="82" spans="1:12" ht="24.95" customHeight="1" x14ac:dyDescent="0.45">
      <c r="A82" s="80"/>
      <c r="B82" s="809" t="s">
        <v>111</v>
      </c>
      <c r="C82" s="73">
        <v>7</v>
      </c>
      <c r="D82" s="73"/>
      <c r="E82" s="823">
        <f t="shared" ref="E82:K82" si="11">SUM(E75:E81)</f>
        <v>245000</v>
      </c>
      <c r="F82" s="823">
        <f t="shared" si="11"/>
        <v>245000</v>
      </c>
      <c r="G82" s="823">
        <f t="shared" si="11"/>
        <v>245000</v>
      </c>
      <c r="H82" s="823">
        <f t="shared" si="11"/>
        <v>245000</v>
      </c>
      <c r="I82" s="823">
        <f t="shared" si="11"/>
        <v>245000</v>
      </c>
      <c r="J82" s="823">
        <f t="shared" si="11"/>
        <v>245000</v>
      </c>
      <c r="K82" s="827">
        <f t="shared" si="11"/>
        <v>1470000</v>
      </c>
      <c r="L82" s="819"/>
    </row>
    <row r="83" spans="1:12" ht="24.95" customHeight="1" x14ac:dyDescent="0.15">
      <c r="A83" s="80"/>
      <c r="B83" s="809"/>
      <c r="C83" s="73"/>
      <c r="D83" s="73"/>
      <c r="E83" s="73"/>
      <c r="F83" s="601"/>
      <c r="G83" s="601"/>
      <c r="H83" s="601"/>
      <c r="I83" s="601"/>
      <c r="J83" s="601"/>
      <c r="K83" s="596"/>
      <c r="L83" s="819"/>
    </row>
    <row r="84" spans="1:12" ht="24.95" customHeight="1" x14ac:dyDescent="0.15">
      <c r="A84" s="80"/>
      <c r="B84" s="809" t="s">
        <v>187</v>
      </c>
      <c r="C84" s="824"/>
      <c r="D84" s="73"/>
      <c r="E84" s="73"/>
      <c r="F84" s="601"/>
      <c r="G84" s="601"/>
      <c r="H84" s="601"/>
      <c r="I84" s="601"/>
      <c r="J84" s="601"/>
      <c r="K84" s="596"/>
      <c r="L84" s="819"/>
    </row>
    <row r="85" spans="1:12" ht="24.95" customHeight="1" x14ac:dyDescent="0.15">
      <c r="A85" s="80">
        <v>1</v>
      </c>
      <c r="B85" s="597" t="s">
        <v>190</v>
      </c>
      <c r="C85" s="71" t="s">
        <v>130</v>
      </c>
      <c r="D85" s="80" t="s">
        <v>131</v>
      </c>
      <c r="E85" s="595">
        <v>35000</v>
      </c>
      <c r="F85" s="595">
        <v>35000</v>
      </c>
      <c r="G85" s="595">
        <v>35000</v>
      </c>
      <c r="H85" s="595">
        <v>35000</v>
      </c>
      <c r="I85" s="595">
        <v>35000</v>
      </c>
      <c r="J85" s="595">
        <v>35000</v>
      </c>
      <c r="K85" s="596">
        <f t="shared" ref="K85:K94" si="12">SUM(E85:J85)</f>
        <v>210000</v>
      </c>
      <c r="L85" s="819"/>
    </row>
    <row r="86" spans="1:12" ht="24.95" customHeight="1" x14ac:dyDescent="0.15">
      <c r="A86" s="80">
        <v>2</v>
      </c>
      <c r="B86" s="597" t="s">
        <v>188</v>
      </c>
      <c r="C86" s="71" t="s">
        <v>130</v>
      </c>
      <c r="D86" s="80" t="s">
        <v>131</v>
      </c>
      <c r="E86" s="595">
        <v>35000</v>
      </c>
      <c r="F86" s="595">
        <v>35000</v>
      </c>
      <c r="G86" s="595">
        <v>35000</v>
      </c>
      <c r="H86" s="595">
        <v>35000</v>
      </c>
      <c r="I86" s="595">
        <v>35000</v>
      </c>
      <c r="J86" s="595">
        <v>35000</v>
      </c>
      <c r="K86" s="596">
        <f t="shared" si="12"/>
        <v>210000</v>
      </c>
      <c r="L86" s="819"/>
    </row>
    <row r="87" spans="1:12" ht="24.95" customHeight="1" x14ac:dyDescent="0.15">
      <c r="A87" s="80">
        <v>3</v>
      </c>
      <c r="B87" s="597" t="s">
        <v>193</v>
      </c>
      <c r="C87" s="71" t="s">
        <v>130</v>
      </c>
      <c r="D87" s="80" t="s">
        <v>49</v>
      </c>
      <c r="E87" s="595">
        <v>35000</v>
      </c>
      <c r="F87" s="595">
        <v>35000</v>
      </c>
      <c r="G87" s="595">
        <v>35000</v>
      </c>
      <c r="H87" s="595">
        <v>35000</v>
      </c>
      <c r="I87" s="595">
        <v>35000</v>
      </c>
      <c r="J87" s="595">
        <v>35000</v>
      </c>
      <c r="K87" s="596">
        <f t="shared" si="12"/>
        <v>210000</v>
      </c>
      <c r="L87" s="819"/>
    </row>
    <row r="88" spans="1:12" ht="24.95" customHeight="1" x14ac:dyDescent="0.15">
      <c r="A88" s="80">
        <v>4</v>
      </c>
      <c r="B88" s="597" t="s">
        <v>194</v>
      </c>
      <c r="C88" s="71" t="s">
        <v>552</v>
      </c>
      <c r="D88" s="594" t="s">
        <v>52</v>
      </c>
      <c r="E88" s="595">
        <v>35000</v>
      </c>
      <c r="F88" s="595">
        <v>35000</v>
      </c>
      <c r="G88" s="595">
        <v>35000</v>
      </c>
      <c r="H88" s="595">
        <v>35000</v>
      </c>
      <c r="I88" s="595">
        <v>35000</v>
      </c>
      <c r="J88" s="595">
        <v>35000</v>
      </c>
      <c r="K88" s="596">
        <f t="shared" si="12"/>
        <v>210000</v>
      </c>
      <c r="L88" s="819"/>
    </row>
    <row r="89" spans="1:12" ht="24.95" customHeight="1" x14ac:dyDescent="0.15">
      <c r="A89" s="80">
        <v>5</v>
      </c>
      <c r="B89" s="597" t="s">
        <v>195</v>
      </c>
      <c r="C89" s="68" t="s">
        <v>158</v>
      </c>
      <c r="D89" s="594" t="s">
        <v>534</v>
      </c>
      <c r="E89" s="595">
        <v>35000</v>
      </c>
      <c r="F89" s="595">
        <v>35000</v>
      </c>
      <c r="G89" s="595">
        <v>35000</v>
      </c>
      <c r="H89" s="595">
        <v>35000</v>
      </c>
      <c r="I89" s="595">
        <v>35000</v>
      </c>
      <c r="J89" s="595">
        <v>35000</v>
      </c>
      <c r="K89" s="596">
        <f t="shared" si="12"/>
        <v>210000</v>
      </c>
      <c r="L89" s="819"/>
    </row>
    <row r="90" spans="1:12" ht="24.95" customHeight="1" x14ac:dyDescent="0.15">
      <c r="A90" s="80">
        <v>6</v>
      </c>
      <c r="B90" s="597" t="s">
        <v>196</v>
      </c>
      <c r="C90" s="68" t="s">
        <v>156</v>
      </c>
      <c r="D90" s="594" t="s">
        <v>229</v>
      </c>
      <c r="E90" s="595">
        <v>35000</v>
      </c>
      <c r="F90" s="595">
        <v>35000</v>
      </c>
      <c r="G90" s="595">
        <v>35000</v>
      </c>
      <c r="H90" s="595">
        <v>35000</v>
      </c>
      <c r="I90" s="595">
        <v>35000</v>
      </c>
      <c r="J90" s="595">
        <v>35000</v>
      </c>
      <c r="K90" s="596">
        <f t="shared" si="12"/>
        <v>210000</v>
      </c>
      <c r="L90" s="819"/>
    </row>
    <row r="91" spans="1:12" ht="24.95" customHeight="1" x14ac:dyDescent="0.15">
      <c r="A91" s="80">
        <v>7</v>
      </c>
      <c r="B91" s="597" t="s">
        <v>198</v>
      </c>
      <c r="C91" s="72" t="s">
        <v>70</v>
      </c>
      <c r="D91" s="594" t="s">
        <v>68</v>
      </c>
      <c r="E91" s="595">
        <v>35000</v>
      </c>
      <c r="F91" s="595">
        <v>35000</v>
      </c>
      <c r="G91" s="595">
        <v>35000</v>
      </c>
      <c r="H91" s="595">
        <v>35000</v>
      </c>
      <c r="I91" s="595">
        <v>35000</v>
      </c>
      <c r="J91" s="595">
        <v>35000</v>
      </c>
      <c r="K91" s="596">
        <f t="shared" si="12"/>
        <v>210000</v>
      </c>
      <c r="L91" s="819"/>
    </row>
    <row r="92" spans="1:12" ht="24.95" customHeight="1" x14ac:dyDescent="0.15">
      <c r="A92" s="80">
        <v>8</v>
      </c>
      <c r="B92" s="597" t="s">
        <v>199</v>
      </c>
      <c r="C92" s="72" t="s">
        <v>158</v>
      </c>
      <c r="D92" s="594" t="s">
        <v>159</v>
      </c>
      <c r="E92" s="595">
        <v>35000</v>
      </c>
      <c r="F92" s="595">
        <v>35000</v>
      </c>
      <c r="G92" s="595">
        <v>35000</v>
      </c>
      <c r="H92" s="595">
        <v>35000</v>
      </c>
      <c r="I92" s="595">
        <v>35000</v>
      </c>
      <c r="J92" s="595">
        <v>35000</v>
      </c>
      <c r="K92" s="596">
        <f t="shared" si="12"/>
        <v>210000</v>
      </c>
      <c r="L92" s="819"/>
    </row>
    <row r="93" spans="1:12" ht="24.95" customHeight="1" x14ac:dyDescent="0.15">
      <c r="A93" s="80">
        <v>9</v>
      </c>
      <c r="B93" s="597" t="s">
        <v>202</v>
      </c>
      <c r="C93" s="71" t="s">
        <v>203</v>
      </c>
      <c r="D93" s="80" t="s">
        <v>76</v>
      </c>
      <c r="E93" s="595">
        <v>35000</v>
      </c>
      <c r="F93" s="595">
        <v>35000</v>
      </c>
      <c r="G93" s="595">
        <v>35000</v>
      </c>
      <c r="H93" s="595">
        <v>35000</v>
      </c>
      <c r="I93" s="595">
        <v>35000</v>
      </c>
      <c r="J93" s="595">
        <v>35000</v>
      </c>
      <c r="K93" s="596">
        <f t="shared" si="12"/>
        <v>210000</v>
      </c>
      <c r="L93" s="819"/>
    </row>
    <row r="94" spans="1:12" ht="24.95" customHeight="1" x14ac:dyDescent="0.15">
      <c r="A94" s="80">
        <v>10</v>
      </c>
      <c r="B94" s="597" t="s">
        <v>204</v>
      </c>
      <c r="C94" s="72" t="s">
        <v>205</v>
      </c>
      <c r="D94" s="594" t="s">
        <v>102</v>
      </c>
      <c r="E94" s="595">
        <v>35000</v>
      </c>
      <c r="F94" s="595">
        <v>35000</v>
      </c>
      <c r="G94" s="595">
        <v>35000</v>
      </c>
      <c r="H94" s="595">
        <v>35000</v>
      </c>
      <c r="I94" s="595">
        <v>35000</v>
      </c>
      <c r="J94" s="595">
        <v>35000</v>
      </c>
      <c r="K94" s="596">
        <f t="shared" si="12"/>
        <v>210000</v>
      </c>
      <c r="L94" s="819"/>
    </row>
    <row r="95" spans="1:12" ht="24.95" customHeight="1" x14ac:dyDescent="0.15">
      <c r="A95" s="80"/>
      <c r="B95" s="809" t="s">
        <v>111</v>
      </c>
      <c r="C95" s="73">
        <v>11</v>
      </c>
      <c r="D95" s="73"/>
      <c r="E95" s="823">
        <f t="shared" ref="E95:K95" si="13">SUM(E85:E94)</f>
        <v>350000</v>
      </c>
      <c r="F95" s="823">
        <f t="shared" si="13"/>
        <v>350000</v>
      </c>
      <c r="G95" s="823">
        <f t="shared" si="13"/>
        <v>350000</v>
      </c>
      <c r="H95" s="823">
        <f t="shared" si="13"/>
        <v>350000</v>
      </c>
      <c r="I95" s="823">
        <f t="shared" si="13"/>
        <v>350000</v>
      </c>
      <c r="J95" s="823">
        <f t="shared" si="13"/>
        <v>350000</v>
      </c>
      <c r="K95" s="828">
        <f t="shared" si="13"/>
        <v>2100000</v>
      </c>
      <c r="L95" s="819"/>
    </row>
    <row r="96" spans="1:12" ht="24.95" customHeight="1" x14ac:dyDescent="0.15">
      <c r="A96" s="80"/>
      <c r="B96" s="812"/>
      <c r="C96" s="73"/>
      <c r="D96" s="73"/>
      <c r="E96" s="73"/>
      <c r="F96" s="601"/>
      <c r="G96" s="601"/>
      <c r="H96" s="601"/>
      <c r="I96" s="601"/>
      <c r="J96" s="601"/>
      <c r="K96" s="596"/>
      <c r="L96" s="819"/>
    </row>
    <row r="97" spans="1:12" ht="24.95" customHeight="1" x14ac:dyDescent="0.15">
      <c r="A97" s="80"/>
      <c r="B97" s="809" t="s">
        <v>207</v>
      </c>
      <c r="C97" s="73"/>
      <c r="D97" s="73"/>
      <c r="E97" s="73"/>
      <c r="F97" s="601"/>
      <c r="G97" s="601"/>
      <c r="H97" s="601"/>
      <c r="I97" s="601"/>
      <c r="J97" s="601"/>
      <c r="K97" s="596"/>
      <c r="L97" s="819"/>
    </row>
    <row r="98" spans="1:12" ht="24.95" customHeight="1" x14ac:dyDescent="0.15">
      <c r="A98" s="80">
        <v>1</v>
      </c>
      <c r="B98" s="593" t="s">
        <v>208</v>
      </c>
      <c r="C98" s="71" t="s">
        <v>209</v>
      </c>
      <c r="D98" s="816" t="s">
        <v>128</v>
      </c>
      <c r="E98" s="595">
        <v>35000</v>
      </c>
      <c r="F98" s="595">
        <v>35000</v>
      </c>
      <c r="G98" s="595">
        <v>35000</v>
      </c>
      <c r="H98" s="595">
        <v>35000</v>
      </c>
      <c r="I98" s="595">
        <v>35000</v>
      </c>
      <c r="J98" s="595">
        <v>35000</v>
      </c>
      <c r="K98" s="596">
        <f t="shared" ref="K98:K101" si="14">SUM(E98:J98)</f>
        <v>210000</v>
      </c>
      <c r="L98" s="819"/>
    </row>
    <row r="99" spans="1:12" ht="24.95" customHeight="1" x14ac:dyDescent="0.15">
      <c r="A99" s="80">
        <v>2</v>
      </c>
      <c r="B99" s="597" t="s">
        <v>211</v>
      </c>
      <c r="C99" s="71" t="s">
        <v>212</v>
      </c>
      <c r="D99" s="594" t="s">
        <v>46</v>
      </c>
      <c r="E99" s="595">
        <v>35000</v>
      </c>
      <c r="F99" s="595">
        <v>35000</v>
      </c>
      <c r="G99" s="595">
        <v>35000</v>
      </c>
      <c r="H99" s="595">
        <v>35000</v>
      </c>
      <c r="I99" s="595">
        <v>35000</v>
      </c>
      <c r="J99" s="595">
        <v>35000</v>
      </c>
      <c r="K99" s="596">
        <f t="shared" si="14"/>
        <v>210000</v>
      </c>
      <c r="L99" s="819"/>
    </row>
    <row r="100" spans="1:12" ht="24.95" customHeight="1" x14ac:dyDescent="0.15">
      <c r="A100" s="80">
        <v>3</v>
      </c>
      <c r="B100" s="597" t="s">
        <v>217</v>
      </c>
      <c r="C100" s="71" t="s">
        <v>218</v>
      </c>
      <c r="D100" s="594" t="s">
        <v>162</v>
      </c>
      <c r="E100" s="595">
        <v>35000</v>
      </c>
      <c r="F100" s="595">
        <v>35000</v>
      </c>
      <c r="G100" s="595">
        <v>35000</v>
      </c>
      <c r="H100" s="595">
        <v>35000</v>
      </c>
      <c r="I100" s="595">
        <v>35000</v>
      </c>
      <c r="J100" s="595">
        <v>35000</v>
      </c>
      <c r="K100" s="596">
        <f t="shared" si="14"/>
        <v>210000</v>
      </c>
      <c r="L100" s="819"/>
    </row>
    <row r="101" spans="1:12" ht="24.95" customHeight="1" x14ac:dyDescent="0.15">
      <c r="A101" s="80">
        <v>4</v>
      </c>
      <c r="B101" s="597" t="s">
        <v>219</v>
      </c>
      <c r="C101" s="71" t="s">
        <v>220</v>
      </c>
      <c r="D101" s="594" t="s">
        <v>76</v>
      </c>
      <c r="E101" s="595">
        <v>35000</v>
      </c>
      <c r="F101" s="595">
        <v>35000</v>
      </c>
      <c r="G101" s="595">
        <v>35000</v>
      </c>
      <c r="H101" s="595">
        <v>35000</v>
      </c>
      <c r="I101" s="595">
        <v>35000</v>
      </c>
      <c r="J101" s="595">
        <v>35000</v>
      </c>
      <c r="K101" s="596">
        <f t="shared" si="14"/>
        <v>210000</v>
      </c>
      <c r="L101" s="819"/>
    </row>
    <row r="102" spans="1:12" ht="24.95" customHeight="1" x14ac:dyDescent="0.15">
      <c r="A102" s="71"/>
      <c r="B102" s="809" t="s">
        <v>111</v>
      </c>
      <c r="C102" s="73">
        <v>4</v>
      </c>
      <c r="D102" s="84"/>
      <c r="E102" s="817">
        <f>SUM(E98:E101)</f>
        <v>140000</v>
      </c>
      <c r="F102" s="817">
        <f t="shared" ref="F102:K102" si="15">SUM(F98:F101)</f>
        <v>140000</v>
      </c>
      <c r="G102" s="817">
        <f t="shared" si="15"/>
        <v>140000</v>
      </c>
      <c r="H102" s="817">
        <f t="shared" si="15"/>
        <v>140000</v>
      </c>
      <c r="I102" s="817">
        <f t="shared" si="15"/>
        <v>140000</v>
      </c>
      <c r="J102" s="817">
        <f t="shared" si="15"/>
        <v>140000</v>
      </c>
      <c r="K102" s="817">
        <f t="shared" si="15"/>
        <v>840000</v>
      </c>
      <c r="L102" s="819"/>
    </row>
    <row r="103" spans="1:12" ht="24.95" customHeight="1" x14ac:dyDescent="0.15">
      <c r="A103" s="71"/>
      <c r="B103" s="812"/>
      <c r="C103" s="73"/>
      <c r="D103" s="84"/>
      <c r="E103" s="84"/>
      <c r="F103" s="601"/>
      <c r="G103" s="601"/>
      <c r="H103" s="601"/>
      <c r="I103" s="601"/>
      <c r="J103" s="601"/>
      <c r="K103" s="596"/>
      <c r="L103" s="819"/>
    </row>
    <row r="104" spans="1:12" ht="24.95" customHeight="1" x14ac:dyDescent="0.15">
      <c r="A104" s="71"/>
      <c r="B104" s="809" t="s">
        <v>221</v>
      </c>
      <c r="C104" s="71"/>
      <c r="D104" s="71"/>
      <c r="E104" s="71"/>
      <c r="F104" s="71"/>
      <c r="G104" s="71"/>
      <c r="H104" s="71"/>
      <c r="I104" s="71"/>
      <c r="J104" s="71"/>
      <c r="K104" s="596"/>
      <c r="L104" s="819"/>
    </row>
    <row r="105" spans="1:12" ht="24.95" customHeight="1" x14ac:dyDescent="0.15">
      <c r="A105" s="71">
        <v>1</v>
      </c>
      <c r="B105" s="597" t="s">
        <v>222</v>
      </c>
      <c r="C105" s="68" t="s">
        <v>223</v>
      </c>
      <c r="D105" s="594" t="s">
        <v>115</v>
      </c>
      <c r="E105" s="595">
        <v>35000</v>
      </c>
      <c r="F105" s="595">
        <v>35000</v>
      </c>
      <c r="G105" s="595">
        <v>35000</v>
      </c>
      <c r="H105" s="595">
        <v>35000</v>
      </c>
      <c r="I105" s="595">
        <v>35000</v>
      </c>
      <c r="J105" s="595">
        <v>35000</v>
      </c>
      <c r="K105" s="596">
        <f t="shared" ref="K105:K111" si="16">SUM(E105:J105)</f>
        <v>210000</v>
      </c>
      <c r="L105" s="819"/>
    </row>
    <row r="106" spans="1:12" ht="24.95" customHeight="1" x14ac:dyDescent="0.15">
      <c r="A106" s="71">
        <v>2</v>
      </c>
      <c r="B106" s="597" t="s">
        <v>224</v>
      </c>
      <c r="C106" s="71" t="s">
        <v>225</v>
      </c>
      <c r="D106" s="816" t="s">
        <v>154</v>
      </c>
      <c r="E106" s="595">
        <v>35000</v>
      </c>
      <c r="F106" s="595">
        <v>35000</v>
      </c>
      <c r="G106" s="595">
        <v>35000</v>
      </c>
      <c r="H106" s="595">
        <v>35000</v>
      </c>
      <c r="I106" s="595">
        <v>35000</v>
      </c>
      <c r="J106" s="595">
        <v>35000</v>
      </c>
      <c r="K106" s="596">
        <f t="shared" si="16"/>
        <v>210000</v>
      </c>
      <c r="L106" s="819"/>
    </row>
    <row r="107" spans="1:12" ht="24.95" customHeight="1" x14ac:dyDescent="0.15">
      <c r="A107" s="71">
        <v>3</v>
      </c>
      <c r="B107" s="597" t="s">
        <v>226</v>
      </c>
      <c r="C107" s="71" t="s">
        <v>227</v>
      </c>
      <c r="D107" s="80" t="s">
        <v>52</v>
      </c>
      <c r="E107" s="595">
        <v>35000</v>
      </c>
      <c r="F107" s="595">
        <v>35000</v>
      </c>
      <c r="G107" s="595">
        <v>35000</v>
      </c>
      <c r="H107" s="595">
        <v>35000</v>
      </c>
      <c r="I107" s="595">
        <v>35000</v>
      </c>
      <c r="J107" s="595">
        <v>35000</v>
      </c>
      <c r="K107" s="596">
        <f t="shared" si="16"/>
        <v>210000</v>
      </c>
      <c r="L107" s="819"/>
    </row>
    <row r="108" spans="1:12" ht="24.95" customHeight="1" x14ac:dyDescent="0.15">
      <c r="A108" s="71">
        <v>4</v>
      </c>
      <c r="B108" s="597" t="s">
        <v>228</v>
      </c>
      <c r="C108" s="71" t="s">
        <v>227</v>
      </c>
      <c r="D108" s="80" t="s">
        <v>52</v>
      </c>
      <c r="E108" s="595">
        <v>35000</v>
      </c>
      <c r="F108" s="595">
        <v>35000</v>
      </c>
      <c r="G108" s="595">
        <v>35000</v>
      </c>
      <c r="H108" s="595">
        <v>35000</v>
      </c>
      <c r="I108" s="595">
        <v>35000</v>
      </c>
      <c r="J108" s="595">
        <v>35000</v>
      </c>
      <c r="K108" s="596">
        <f t="shared" si="16"/>
        <v>210000</v>
      </c>
      <c r="L108" s="819"/>
    </row>
    <row r="109" spans="1:12" ht="24.95" customHeight="1" x14ac:dyDescent="0.15">
      <c r="A109" s="71">
        <v>5</v>
      </c>
      <c r="B109" s="597" t="s">
        <v>230</v>
      </c>
      <c r="C109" s="71" t="s">
        <v>231</v>
      </c>
      <c r="D109" s="594" t="s">
        <v>553</v>
      </c>
      <c r="E109" s="595">
        <v>35000</v>
      </c>
      <c r="F109" s="595">
        <v>35000</v>
      </c>
      <c r="G109" s="595">
        <v>35000</v>
      </c>
      <c r="H109" s="595">
        <v>35000</v>
      </c>
      <c r="I109" s="595">
        <v>35000</v>
      </c>
      <c r="J109" s="595">
        <v>35000</v>
      </c>
      <c r="K109" s="596">
        <f t="shared" si="16"/>
        <v>210000</v>
      </c>
      <c r="L109" s="819"/>
    </row>
    <row r="110" spans="1:12" ht="24.95" customHeight="1" x14ac:dyDescent="0.15">
      <c r="A110" s="71">
        <v>6</v>
      </c>
      <c r="B110" s="313" t="s">
        <v>233</v>
      </c>
      <c r="C110" s="71" t="s">
        <v>231</v>
      </c>
      <c r="D110" s="80" t="s">
        <v>554</v>
      </c>
      <c r="E110" s="595">
        <v>35000</v>
      </c>
      <c r="F110" s="595">
        <v>35000</v>
      </c>
      <c r="G110" s="595">
        <v>35000</v>
      </c>
      <c r="H110" s="595">
        <v>35000</v>
      </c>
      <c r="I110" s="595">
        <v>35000</v>
      </c>
      <c r="J110" s="595">
        <v>35000</v>
      </c>
      <c r="K110" s="596">
        <f t="shared" si="16"/>
        <v>210000</v>
      </c>
      <c r="L110" s="819"/>
    </row>
    <row r="111" spans="1:12" ht="24.95" customHeight="1" x14ac:dyDescent="0.15">
      <c r="A111" s="71">
        <v>7</v>
      </c>
      <c r="B111" s="313" t="s">
        <v>234</v>
      </c>
      <c r="C111" s="71" t="s">
        <v>231</v>
      </c>
      <c r="D111" s="594" t="s">
        <v>102</v>
      </c>
      <c r="E111" s="595">
        <v>35000</v>
      </c>
      <c r="F111" s="595">
        <v>35000</v>
      </c>
      <c r="G111" s="595">
        <v>35000</v>
      </c>
      <c r="H111" s="595">
        <v>35000</v>
      </c>
      <c r="I111" s="595">
        <v>35000</v>
      </c>
      <c r="J111" s="595">
        <v>35000</v>
      </c>
      <c r="K111" s="596">
        <f t="shared" si="16"/>
        <v>210000</v>
      </c>
      <c r="L111" s="819"/>
    </row>
    <row r="112" spans="1:12" ht="24.95" customHeight="1" x14ac:dyDescent="0.15">
      <c r="A112" s="71"/>
      <c r="B112" s="809" t="s">
        <v>111</v>
      </c>
      <c r="C112" s="73">
        <v>7</v>
      </c>
      <c r="D112" s="71"/>
      <c r="E112" s="825">
        <f t="shared" ref="E112:K112" si="17">SUM(E105:E111)</f>
        <v>245000</v>
      </c>
      <c r="F112" s="825">
        <f t="shared" si="17"/>
        <v>245000</v>
      </c>
      <c r="G112" s="825">
        <f t="shared" si="17"/>
        <v>245000</v>
      </c>
      <c r="H112" s="825">
        <f t="shared" si="17"/>
        <v>245000</v>
      </c>
      <c r="I112" s="825">
        <f t="shared" si="17"/>
        <v>245000</v>
      </c>
      <c r="J112" s="825">
        <f t="shared" si="17"/>
        <v>245000</v>
      </c>
      <c r="K112" s="829">
        <f t="shared" si="17"/>
        <v>1470000</v>
      </c>
      <c r="L112" s="819"/>
    </row>
    <row r="113" spans="1:12" ht="24.95" customHeight="1" x14ac:dyDescent="0.45">
      <c r="A113" s="71"/>
      <c r="B113" s="809"/>
      <c r="C113" s="73"/>
      <c r="D113" s="71"/>
      <c r="E113" s="71"/>
      <c r="F113" s="826"/>
      <c r="G113" s="826"/>
      <c r="H113" s="826"/>
      <c r="I113" s="826"/>
      <c r="J113" s="826"/>
      <c r="K113" s="830"/>
      <c r="L113" s="819"/>
    </row>
    <row r="114" spans="1:12" ht="24.95" customHeight="1" x14ac:dyDescent="0.15">
      <c r="A114" s="80"/>
      <c r="B114" s="809" t="s">
        <v>235</v>
      </c>
      <c r="C114" s="73"/>
      <c r="D114" s="73"/>
      <c r="E114" s="73"/>
      <c r="F114" s="601"/>
      <c r="G114" s="601"/>
      <c r="H114" s="601"/>
      <c r="I114" s="601"/>
      <c r="J114" s="601"/>
      <c r="K114" s="596"/>
      <c r="L114" s="819"/>
    </row>
    <row r="115" spans="1:12" ht="24.95" customHeight="1" x14ac:dyDescent="0.15">
      <c r="A115" s="80">
        <v>1</v>
      </c>
      <c r="B115" s="593" t="s">
        <v>152</v>
      </c>
      <c r="C115" s="71" t="s">
        <v>130</v>
      </c>
      <c r="D115" s="80" t="s">
        <v>38</v>
      </c>
      <c r="E115" s="595">
        <v>35000</v>
      </c>
      <c r="F115" s="595">
        <v>35000</v>
      </c>
      <c r="G115" s="595">
        <v>35000</v>
      </c>
      <c r="H115" s="595">
        <v>35000</v>
      </c>
      <c r="I115" s="595">
        <v>35000</v>
      </c>
      <c r="J115" s="595">
        <v>35000</v>
      </c>
      <c r="K115" s="596">
        <f t="shared" ref="K115:K117" si="18">SUM(E115:J115)</f>
        <v>210000</v>
      </c>
      <c r="L115" s="819"/>
    </row>
    <row r="116" spans="1:12" ht="24.95" customHeight="1" x14ac:dyDescent="0.15">
      <c r="A116" s="80">
        <v>2</v>
      </c>
      <c r="B116" s="597" t="s">
        <v>236</v>
      </c>
      <c r="C116" s="71" t="s">
        <v>237</v>
      </c>
      <c r="D116" s="594" t="s">
        <v>162</v>
      </c>
      <c r="E116" s="595">
        <v>35000</v>
      </c>
      <c r="F116" s="595">
        <v>35000</v>
      </c>
      <c r="G116" s="595">
        <v>35000</v>
      </c>
      <c r="H116" s="595">
        <v>35000</v>
      </c>
      <c r="I116" s="595">
        <v>35000</v>
      </c>
      <c r="J116" s="595">
        <v>35000</v>
      </c>
      <c r="K116" s="596">
        <f t="shared" si="18"/>
        <v>210000</v>
      </c>
      <c r="L116" s="819"/>
    </row>
    <row r="117" spans="1:12" ht="24.95" customHeight="1" x14ac:dyDescent="0.15">
      <c r="A117" s="80">
        <v>3</v>
      </c>
      <c r="B117" s="597" t="s">
        <v>177</v>
      </c>
      <c r="C117" s="68" t="s">
        <v>555</v>
      </c>
      <c r="D117" s="594" t="s">
        <v>65</v>
      </c>
      <c r="E117" s="595">
        <v>35000</v>
      </c>
      <c r="F117" s="595">
        <v>35000</v>
      </c>
      <c r="G117" s="595">
        <v>35000</v>
      </c>
      <c r="H117" s="595">
        <v>35000</v>
      </c>
      <c r="I117" s="595">
        <v>35000</v>
      </c>
      <c r="J117" s="595">
        <v>35000</v>
      </c>
      <c r="K117" s="596">
        <f t="shared" si="18"/>
        <v>210000</v>
      </c>
      <c r="L117" s="819"/>
    </row>
    <row r="118" spans="1:12" ht="24.95" customHeight="1" x14ac:dyDescent="0.15">
      <c r="A118" s="71"/>
      <c r="B118" s="809" t="s">
        <v>111</v>
      </c>
      <c r="C118" s="73">
        <v>2</v>
      </c>
      <c r="D118" s="84"/>
      <c r="E118" s="823">
        <f>SUM(E115:E117)</f>
        <v>105000</v>
      </c>
      <c r="F118" s="823">
        <f t="shared" ref="F118:K118" si="19">SUM(F115:F117)</f>
        <v>105000</v>
      </c>
      <c r="G118" s="823">
        <f t="shared" si="19"/>
        <v>105000</v>
      </c>
      <c r="H118" s="823">
        <f t="shared" si="19"/>
        <v>105000</v>
      </c>
      <c r="I118" s="823">
        <f t="shared" si="19"/>
        <v>105000</v>
      </c>
      <c r="J118" s="823">
        <f t="shared" si="19"/>
        <v>105000</v>
      </c>
      <c r="K118" s="823">
        <f t="shared" si="19"/>
        <v>630000</v>
      </c>
      <c r="L118" s="819"/>
    </row>
    <row r="119" spans="1:12" ht="24.95" customHeight="1" x14ac:dyDescent="0.15">
      <c r="A119" s="71"/>
      <c r="B119" s="812"/>
      <c r="C119" s="80"/>
      <c r="D119" s="71"/>
      <c r="E119" s="71"/>
      <c r="F119" s="624"/>
      <c r="G119" s="624"/>
      <c r="H119" s="624"/>
      <c r="I119" s="624"/>
      <c r="J119" s="624"/>
      <c r="K119" s="596"/>
      <c r="L119" s="819"/>
    </row>
    <row r="120" spans="1:12" ht="24.95" customHeight="1" x14ac:dyDescent="0.15">
      <c r="A120" s="71"/>
      <c r="B120" s="809" t="s">
        <v>250</v>
      </c>
      <c r="C120" s="73"/>
      <c r="D120" s="73"/>
      <c r="E120" s="73"/>
      <c r="F120" s="601"/>
      <c r="G120" s="601"/>
      <c r="H120" s="601"/>
      <c r="I120" s="601"/>
      <c r="J120" s="601"/>
      <c r="K120" s="596"/>
      <c r="L120" s="819"/>
    </row>
    <row r="121" spans="1:12" ht="24.95" customHeight="1" x14ac:dyDescent="0.15">
      <c r="A121" s="71">
        <v>1</v>
      </c>
      <c r="B121" s="597" t="s">
        <v>251</v>
      </c>
      <c r="C121" s="68" t="s">
        <v>252</v>
      </c>
      <c r="D121" s="594" t="s">
        <v>115</v>
      </c>
      <c r="E121" s="595">
        <v>35000</v>
      </c>
      <c r="F121" s="595">
        <v>35000</v>
      </c>
      <c r="G121" s="595">
        <v>35000</v>
      </c>
      <c r="H121" s="595">
        <v>35000</v>
      </c>
      <c r="I121" s="595">
        <v>35000</v>
      </c>
      <c r="J121" s="595">
        <v>35000</v>
      </c>
      <c r="K121" s="596">
        <f t="shared" ref="K121:K130" si="20">SUM(E121:J121)</f>
        <v>210000</v>
      </c>
      <c r="L121" s="819"/>
    </row>
    <row r="122" spans="1:12" ht="24.95" customHeight="1" x14ac:dyDescent="0.15">
      <c r="A122" s="71">
        <v>2</v>
      </c>
      <c r="B122" s="597" t="s">
        <v>253</v>
      </c>
      <c r="C122" s="68" t="s">
        <v>254</v>
      </c>
      <c r="D122" s="594" t="s">
        <v>35</v>
      </c>
      <c r="E122" s="595">
        <v>35000</v>
      </c>
      <c r="F122" s="595">
        <v>35000</v>
      </c>
      <c r="G122" s="595">
        <v>35000</v>
      </c>
      <c r="H122" s="595">
        <v>35000</v>
      </c>
      <c r="I122" s="595">
        <v>35000</v>
      </c>
      <c r="J122" s="595">
        <v>35000</v>
      </c>
      <c r="K122" s="596">
        <f t="shared" si="20"/>
        <v>210000</v>
      </c>
      <c r="L122" s="819"/>
    </row>
    <row r="123" spans="1:12" ht="24.95" customHeight="1" x14ac:dyDescent="0.15">
      <c r="A123" s="71">
        <v>3</v>
      </c>
      <c r="B123" s="593" t="s">
        <v>255</v>
      </c>
      <c r="C123" s="68" t="s">
        <v>256</v>
      </c>
      <c r="D123" s="594" t="s">
        <v>131</v>
      </c>
      <c r="E123" s="595">
        <v>35000</v>
      </c>
      <c r="F123" s="595">
        <v>35000</v>
      </c>
      <c r="G123" s="595">
        <v>35000</v>
      </c>
      <c r="H123" s="595">
        <v>35000</v>
      </c>
      <c r="I123" s="595">
        <v>35000</v>
      </c>
      <c r="J123" s="595">
        <v>35000</v>
      </c>
      <c r="K123" s="596">
        <f t="shared" si="20"/>
        <v>210000</v>
      </c>
      <c r="L123" s="819"/>
    </row>
    <row r="124" spans="1:12" ht="24.95" customHeight="1" x14ac:dyDescent="0.15">
      <c r="A124" s="71">
        <v>4</v>
      </c>
      <c r="B124" s="593" t="s">
        <v>556</v>
      </c>
      <c r="C124" s="68" t="s">
        <v>256</v>
      </c>
      <c r="D124" s="594" t="s">
        <v>49</v>
      </c>
      <c r="E124" s="595">
        <v>35000</v>
      </c>
      <c r="F124" s="595">
        <v>35000</v>
      </c>
      <c r="G124" s="595">
        <v>35000</v>
      </c>
      <c r="H124" s="595">
        <v>35000</v>
      </c>
      <c r="I124" s="595">
        <v>35000</v>
      </c>
      <c r="J124" s="595">
        <v>35000</v>
      </c>
      <c r="K124" s="596">
        <f t="shared" si="20"/>
        <v>210000</v>
      </c>
      <c r="L124" s="819"/>
    </row>
    <row r="125" spans="1:12" ht="24.95" customHeight="1" x14ac:dyDescent="0.15">
      <c r="A125" s="71">
        <v>5</v>
      </c>
      <c r="B125" s="597" t="s">
        <v>257</v>
      </c>
      <c r="C125" s="68" t="s">
        <v>258</v>
      </c>
      <c r="D125" s="594" t="s">
        <v>176</v>
      </c>
      <c r="E125" s="595">
        <v>35000</v>
      </c>
      <c r="F125" s="595">
        <v>35000</v>
      </c>
      <c r="G125" s="595">
        <v>35000</v>
      </c>
      <c r="H125" s="595">
        <v>35000</v>
      </c>
      <c r="I125" s="595">
        <v>35000</v>
      </c>
      <c r="J125" s="595">
        <v>35000</v>
      </c>
      <c r="K125" s="596">
        <f t="shared" si="20"/>
        <v>210000</v>
      </c>
      <c r="L125" s="819"/>
    </row>
    <row r="126" spans="1:12" ht="24.95" customHeight="1" x14ac:dyDescent="0.15">
      <c r="A126" s="71">
        <v>6</v>
      </c>
      <c r="B126" s="597" t="s">
        <v>259</v>
      </c>
      <c r="C126" s="68" t="s">
        <v>489</v>
      </c>
      <c r="D126" s="594" t="s">
        <v>197</v>
      </c>
      <c r="E126" s="595">
        <v>35000</v>
      </c>
      <c r="F126" s="595">
        <v>35000</v>
      </c>
      <c r="G126" s="595">
        <v>35000</v>
      </c>
      <c r="H126" s="595">
        <v>35000</v>
      </c>
      <c r="I126" s="595">
        <v>35000</v>
      </c>
      <c r="J126" s="595">
        <v>35000</v>
      </c>
      <c r="K126" s="596">
        <f t="shared" si="20"/>
        <v>210000</v>
      </c>
      <c r="L126" s="819"/>
    </row>
    <row r="127" spans="1:12" ht="24.95" customHeight="1" x14ac:dyDescent="0.15">
      <c r="A127" s="71">
        <v>7</v>
      </c>
      <c r="B127" s="597" t="s">
        <v>260</v>
      </c>
      <c r="C127" s="68" t="s">
        <v>258</v>
      </c>
      <c r="D127" s="594" t="s">
        <v>46</v>
      </c>
      <c r="E127" s="595">
        <v>35000</v>
      </c>
      <c r="F127" s="595">
        <v>35000</v>
      </c>
      <c r="G127" s="595">
        <v>35000</v>
      </c>
      <c r="H127" s="595">
        <v>35000</v>
      </c>
      <c r="I127" s="595">
        <v>35000</v>
      </c>
      <c r="J127" s="595">
        <v>35000</v>
      </c>
      <c r="K127" s="596">
        <f t="shared" si="20"/>
        <v>210000</v>
      </c>
      <c r="L127" s="819"/>
    </row>
    <row r="128" spans="1:12" ht="24.95" customHeight="1" x14ac:dyDescent="0.15">
      <c r="A128" s="71">
        <v>8</v>
      </c>
      <c r="B128" s="597" t="s">
        <v>263</v>
      </c>
      <c r="C128" s="68" t="s">
        <v>264</v>
      </c>
      <c r="D128" s="80" t="s">
        <v>84</v>
      </c>
      <c r="E128" s="595">
        <v>35000</v>
      </c>
      <c r="F128" s="595">
        <v>35000</v>
      </c>
      <c r="G128" s="595">
        <v>35000</v>
      </c>
      <c r="H128" s="595">
        <v>35000</v>
      </c>
      <c r="I128" s="595">
        <v>35000</v>
      </c>
      <c r="J128" s="595">
        <v>35000</v>
      </c>
      <c r="K128" s="596">
        <f t="shared" si="20"/>
        <v>210000</v>
      </c>
      <c r="L128" s="819"/>
    </row>
    <row r="129" spans="1:12" ht="24.95" customHeight="1" x14ac:dyDescent="0.15">
      <c r="A129" s="71">
        <v>9</v>
      </c>
      <c r="B129" s="313" t="s">
        <v>265</v>
      </c>
      <c r="C129" s="68" t="s">
        <v>266</v>
      </c>
      <c r="D129" s="594" t="s">
        <v>105</v>
      </c>
      <c r="E129" s="595">
        <v>35000</v>
      </c>
      <c r="F129" s="595">
        <v>35000</v>
      </c>
      <c r="G129" s="595">
        <v>35000</v>
      </c>
      <c r="H129" s="595">
        <v>35000</v>
      </c>
      <c r="I129" s="595">
        <v>35000</v>
      </c>
      <c r="J129" s="595">
        <v>35000</v>
      </c>
      <c r="K129" s="596">
        <f t="shared" si="20"/>
        <v>210000</v>
      </c>
      <c r="L129" s="819"/>
    </row>
    <row r="130" spans="1:12" ht="24.95" customHeight="1" x14ac:dyDescent="0.15">
      <c r="A130" s="71">
        <v>10</v>
      </c>
      <c r="B130" s="313" t="s">
        <v>267</v>
      </c>
      <c r="C130" s="68" t="s">
        <v>262</v>
      </c>
      <c r="D130" s="594" t="s">
        <v>105</v>
      </c>
      <c r="E130" s="595">
        <v>35000</v>
      </c>
      <c r="F130" s="595">
        <v>35000</v>
      </c>
      <c r="G130" s="595">
        <v>35000</v>
      </c>
      <c r="H130" s="595">
        <v>35000</v>
      </c>
      <c r="I130" s="595">
        <v>35000</v>
      </c>
      <c r="J130" s="595">
        <v>35000</v>
      </c>
      <c r="K130" s="596">
        <f t="shared" si="20"/>
        <v>210000</v>
      </c>
      <c r="L130" s="819"/>
    </row>
    <row r="131" spans="1:12" ht="24.95" customHeight="1" x14ac:dyDescent="0.15">
      <c r="A131" s="71"/>
      <c r="B131" s="809" t="s">
        <v>111</v>
      </c>
      <c r="C131" s="84" t="s">
        <v>490</v>
      </c>
      <c r="D131" s="594"/>
      <c r="E131" s="823">
        <f t="shared" ref="E131:K131" si="21">SUM(E121:E130)</f>
        <v>350000</v>
      </c>
      <c r="F131" s="823">
        <f t="shared" si="21"/>
        <v>350000</v>
      </c>
      <c r="G131" s="823">
        <f t="shared" si="21"/>
        <v>350000</v>
      </c>
      <c r="H131" s="823">
        <f t="shared" si="21"/>
        <v>350000</v>
      </c>
      <c r="I131" s="823">
        <f t="shared" si="21"/>
        <v>350000</v>
      </c>
      <c r="J131" s="823">
        <f t="shared" si="21"/>
        <v>350000</v>
      </c>
      <c r="K131" s="828">
        <f t="shared" si="21"/>
        <v>2100000</v>
      </c>
      <c r="L131" s="819"/>
    </row>
    <row r="132" spans="1:12" ht="24.95" customHeight="1" x14ac:dyDescent="0.15">
      <c r="A132" s="71"/>
      <c r="B132" s="812"/>
      <c r="C132" s="84"/>
      <c r="D132" s="594"/>
      <c r="E132" s="594"/>
      <c r="F132" s="601"/>
      <c r="G132" s="601"/>
      <c r="H132" s="601"/>
      <c r="I132" s="601"/>
      <c r="J132" s="601"/>
      <c r="K132" s="596"/>
      <c r="L132" s="819"/>
    </row>
    <row r="133" spans="1:12" ht="24.95" customHeight="1" x14ac:dyDescent="0.15">
      <c r="A133" s="71"/>
      <c r="B133" s="809" t="s">
        <v>270</v>
      </c>
      <c r="C133" s="68"/>
      <c r="D133" s="594"/>
      <c r="E133" s="594"/>
      <c r="F133" s="595"/>
      <c r="G133" s="595"/>
      <c r="H133" s="595"/>
      <c r="I133" s="595"/>
      <c r="J133" s="595"/>
      <c r="K133" s="596"/>
      <c r="L133" s="819"/>
    </row>
    <row r="134" spans="1:12" ht="24.95" customHeight="1" x14ac:dyDescent="0.15">
      <c r="A134" s="831">
        <v>1</v>
      </c>
      <c r="B134" s="815" t="s">
        <v>557</v>
      </c>
      <c r="C134" s="68" t="s">
        <v>558</v>
      </c>
      <c r="D134" s="594" t="s">
        <v>115</v>
      </c>
      <c r="E134" s="595">
        <v>35000</v>
      </c>
      <c r="F134" s="595">
        <v>35000</v>
      </c>
      <c r="G134" s="595">
        <v>35000</v>
      </c>
      <c r="H134" s="595">
        <v>35000</v>
      </c>
      <c r="I134" s="595">
        <v>35000</v>
      </c>
      <c r="J134" s="595">
        <v>35000</v>
      </c>
      <c r="K134" s="596">
        <f t="shared" ref="K134:K192" si="22">SUM(E134:J134)</f>
        <v>210000</v>
      </c>
      <c r="L134" s="819"/>
    </row>
    <row r="135" spans="1:12" ht="24.95" customHeight="1" x14ac:dyDescent="0.15">
      <c r="A135" s="831">
        <v>2</v>
      </c>
      <c r="B135" s="597" t="s">
        <v>559</v>
      </c>
      <c r="C135" s="68" t="s">
        <v>560</v>
      </c>
      <c r="D135" s="594" t="s">
        <v>154</v>
      </c>
      <c r="E135" s="595">
        <v>35000</v>
      </c>
      <c r="F135" s="595">
        <v>35000</v>
      </c>
      <c r="G135" s="595">
        <v>35000</v>
      </c>
      <c r="H135" s="595">
        <v>35000</v>
      </c>
      <c r="I135" s="595">
        <v>35000</v>
      </c>
      <c r="J135" s="595">
        <v>35000</v>
      </c>
      <c r="K135" s="596">
        <f t="shared" si="22"/>
        <v>210000</v>
      </c>
      <c r="L135" s="819"/>
    </row>
    <row r="136" spans="1:12" ht="24.95" customHeight="1" x14ac:dyDescent="0.15">
      <c r="A136" s="831">
        <v>3</v>
      </c>
      <c r="B136" s="593" t="s">
        <v>274</v>
      </c>
      <c r="C136" s="71" t="s">
        <v>275</v>
      </c>
      <c r="D136" s="816" t="s">
        <v>154</v>
      </c>
      <c r="E136" s="595">
        <v>35000</v>
      </c>
      <c r="F136" s="595">
        <v>35000</v>
      </c>
      <c r="G136" s="595">
        <v>35000</v>
      </c>
      <c r="H136" s="595">
        <v>35000</v>
      </c>
      <c r="I136" s="595">
        <v>35000</v>
      </c>
      <c r="J136" s="595">
        <v>35000</v>
      </c>
      <c r="K136" s="596">
        <f t="shared" si="22"/>
        <v>210000</v>
      </c>
      <c r="L136" s="819"/>
    </row>
    <row r="137" spans="1:12" ht="24.95" customHeight="1" x14ac:dyDescent="0.15">
      <c r="A137" s="831">
        <v>4</v>
      </c>
      <c r="B137" s="597" t="s">
        <v>276</v>
      </c>
      <c r="C137" s="68" t="s">
        <v>561</v>
      </c>
      <c r="D137" s="594" t="s">
        <v>41</v>
      </c>
      <c r="E137" s="595">
        <v>35000</v>
      </c>
      <c r="F137" s="595">
        <v>35000</v>
      </c>
      <c r="G137" s="595">
        <v>35000</v>
      </c>
      <c r="H137" s="595">
        <v>35000</v>
      </c>
      <c r="I137" s="595">
        <v>35000</v>
      </c>
      <c r="J137" s="595">
        <v>35000</v>
      </c>
      <c r="K137" s="596">
        <f t="shared" si="22"/>
        <v>210000</v>
      </c>
      <c r="L137" s="819"/>
    </row>
    <row r="138" spans="1:12" ht="24.95" customHeight="1" x14ac:dyDescent="0.15">
      <c r="A138" s="831">
        <v>5</v>
      </c>
      <c r="B138" s="597" t="s">
        <v>278</v>
      </c>
      <c r="C138" s="71" t="s">
        <v>562</v>
      </c>
      <c r="D138" s="594" t="s">
        <v>41</v>
      </c>
      <c r="E138" s="595">
        <v>35000</v>
      </c>
      <c r="F138" s="595">
        <v>35000</v>
      </c>
      <c r="G138" s="595">
        <v>35000</v>
      </c>
      <c r="H138" s="595">
        <v>35000</v>
      </c>
      <c r="I138" s="595">
        <v>35000</v>
      </c>
      <c r="J138" s="595">
        <v>35000</v>
      </c>
      <c r="K138" s="596">
        <f t="shared" si="22"/>
        <v>210000</v>
      </c>
      <c r="L138" s="819"/>
    </row>
    <row r="139" spans="1:12" ht="24.95" customHeight="1" x14ac:dyDescent="0.15">
      <c r="A139" s="831">
        <v>6</v>
      </c>
      <c r="B139" s="597" t="s">
        <v>280</v>
      </c>
      <c r="C139" s="71" t="s">
        <v>562</v>
      </c>
      <c r="D139" s="594" t="s">
        <v>41</v>
      </c>
      <c r="E139" s="595">
        <v>35000</v>
      </c>
      <c r="F139" s="595">
        <v>35000</v>
      </c>
      <c r="G139" s="595">
        <v>35000</v>
      </c>
      <c r="H139" s="595">
        <v>35000</v>
      </c>
      <c r="I139" s="595">
        <v>35000</v>
      </c>
      <c r="J139" s="595">
        <v>35000</v>
      </c>
      <c r="K139" s="596">
        <f t="shared" si="22"/>
        <v>210000</v>
      </c>
      <c r="L139" s="819"/>
    </row>
    <row r="140" spans="1:12" ht="24.95" customHeight="1" x14ac:dyDescent="0.15">
      <c r="A140" s="831">
        <v>7</v>
      </c>
      <c r="B140" s="597" t="s">
        <v>213</v>
      </c>
      <c r="C140" s="68" t="s">
        <v>563</v>
      </c>
      <c r="D140" s="594" t="s">
        <v>65</v>
      </c>
      <c r="E140" s="595">
        <v>35000</v>
      </c>
      <c r="F140" s="595">
        <v>35000</v>
      </c>
      <c r="G140" s="595">
        <v>35000</v>
      </c>
      <c r="H140" s="595">
        <v>35000</v>
      </c>
      <c r="I140" s="595">
        <v>35000</v>
      </c>
      <c r="J140" s="595">
        <v>35000</v>
      </c>
      <c r="K140" s="596">
        <f t="shared" si="22"/>
        <v>210000</v>
      </c>
      <c r="L140" s="819"/>
    </row>
    <row r="141" spans="1:12" ht="24.95" customHeight="1" x14ac:dyDescent="0.15">
      <c r="A141" s="831">
        <v>8</v>
      </c>
      <c r="B141" s="597" t="s">
        <v>281</v>
      </c>
      <c r="C141" s="68" t="s">
        <v>563</v>
      </c>
      <c r="D141" s="594" t="s">
        <v>65</v>
      </c>
      <c r="E141" s="595">
        <v>35000</v>
      </c>
      <c r="F141" s="595">
        <v>35000</v>
      </c>
      <c r="G141" s="595">
        <v>35000</v>
      </c>
      <c r="H141" s="595">
        <v>35000</v>
      </c>
      <c r="I141" s="595">
        <v>35000</v>
      </c>
      <c r="J141" s="595">
        <v>35000</v>
      </c>
      <c r="K141" s="596">
        <f t="shared" si="22"/>
        <v>210000</v>
      </c>
      <c r="L141" s="819"/>
    </row>
    <row r="142" spans="1:12" ht="24.95" customHeight="1" x14ac:dyDescent="0.15">
      <c r="A142" s="831">
        <v>9</v>
      </c>
      <c r="B142" s="597" t="s">
        <v>282</v>
      </c>
      <c r="C142" s="71" t="s">
        <v>564</v>
      </c>
      <c r="D142" s="594" t="s">
        <v>65</v>
      </c>
      <c r="E142" s="595">
        <v>35000</v>
      </c>
      <c r="F142" s="595">
        <v>35000</v>
      </c>
      <c r="G142" s="595">
        <v>35000</v>
      </c>
      <c r="H142" s="595">
        <v>35000</v>
      </c>
      <c r="I142" s="595">
        <v>35000</v>
      </c>
      <c r="J142" s="595">
        <v>35000</v>
      </c>
      <c r="K142" s="596">
        <f t="shared" si="22"/>
        <v>210000</v>
      </c>
      <c r="L142" s="819"/>
    </row>
    <row r="143" spans="1:12" ht="24.95" customHeight="1" x14ac:dyDescent="0.15">
      <c r="A143" s="831">
        <v>10</v>
      </c>
      <c r="B143" s="597" t="s">
        <v>284</v>
      </c>
      <c r="C143" s="68" t="s">
        <v>285</v>
      </c>
      <c r="D143" s="594" t="s">
        <v>162</v>
      </c>
      <c r="E143" s="595">
        <v>35000</v>
      </c>
      <c r="F143" s="595">
        <v>35000</v>
      </c>
      <c r="G143" s="595">
        <v>35000</v>
      </c>
      <c r="H143" s="595">
        <v>35000</v>
      </c>
      <c r="I143" s="595">
        <v>35000</v>
      </c>
      <c r="J143" s="595">
        <v>35000</v>
      </c>
      <c r="K143" s="596">
        <f t="shared" si="22"/>
        <v>210000</v>
      </c>
      <c r="L143" s="819"/>
    </row>
    <row r="144" spans="1:12" ht="24.95" customHeight="1" x14ac:dyDescent="0.15">
      <c r="A144" s="831">
        <v>11</v>
      </c>
      <c r="B144" s="597" t="s">
        <v>286</v>
      </c>
      <c r="C144" s="68" t="s">
        <v>287</v>
      </c>
      <c r="D144" s="594" t="s">
        <v>68</v>
      </c>
      <c r="E144" s="595">
        <v>35000</v>
      </c>
      <c r="F144" s="595">
        <v>35000</v>
      </c>
      <c r="G144" s="595">
        <v>35000</v>
      </c>
      <c r="H144" s="595">
        <v>35000</v>
      </c>
      <c r="I144" s="595">
        <v>35000</v>
      </c>
      <c r="J144" s="595">
        <v>35000</v>
      </c>
      <c r="K144" s="596">
        <f t="shared" si="22"/>
        <v>210000</v>
      </c>
      <c r="L144" s="819"/>
    </row>
    <row r="145" spans="1:12" ht="24.95" customHeight="1" x14ac:dyDescent="0.15">
      <c r="A145" s="831">
        <v>12</v>
      </c>
      <c r="B145" s="597" t="s">
        <v>60</v>
      </c>
      <c r="C145" s="68" t="s">
        <v>565</v>
      </c>
      <c r="D145" s="594" t="s">
        <v>65</v>
      </c>
      <c r="E145" s="595">
        <v>35000</v>
      </c>
      <c r="F145" s="595">
        <v>35000</v>
      </c>
      <c r="G145" s="595">
        <v>35000</v>
      </c>
      <c r="H145" s="595">
        <v>35000</v>
      </c>
      <c r="I145" s="595">
        <v>35000</v>
      </c>
      <c r="J145" s="595">
        <v>35000</v>
      </c>
      <c r="K145" s="596">
        <f t="shared" si="22"/>
        <v>210000</v>
      </c>
      <c r="L145" s="819"/>
    </row>
    <row r="146" spans="1:12" ht="24.95" customHeight="1" x14ac:dyDescent="0.15">
      <c r="A146" s="831">
        <v>13</v>
      </c>
      <c r="B146" s="313" t="s">
        <v>288</v>
      </c>
      <c r="C146" s="71" t="s">
        <v>289</v>
      </c>
      <c r="D146" s="594" t="s">
        <v>137</v>
      </c>
      <c r="E146" s="595">
        <v>35000</v>
      </c>
      <c r="F146" s="595">
        <v>35000</v>
      </c>
      <c r="G146" s="595">
        <v>35000</v>
      </c>
      <c r="H146" s="595">
        <v>35000</v>
      </c>
      <c r="I146" s="595">
        <v>35000</v>
      </c>
      <c r="J146" s="595">
        <v>35000</v>
      </c>
      <c r="K146" s="596">
        <f t="shared" si="22"/>
        <v>210000</v>
      </c>
      <c r="L146" s="819"/>
    </row>
    <row r="147" spans="1:12" ht="24.95" customHeight="1" x14ac:dyDescent="0.15">
      <c r="A147" s="831">
        <v>14</v>
      </c>
      <c r="B147" s="597" t="s">
        <v>290</v>
      </c>
      <c r="C147" s="71" t="s">
        <v>566</v>
      </c>
      <c r="D147" s="594" t="s">
        <v>119</v>
      </c>
      <c r="E147" s="595">
        <v>35000</v>
      </c>
      <c r="F147" s="595">
        <v>35000</v>
      </c>
      <c r="G147" s="595">
        <v>35000</v>
      </c>
      <c r="H147" s="595">
        <v>35000</v>
      </c>
      <c r="I147" s="595">
        <v>35000</v>
      </c>
      <c r="J147" s="595">
        <v>35000</v>
      </c>
      <c r="K147" s="596">
        <f t="shared" si="22"/>
        <v>210000</v>
      </c>
      <c r="L147" s="819"/>
    </row>
    <row r="148" spans="1:12" ht="24.95" customHeight="1" x14ac:dyDescent="0.15">
      <c r="A148" s="831">
        <v>15</v>
      </c>
      <c r="B148" s="597" t="s">
        <v>291</v>
      </c>
      <c r="C148" s="71" t="s">
        <v>566</v>
      </c>
      <c r="D148" s="594" t="s">
        <v>300</v>
      </c>
      <c r="E148" s="595">
        <v>35000</v>
      </c>
      <c r="F148" s="595">
        <v>35000</v>
      </c>
      <c r="G148" s="595">
        <v>35000</v>
      </c>
      <c r="H148" s="595">
        <v>35000</v>
      </c>
      <c r="I148" s="595">
        <v>35000</v>
      </c>
      <c r="J148" s="595">
        <v>35000</v>
      </c>
      <c r="K148" s="596">
        <f t="shared" si="22"/>
        <v>210000</v>
      </c>
      <c r="L148" s="819"/>
    </row>
    <row r="149" spans="1:12" ht="24.95" customHeight="1" x14ac:dyDescent="0.15">
      <c r="A149" s="831">
        <v>16</v>
      </c>
      <c r="B149" s="597" t="s">
        <v>293</v>
      </c>
      <c r="C149" s="71" t="s">
        <v>566</v>
      </c>
      <c r="D149" s="594" t="s">
        <v>300</v>
      </c>
      <c r="E149" s="595">
        <v>35000</v>
      </c>
      <c r="F149" s="595">
        <v>35000</v>
      </c>
      <c r="G149" s="595">
        <v>35000</v>
      </c>
      <c r="H149" s="595">
        <v>35000</v>
      </c>
      <c r="I149" s="595">
        <v>35000</v>
      </c>
      <c r="J149" s="595">
        <v>35000</v>
      </c>
      <c r="K149" s="596">
        <f t="shared" si="22"/>
        <v>210000</v>
      </c>
      <c r="L149" s="819"/>
    </row>
    <row r="150" spans="1:12" ht="24.95" customHeight="1" x14ac:dyDescent="0.15">
      <c r="A150" s="831">
        <v>17</v>
      </c>
      <c r="B150" s="597" t="s">
        <v>294</v>
      </c>
      <c r="C150" s="68" t="s">
        <v>295</v>
      </c>
      <c r="D150" s="594" t="s">
        <v>76</v>
      </c>
      <c r="E150" s="595">
        <v>35000</v>
      </c>
      <c r="F150" s="595">
        <v>35000</v>
      </c>
      <c r="G150" s="595">
        <v>35000</v>
      </c>
      <c r="H150" s="595">
        <v>35000</v>
      </c>
      <c r="I150" s="595">
        <v>35000</v>
      </c>
      <c r="J150" s="595">
        <v>35000</v>
      </c>
      <c r="K150" s="596">
        <f t="shared" si="22"/>
        <v>210000</v>
      </c>
      <c r="L150" s="819"/>
    </row>
    <row r="151" spans="1:12" ht="24.95" customHeight="1" x14ac:dyDescent="0.15">
      <c r="A151" s="831">
        <v>18</v>
      </c>
      <c r="B151" s="597" t="s">
        <v>296</v>
      </c>
      <c r="C151" s="68" t="s">
        <v>297</v>
      </c>
      <c r="D151" s="80" t="s">
        <v>87</v>
      </c>
      <c r="E151" s="595">
        <v>35000</v>
      </c>
      <c r="F151" s="595">
        <v>35000</v>
      </c>
      <c r="G151" s="595">
        <v>35000</v>
      </c>
      <c r="H151" s="595">
        <v>35000</v>
      </c>
      <c r="I151" s="595">
        <v>35000</v>
      </c>
      <c r="J151" s="595">
        <v>35000</v>
      </c>
      <c r="K151" s="596">
        <f t="shared" si="22"/>
        <v>210000</v>
      </c>
      <c r="L151" s="819"/>
    </row>
    <row r="152" spans="1:12" ht="24.95" customHeight="1" x14ac:dyDescent="0.15">
      <c r="A152" s="831">
        <v>19</v>
      </c>
      <c r="B152" s="597" t="s">
        <v>298</v>
      </c>
      <c r="C152" s="68" t="s">
        <v>299</v>
      </c>
      <c r="D152" s="594" t="s">
        <v>119</v>
      </c>
      <c r="E152" s="595">
        <v>35000</v>
      </c>
      <c r="F152" s="595">
        <v>35000</v>
      </c>
      <c r="G152" s="595">
        <v>35000</v>
      </c>
      <c r="H152" s="595">
        <v>35000</v>
      </c>
      <c r="I152" s="595">
        <v>35000</v>
      </c>
      <c r="J152" s="595">
        <v>35000</v>
      </c>
      <c r="K152" s="596">
        <f t="shared" si="22"/>
        <v>210000</v>
      </c>
      <c r="L152" s="819"/>
    </row>
    <row r="153" spans="1:12" ht="24.95" customHeight="1" x14ac:dyDescent="0.15">
      <c r="A153" s="831">
        <v>20</v>
      </c>
      <c r="B153" s="597" t="s">
        <v>301</v>
      </c>
      <c r="C153" s="68" t="s">
        <v>302</v>
      </c>
      <c r="D153" s="594" t="s">
        <v>84</v>
      </c>
      <c r="E153" s="595">
        <v>35000</v>
      </c>
      <c r="F153" s="595">
        <v>35000</v>
      </c>
      <c r="G153" s="595">
        <v>35000</v>
      </c>
      <c r="H153" s="595">
        <v>35000</v>
      </c>
      <c r="I153" s="595">
        <v>35000</v>
      </c>
      <c r="J153" s="595">
        <v>35000</v>
      </c>
      <c r="K153" s="596">
        <f t="shared" si="22"/>
        <v>210000</v>
      </c>
      <c r="L153" s="819"/>
    </row>
    <row r="154" spans="1:12" ht="24.95" customHeight="1" x14ac:dyDescent="0.15">
      <c r="A154" s="831">
        <v>21</v>
      </c>
      <c r="B154" s="597" t="s">
        <v>303</v>
      </c>
      <c r="C154" s="68" t="s">
        <v>304</v>
      </c>
      <c r="D154" s="594" t="s">
        <v>119</v>
      </c>
      <c r="E154" s="595">
        <v>35000</v>
      </c>
      <c r="F154" s="595">
        <v>35000</v>
      </c>
      <c r="G154" s="595">
        <v>35000</v>
      </c>
      <c r="H154" s="595">
        <v>35000</v>
      </c>
      <c r="I154" s="595">
        <v>35000</v>
      </c>
      <c r="J154" s="595">
        <v>35000</v>
      </c>
      <c r="K154" s="596">
        <f t="shared" si="22"/>
        <v>210000</v>
      </c>
      <c r="L154" s="819"/>
    </row>
    <row r="155" spans="1:12" ht="24.95" customHeight="1" x14ac:dyDescent="0.15">
      <c r="A155" s="831">
        <v>22</v>
      </c>
      <c r="B155" s="597" t="s">
        <v>305</v>
      </c>
      <c r="C155" s="68" t="s">
        <v>306</v>
      </c>
      <c r="D155" s="594" t="s">
        <v>84</v>
      </c>
      <c r="E155" s="595">
        <v>35000</v>
      </c>
      <c r="F155" s="595">
        <v>35000</v>
      </c>
      <c r="G155" s="595">
        <v>35000</v>
      </c>
      <c r="H155" s="595">
        <v>35000</v>
      </c>
      <c r="I155" s="595">
        <v>35000</v>
      </c>
      <c r="J155" s="595">
        <v>35000</v>
      </c>
      <c r="K155" s="596">
        <f t="shared" si="22"/>
        <v>210000</v>
      </c>
      <c r="L155" s="819"/>
    </row>
    <row r="156" spans="1:12" ht="24.95" customHeight="1" x14ac:dyDescent="0.15">
      <c r="A156" s="831">
        <v>23</v>
      </c>
      <c r="B156" s="313" t="s">
        <v>307</v>
      </c>
      <c r="C156" s="68" t="s">
        <v>308</v>
      </c>
      <c r="D156" s="594" t="s">
        <v>96</v>
      </c>
      <c r="E156" s="595">
        <v>35000</v>
      </c>
      <c r="F156" s="595">
        <v>35000</v>
      </c>
      <c r="G156" s="595">
        <v>35000</v>
      </c>
      <c r="H156" s="595">
        <v>35000</v>
      </c>
      <c r="I156" s="595">
        <v>35000</v>
      </c>
      <c r="J156" s="595">
        <v>35000</v>
      </c>
      <c r="K156" s="596">
        <f t="shared" si="22"/>
        <v>210000</v>
      </c>
      <c r="L156" s="819"/>
    </row>
    <row r="157" spans="1:12" ht="24.95" customHeight="1" x14ac:dyDescent="0.15">
      <c r="A157" s="831">
        <v>24</v>
      </c>
      <c r="B157" s="313" t="s">
        <v>312</v>
      </c>
      <c r="C157" s="68" t="s">
        <v>313</v>
      </c>
      <c r="D157" s="594" t="s">
        <v>105</v>
      </c>
      <c r="E157" s="595">
        <v>35000</v>
      </c>
      <c r="F157" s="595">
        <v>35000</v>
      </c>
      <c r="G157" s="595">
        <v>35000</v>
      </c>
      <c r="H157" s="595">
        <v>35000</v>
      </c>
      <c r="I157" s="595">
        <v>35000</v>
      </c>
      <c r="J157" s="595">
        <v>35000</v>
      </c>
      <c r="K157" s="596">
        <f t="shared" si="22"/>
        <v>210000</v>
      </c>
      <c r="L157" s="819"/>
    </row>
    <row r="158" spans="1:12" ht="24.95" customHeight="1" x14ac:dyDescent="0.15">
      <c r="A158" s="831">
        <v>25</v>
      </c>
      <c r="B158" s="313" t="s">
        <v>314</v>
      </c>
      <c r="C158" s="68" t="s">
        <v>315</v>
      </c>
      <c r="D158" s="594" t="s">
        <v>105</v>
      </c>
      <c r="E158" s="595">
        <v>35000</v>
      </c>
      <c r="F158" s="595">
        <v>35000</v>
      </c>
      <c r="G158" s="595">
        <v>35000</v>
      </c>
      <c r="H158" s="595">
        <v>35000</v>
      </c>
      <c r="I158" s="595">
        <v>35000</v>
      </c>
      <c r="J158" s="595">
        <v>35000</v>
      </c>
      <c r="K158" s="596">
        <f t="shared" si="22"/>
        <v>210000</v>
      </c>
      <c r="L158" s="819"/>
    </row>
    <row r="159" spans="1:12" ht="24.95" customHeight="1" x14ac:dyDescent="0.15">
      <c r="A159" s="831">
        <v>26</v>
      </c>
      <c r="B159" s="313" t="s">
        <v>316</v>
      </c>
      <c r="C159" s="68" t="s">
        <v>317</v>
      </c>
      <c r="D159" s="594" t="s">
        <v>105</v>
      </c>
      <c r="E159" s="595">
        <v>35000</v>
      </c>
      <c r="F159" s="595">
        <v>35000</v>
      </c>
      <c r="G159" s="595">
        <v>35000</v>
      </c>
      <c r="H159" s="595">
        <v>35000</v>
      </c>
      <c r="I159" s="595">
        <v>35000</v>
      </c>
      <c r="J159" s="595">
        <v>35000</v>
      </c>
      <c r="K159" s="596">
        <f t="shared" si="22"/>
        <v>210000</v>
      </c>
      <c r="L159" s="819"/>
    </row>
    <row r="160" spans="1:12" ht="24.95" customHeight="1" x14ac:dyDescent="0.15">
      <c r="A160" s="831">
        <v>27</v>
      </c>
      <c r="B160" s="313" t="s">
        <v>318</v>
      </c>
      <c r="C160" s="68" t="s">
        <v>319</v>
      </c>
      <c r="D160" s="594" t="s">
        <v>102</v>
      </c>
      <c r="E160" s="595">
        <v>35000</v>
      </c>
      <c r="F160" s="595">
        <v>35000</v>
      </c>
      <c r="G160" s="595">
        <v>35000</v>
      </c>
      <c r="H160" s="595">
        <v>35000</v>
      </c>
      <c r="I160" s="595">
        <v>35000</v>
      </c>
      <c r="J160" s="595">
        <v>35000</v>
      </c>
      <c r="K160" s="596">
        <f t="shared" si="22"/>
        <v>210000</v>
      </c>
      <c r="L160" s="819"/>
    </row>
    <row r="161" spans="1:12" ht="24.95" customHeight="1" x14ac:dyDescent="0.15">
      <c r="A161" s="831">
        <v>28</v>
      </c>
      <c r="B161" s="313" t="s">
        <v>320</v>
      </c>
      <c r="C161" s="68" t="s">
        <v>315</v>
      </c>
      <c r="D161" s="594" t="s">
        <v>105</v>
      </c>
      <c r="E161" s="595">
        <v>35000</v>
      </c>
      <c r="F161" s="595">
        <v>35000</v>
      </c>
      <c r="G161" s="595">
        <v>35000</v>
      </c>
      <c r="H161" s="595">
        <v>35000</v>
      </c>
      <c r="I161" s="595">
        <v>35000</v>
      </c>
      <c r="J161" s="595">
        <v>35000</v>
      </c>
      <c r="K161" s="596">
        <f t="shared" si="22"/>
        <v>210000</v>
      </c>
      <c r="L161" s="819"/>
    </row>
    <row r="162" spans="1:12" ht="24.95" customHeight="1" x14ac:dyDescent="0.15">
      <c r="A162" s="831">
        <v>29</v>
      </c>
      <c r="B162" s="597" t="s">
        <v>329</v>
      </c>
      <c r="C162" s="68" t="s">
        <v>330</v>
      </c>
      <c r="D162" s="594" t="s">
        <v>337</v>
      </c>
      <c r="E162" s="595">
        <v>35000</v>
      </c>
      <c r="F162" s="595">
        <v>35000</v>
      </c>
      <c r="G162" s="595">
        <v>35000</v>
      </c>
      <c r="H162" s="595">
        <v>35000</v>
      </c>
      <c r="I162" s="595">
        <v>35000</v>
      </c>
      <c r="J162" s="595">
        <v>35000</v>
      </c>
      <c r="K162" s="596">
        <f t="shared" si="22"/>
        <v>210000</v>
      </c>
      <c r="L162" s="819"/>
    </row>
    <row r="163" spans="1:12" ht="24.95" customHeight="1" x14ac:dyDescent="0.15">
      <c r="A163" s="831">
        <v>30</v>
      </c>
      <c r="B163" s="597" t="s">
        <v>332</v>
      </c>
      <c r="C163" s="68" t="s">
        <v>330</v>
      </c>
      <c r="D163" s="594" t="s">
        <v>337</v>
      </c>
      <c r="E163" s="595">
        <v>35000</v>
      </c>
      <c r="F163" s="595">
        <v>35000</v>
      </c>
      <c r="G163" s="595">
        <v>35000</v>
      </c>
      <c r="H163" s="595">
        <v>35000</v>
      </c>
      <c r="I163" s="595">
        <v>35000</v>
      </c>
      <c r="J163" s="595">
        <v>35000</v>
      </c>
      <c r="K163" s="596">
        <f t="shared" si="22"/>
        <v>210000</v>
      </c>
      <c r="L163" s="819"/>
    </row>
    <row r="164" spans="1:12" ht="24.95" customHeight="1" x14ac:dyDescent="0.15">
      <c r="A164" s="831">
        <v>31</v>
      </c>
      <c r="B164" s="597" t="s">
        <v>333</v>
      </c>
      <c r="C164" s="68" t="s">
        <v>330</v>
      </c>
      <c r="D164" s="594" t="s">
        <v>337</v>
      </c>
      <c r="E164" s="595">
        <v>35000</v>
      </c>
      <c r="F164" s="595">
        <v>35000</v>
      </c>
      <c r="G164" s="595">
        <v>35000</v>
      </c>
      <c r="H164" s="595">
        <v>35000</v>
      </c>
      <c r="I164" s="595">
        <v>35000</v>
      </c>
      <c r="J164" s="595">
        <v>35000</v>
      </c>
      <c r="K164" s="596">
        <f t="shared" si="22"/>
        <v>210000</v>
      </c>
      <c r="L164" s="819"/>
    </row>
    <row r="165" spans="1:12" ht="24.95" customHeight="1" x14ac:dyDescent="0.15">
      <c r="A165" s="831">
        <v>32</v>
      </c>
      <c r="B165" s="597" t="s">
        <v>334</v>
      </c>
      <c r="C165" s="68" t="s">
        <v>330</v>
      </c>
      <c r="D165" s="594" t="s">
        <v>337</v>
      </c>
      <c r="E165" s="595">
        <v>35000</v>
      </c>
      <c r="F165" s="595">
        <v>35000</v>
      </c>
      <c r="G165" s="595">
        <v>35000</v>
      </c>
      <c r="H165" s="595">
        <v>35000</v>
      </c>
      <c r="I165" s="595">
        <v>35000</v>
      </c>
      <c r="J165" s="595">
        <v>35000</v>
      </c>
      <c r="K165" s="596">
        <f t="shared" si="22"/>
        <v>210000</v>
      </c>
      <c r="L165" s="819"/>
    </row>
    <row r="166" spans="1:12" ht="24.95" customHeight="1" x14ac:dyDescent="0.15">
      <c r="A166" s="831">
        <v>33</v>
      </c>
      <c r="B166" s="597" t="s">
        <v>335</v>
      </c>
      <c r="C166" s="68" t="s">
        <v>330</v>
      </c>
      <c r="D166" s="594" t="s">
        <v>337</v>
      </c>
      <c r="E166" s="595">
        <v>35000</v>
      </c>
      <c r="F166" s="595">
        <v>35000</v>
      </c>
      <c r="G166" s="595">
        <v>35000</v>
      </c>
      <c r="H166" s="595">
        <v>35000</v>
      </c>
      <c r="I166" s="595">
        <v>35000</v>
      </c>
      <c r="J166" s="595">
        <v>35000</v>
      </c>
      <c r="K166" s="596">
        <f t="shared" si="22"/>
        <v>210000</v>
      </c>
      <c r="L166" s="819"/>
    </row>
    <row r="167" spans="1:12" ht="24.95" customHeight="1" x14ac:dyDescent="0.15">
      <c r="A167" s="831">
        <v>34</v>
      </c>
      <c r="B167" s="597" t="s">
        <v>336</v>
      </c>
      <c r="C167" s="68" t="s">
        <v>330</v>
      </c>
      <c r="D167" s="594" t="s">
        <v>348</v>
      </c>
      <c r="E167" s="595">
        <v>35000</v>
      </c>
      <c r="F167" s="595">
        <v>35000</v>
      </c>
      <c r="G167" s="595">
        <v>35000</v>
      </c>
      <c r="H167" s="595">
        <v>35000</v>
      </c>
      <c r="I167" s="595">
        <v>35000</v>
      </c>
      <c r="J167" s="595">
        <v>35000</v>
      </c>
      <c r="K167" s="596">
        <f t="shared" si="22"/>
        <v>210000</v>
      </c>
      <c r="L167" s="819"/>
    </row>
    <row r="168" spans="1:12" ht="24.95" customHeight="1" x14ac:dyDescent="0.15">
      <c r="A168" s="831">
        <v>35</v>
      </c>
      <c r="B168" s="597" t="s">
        <v>338</v>
      </c>
      <c r="C168" s="68" t="s">
        <v>330</v>
      </c>
      <c r="D168" s="594" t="s">
        <v>348</v>
      </c>
      <c r="E168" s="595">
        <v>35000</v>
      </c>
      <c r="F168" s="595">
        <v>35000</v>
      </c>
      <c r="G168" s="595">
        <v>35000</v>
      </c>
      <c r="H168" s="595">
        <v>35000</v>
      </c>
      <c r="I168" s="595">
        <v>35000</v>
      </c>
      <c r="J168" s="595">
        <v>35000</v>
      </c>
      <c r="K168" s="596">
        <f t="shared" si="22"/>
        <v>210000</v>
      </c>
      <c r="L168" s="819"/>
    </row>
    <row r="169" spans="1:12" ht="24.95" customHeight="1" x14ac:dyDescent="0.15">
      <c r="A169" s="831">
        <v>36</v>
      </c>
      <c r="B169" s="593" t="s">
        <v>339</v>
      </c>
      <c r="C169" s="68" t="s">
        <v>330</v>
      </c>
      <c r="D169" s="594" t="s">
        <v>348</v>
      </c>
      <c r="E169" s="595">
        <v>35000</v>
      </c>
      <c r="F169" s="595">
        <v>35000</v>
      </c>
      <c r="G169" s="595">
        <v>35000</v>
      </c>
      <c r="H169" s="595">
        <v>35000</v>
      </c>
      <c r="I169" s="595">
        <v>35000</v>
      </c>
      <c r="J169" s="595">
        <v>35000</v>
      </c>
      <c r="K169" s="596">
        <f t="shared" si="22"/>
        <v>210000</v>
      </c>
      <c r="L169" s="819"/>
    </row>
    <row r="170" spans="1:12" ht="24.95" customHeight="1" x14ac:dyDescent="0.15">
      <c r="A170" s="831">
        <v>37</v>
      </c>
      <c r="B170" s="597" t="s">
        <v>340</v>
      </c>
      <c r="C170" s="68" t="s">
        <v>330</v>
      </c>
      <c r="D170" s="594" t="s">
        <v>348</v>
      </c>
      <c r="E170" s="595">
        <v>35000</v>
      </c>
      <c r="F170" s="595">
        <v>35000</v>
      </c>
      <c r="G170" s="595">
        <v>35000</v>
      </c>
      <c r="H170" s="595">
        <v>35000</v>
      </c>
      <c r="I170" s="595">
        <v>35000</v>
      </c>
      <c r="J170" s="595">
        <v>35000</v>
      </c>
      <c r="K170" s="596">
        <f t="shared" si="22"/>
        <v>210000</v>
      </c>
      <c r="L170" s="819"/>
    </row>
    <row r="171" spans="1:12" ht="24.95" customHeight="1" x14ac:dyDescent="0.15">
      <c r="A171" s="831">
        <v>38</v>
      </c>
      <c r="B171" s="313" t="s">
        <v>341</v>
      </c>
      <c r="C171" s="68" t="s">
        <v>330</v>
      </c>
      <c r="D171" s="594" t="s">
        <v>348</v>
      </c>
      <c r="E171" s="595">
        <v>35000</v>
      </c>
      <c r="F171" s="595">
        <v>35000</v>
      </c>
      <c r="G171" s="595">
        <v>35000</v>
      </c>
      <c r="H171" s="595">
        <v>35000</v>
      </c>
      <c r="I171" s="595">
        <v>35000</v>
      </c>
      <c r="J171" s="595">
        <v>35000</v>
      </c>
      <c r="K171" s="596">
        <f t="shared" si="22"/>
        <v>210000</v>
      </c>
      <c r="L171" s="819"/>
    </row>
    <row r="172" spans="1:12" ht="24.95" customHeight="1" x14ac:dyDescent="0.15">
      <c r="A172" s="831">
        <v>39</v>
      </c>
      <c r="B172" s="313" t="s">
        <v>342</v>
      </c>
      <c r="C172" s="68" t="s">
        <v>330</v>
      </c>
      <c r="D172" s="594" t="s">
        <v>348</v>
      </c>
      <c r="E172" s="595">
        <v>35000</v>
      </c>
      <c r="F172" s="595">
        <v>35000</v>
      </c>
      <c r="G172" s="595">
        <v>35000</v>
      </c>
      <c r="H172" s="595">
        <v>35000</v>
      </c>
      <c r="I172" s="595">
        <v>35000</v>
      </c>
      <c r="J172" s="595">
        <v>35000</v>
      </c>
      <c r="K172" s="596">
        <f t="shared" si="22"/>
        <v>210000</v>
      </c>
      <c r="L172" s="819"/>
    </row>
    <row r="173" spans="1:12" ht="24.95" customHeight="1" x14ac:dyDescent="0.15">
      <c r="A173" s="831">
        <v>40</v>
      </c>
      <c r="B173" s="597" t="s">
        <v>343</v>
      </c>
      <c r="C173" s="68" t="s">
        <v>344</v>
      </c>
      <c r="D173" s="594" t="s">
        <v>351</v>
      </c>
      <c r="E173" s="595">
        <v>35000</v>
      </c>
      <c r="F173" s="595">
        <v>35000</v>
      </c>
      <c r="G173" s="595">
        <v>35000</v>
      </c>
      <c r="H173" s="595">
        <v>35000</v>
      </c>
      <c r="I173" s="595">
        <v>35000</v>
      </c>
      <c r="J173" s="595">
        <v>35000</v>
      </c>
      <c r="K173" s="596">
        <f t="shared" si="22"/>
        <v>210000</v>
      </c>
      <c r="L173" s="819"/>
    </row>
    <row r="174" spans="1:12" ht="24.95" customHeight="1" x14ac:dyDescent="0.15">
      <c r="A174" s="831">
        <v>41</v>
      </c>
      <c r="B174" s="597" t="s">
        <v>346</v>
      </c>
      <c r="C174" s="68" t="s">
        <v>344</v>
      </c>
      <c r="D174" s="594" t="s">
        <v>351</v>
      </c>
      <c r="E174" s="595">
        <v>35000</v>
      </c>
      <c r="F174" s="595">
        <v>35000</v>
      </c>
      <c r="G174" s="595">
        <v>35000</v>
      </c>
      <c r="H174" s="595">
        <v>35000</v>
      </c>
      <c r="I174" s="595">
        <v>35000</v>
      </c>
      <c r="J174" s="595">
        <v>35000</v>
      </c>
      <c r="K174" s="596">
        <f t="shared" si="22"/>
        <v>210000</v>
      </c>
      <c r="L174" s="819"/>
    </row>
    <row r="175" spans="1:12" ht="24.95" customHeight="1" x14ac:dyDescent="0.15">
      <c r="A175" s="831">
        <v>42</v>
      </c>
      <c r="B175" s="313" t="s">
        <v>347</v>
      </c>
      <c r="C175" s="68" t="s">
        <v>344</v>
      </c>
      <c r="D175" s="594" t="s">
        <v>345</v>
      </c>
      <c r="E175" s="595">
        <v>35000</v>
      </c>
      <c r="F175" s="595">
        <v>35000</v>
      </c>
      <c r="G175" s="595">
        <v>35000</v>
      </c>
      <c r="H175" s="595">
        <v>35000</v>
      </c>
      <c r="I175" s="595">
        <v>35000</v>
      </c>
      <c r="J175" s="595">
        <v>35000</v>
      </c>
      <c r="K175" s="596">
        <f t="shared" si="22"/>
        <v>210000</v>
      </c>
      <c r="L175" s="819"/>
    </row>
    <row r="176" spans="1:12" ht="24.95" customHeight="1" x14ac:dyDescent="0.15">
      <c r="A176" s="831">
        <v>43</v>
      </c>
      <c r="B176" s="597" t="s">
        <v>349</v>
      </c>
      <c r="C176" s="68" t="s">
        <v>350</v>
      </c>
      <c r="D176" s="594" t="s">
        <v>354</v>
      </c>
      <c r="E176" s="595">
        <v>35000</v>
      </c>
      <c r="F176" s="595">
        <v>35000</v>
      </c>
      <c r="G176" s="595">
        <v>35000</v>
      </c>
      <c r="H176" s="595">
        <v>35000</v>
      </c>
      <c r="I176" s="595">
        <v>35000</v>
      </c>
      <c r="J176" s="595">
        <v>35000</v>
      </c>
      <c r="K176" s="596">
        <f t="shared" si="22"/>
        <v>210000</v>
      </c>
      <c r="L176" s="819"/>
    </row>
    <row r="177" spans="1:12" ht="24.95" customHeight="1" x14ac:dyDescent="0.15">
      <c r="A177" s="831">
        <v>44</v>
      </c>
      <c r="B177" s="597" t="s">
        <v>352</v>
      </c>
      <c r="C177" s="68" t="s">
        <v>353</v>
      </c>
      <c r="D177" s="594" t="s">
        <v>364</v>
      </c>
      <c r="E177" s="595">
        <v>35000</v>
      </c>
      <c r="F177" s="595">
        <v>35000</v>
      </c>
      <c r="G177" s="595">
        <v>35000</v>
      </c>
      <c r="H177" s="595">
        <v>35000</v>
      </c>
      <c r="I177" s="595">
        <v>35000</v>
      </c>
      <c r="J177" s="595">
        <v>35000</v>
      </c>
      <c r="K177" s="596">
        <f t="shared" si="22"/>
        <v>210000</v>
      </c>
      <c r="L177" s="819"/>
    </row>
    <row r="178" spans="1:12" ht="24.95" customHeight="1" x14ac:dyDescent="0.15">
      <c r="A178" s="831">
        <v>45</v>
      </c>
      <c r="B178" s="597" t="s">
        <v>355</v>
      </c>
      <c r="C178" s="68" t="s">
        <v>353</v>
      </c>
      <c r="D178" s="594" t="s">
        <v>364</v>
      </c>
      <c r="E178" s="595">
        <v>35000</v>
      </c>
      <c r="F178" s="595">
        <v>35000</v>
      </c>
      <c r="G178" s="595">
        <v>35000</v>
      </c>
      <c r="H178" s="595">
        <v>35000</v>
      </c>
      <c r="I178" s="595">
        <v>35000</v>
      </c>
      <c r="J178" s="595">
        <v>35000</v>
      </c>
      <c r="K178" s="596">
        <f t="shared" si="22"/>
        <v>210000</v>
      </c>
      <c r="L178" s="819"/>
    </row>
    <row r="179" spans="1:12" ht="24.95" customHeight="1" x14ac:dyDescent="0.15">
      <c r="A179" s="831">
        <v>46</v>
      </c>
      <c r="B179" s="597" t="s">
        <v>356</v>
      </c>
      <c r="C179" s="68" t="s">
        <v>353</v>
      </c>
      <c r="D179" s="594" t="s">
        <v>364</v>
      </c>
      <c r="E179" s="595">
        <v>35000</v>
      </c>
      <c r="F179" s="595">
        <v>35000</v>
      </c>
      <c r="G179" s="595">
        <v>35000</v>
      </c>
      <c r="H179" s="595">
        <v>35000</v>
      </c>
      <c r="I179" s="595">
        <v>35000</v>
      </c>
      <c r="J179" s="595">
        <v>35000</v>
      </c>
      <c r="K179" s="596">
        <f t="shared" si="22"/>
        <v>210000</v>
      </c>
      <c r="L179" s="819"/>
    </row>
    <row r="180" spans="1:12" ht="24.95" customHeight="1" x14ac:dyDescent="0.15">
      <c r="A180" s="831">
        <v>47</v>
      </c>
      <c r="B180" s="597" t="s">
        <v>357</v>
      </c>
      <c r="C180" s="68" t="s">
        <v>353</v>
      </c>
      <c r="D180" s="594" t="s">
        <v>364</v>
      </c>
      <c r="E180" s="595">
        <v>35000</v>
      </c>
      <c r="F180" s="595">
        <v>35000</v>
      </c>
      <c r="G180" s="595">
        <v>35000</v>
      </c>
      <c r="H180" s="595">
        <v>35000</v>
      </c>
      <c r="I180" s="595">
        <v>35000</v>
      </c>
      <c r="J180" s="595">
        <v>35000</v>
      </c>
      <c r="K180" s="596">
        <f t="shared" si="22"/>
        <v>210000</v>
      </c>
      <c r="L180" s="819"/>
    </row>
    <row r="181" spans="1:12" ht="24.95" customHeight="1" x14ac:dyDescent="0.15">
      <c r="A181" s="831">
        <v>48</v>
      </c>
      <c r="B181" s="597" t="s">
        <v>358</v>
      </c>
      <c r="C181" s="68" t="s">
        <v>353</v>
      </c>
      <c r="D181" s="594" t="s">
        <v>364</v>
      </c>
      <c r="E181" s="595">
        <v>35000</v>
      </c>
      <c r="F181" s="595">
        <v>35000</v>
      </c>
      <c r="G181" s="595">
        <v>35000</v>
      </c>
      <c r="H181" s="595">
        <v>35000</v>
      </c>
      <c r="I181" s="595">
        <v>35000</v>
      </c>
      <c r="J181" s="595">
        <v>35000</v>
      </c>
      <c r="K181" s="596">
        <f t="shared" si="22"/>
        <v>210000</v>
      </c>
      <c r="L181" s="819"/>
    </row>
    <row r="182" spans="1:12" ht="24.95" customHeight="1" x14ac:dyDescent="0.15">
      <c r="A182" s="831">
        <v>49</v>
      </c>
      <c r="B182" s="313" t="s">
        <v>359</v>
      </c>
      <c r="C182" s="68" t="s">
        <v>353</v>
      </c>
      <c r="D182" s="594" t="s">
        <v>364</v>
      </c>
      <c r="E182" s="595">
        <v>35000</v>
      </c>
      <c r="F182" s="595">
        <v>35000</v>
      </c>
      <c r="G182" s="595">
        <v>35000</v>
      </c>
      <c r="H182" s="595">
        <v>35000</v>
      </c>
      <c r="I182" s="595">
        <v>35000</v>
      </c>
      <c r="J182" s="595">
        <v>35000</v>
      </c>
      <c r="K182" s="596">
        <f t="shared" si="22"/>
        <v>210000</v>
      </c>
      <c r="L182" s="819"/>
    </row>
    <row r="183" spans="1:12" ht="24.95" customHeight="1" x14ac:dyDescent="0.15">
      <c r="A183" s="831">
        <v>50</v>
      </c>
      <c r="B183" s="313" t="s">
        <v>360</v>
      </c>
      <c r="C183" s="68" t="s">
        <v>353</v>
      </c>
      <c r="D183" s="594" t="s">
        <v>364</v>
      </c>
      <c r="E183" s="595">
        <v>35000</v>
      </c>
      <c r="F183" s="595">
        <v>35000</v>
      </c>
      <c r="G183" s="595">
        <v>35000</v>
      </c>
      <c r="H183" s="595">
        <v>35000</v>
      </c>
      <c r="I183" s="595">
        <v>35000</v>
      </c>
      <c r="J183" s="595">
        <v>35000</v>
      </c>
      <c r="K183" s="596">
        <f t="shared" si="22"/>
        <v>210000</v>
      </c>
      <c r="L183" s="819"/>
    </row>
    <row r="184" spans="1:12" ht="24.95" customHeight="1" x14ac:dyDescent="0.15">
      <c r="A184" s="831">
        <v>51</v>
      </c>
      <c r="B184" s="597" t="s">
        <v>493</v>
      </c>
      <c r="C184" s="68" t="s">
        <v>350</v>
      </c>
      <c r="D184" s="594" t="s">
        <v>364</v>
      </c>
      <c r="E184" s="595">
        <v>35000</v>
      </c>
      <c r="F184" s="595">
        <v>35000</v>
      </c>
      <c r="G184" s="595">
        <v>35000</v>
      </c>
      <c r="H184" s="595">
        <v>35000</v>
      </c>
      <c r="I184" s="595">
        <v>35000</v>
      </c>
      <c r="J184" s="595">
        <v>35000</v>
      </c>
      <c r="K184" s="596">
        <f t="shared" si="22"/>
        <v>210000</v>
      </c>
      <c r="L184" s="819"/>
    </row>
    <row r="185" spans="1:12" ht="24.95" customHeight="1" x14ac:dyDescent="0.15">
      <c r="A185" s="831">
        <v>52</v>
      </c>
      <c r="B185" s="597" t="s">
        <v>361</v>
      </c>
      <c r="C185" s="68" t="s">
        <v>350</v>
      </c>
      <c r="D185" s="594" t="s">
        <v>364</v>
      </c>
      <c r="E185" s="595">
        <v>35000</v>
      </c>
      <c r="F185" s="595">
        <v>35000</v>
      </c>
      <c r="G185" s="595">
        <v>35000</v>
      </c>
      <c r="H185" s="595">
        <v>35000</v>
      </c>
      <c r="I185" s="595">
        <v>35000</v>
      </c>
      <c r="J185" s="595">
        <v>35000</v>
      </c>
      <c r="K185" s="596">
        <f t="shared" si="22"/>
        <v>210000</v>
      </c>
      <c r="L185" s="819"/>
    </row>
    <row r="186" spans="1:12" ht="24.95" customHeight="1" x14ac:dyDescent="0.15">
      <c r="A186" s="831">
        <v>53</v>
      </c>
      <c r="B186" s="313" t="s">
        <v>362</v>
      </c>
      <c r="C186" s="68" t="s">
        <v>363</v>
      </c>
      <c r="D186" s="594" t="s">
        <v>376</v>
      </c>
      <c r="E186" s="595">
        <v>35000</v>
      </c>
      <c r="F186" s="595">
        <v>35000</v>
      </c>
      <c r="G186" s="595">
        <v>35000</v>
      </c>
      <c r="H186" s="595">
        <v>35000</v>
      </c>
      <c r="I186" s="595">
        <v>35000</v>
      </c>
      <c r="J186" s="595">
        <v>35000</v>
      </c>
      <c r="K186" s="596">
        <f t="shared" si="22"/>
        <v>210000</v>
      </c>
      <c r="L186" s="819"/>
    </row>
    <row r="187" spans="1:12" ht="24.95" customHeight="1" x14ac:dyDescent="0.15">
      <c r="A187" s="831">
        <v>54</v>
      </c>
      <c r="B187" s="313" t="s">
        <v>367</v>
      </c>
      <c r="C187" s="68" t="s">
        <v>353</v>
      </c>
      <c r="D187" s="594" t="s">
        <v>567</v>
      </c>
      <c r="E187" s="595">
        <v>35000</v>
      </c>
      <c r="F187" s="595">
        <v>35000</v>
      </c>
      <c r="G187" s="595">
        <v>35000</v>
      </c>
      <c r="H187" s="595">
        <v>35000</v>
      </c>
      <c r="I187" s="595">
        <v>35000</v>
      </c>
      <c r="J187" s="595">
        <v>35000</v>
      </c>
      <c r="K187" s="596">
        <f t="shared" si="22"/>
        <v>210000</v>
      </c>
      <c r="L187" s="819"/>
    </row>
    <row r="188" spans="1:12" ht="24.95" customHeight="1" x14ac:dyDescent="0.15">
      <c r="A188" s="831">
        <v>55</v>
      </c>
      <c r="B188" s="313" t="s">
        <v>369</v>
      </c>
      <c r="C188" s="68" t="s">
        <v>370</v>
      </c>
      <c r="D188" s="594" t="s">
        <v>568</v>
      </c>
      <c r="E188" s="595">
        <v>35000</v>
      </c>
      <c r="F188" s="595">
        <v>35000</v>
      </c>
      <c r="G188" s="595">
        <v>35000</v>
      </c>
      <c r="H188" s="595">
        <v>35000</v>
      </c>
      <c r="I188" s="595">
        <v>35000</v>
      </c>
      <c r="J188" s="595">
        <v>35000</v>
      </c>
      <c r="K188" s="596">
        <f t="shared" si="22"/>
        <v>210000</v>
      </c>
      <c r="L188" s="819"/>
    </row>
    <row r="189" spans="1:12" ht="24.95" customHeight="1" x14ac:dyDescent="0.15">
      <c r="A189" s="831">
        <v>56</v>
      </c>
      <c r="B189" s="313" t="s">
        <v>372</v>
      </c>
      <c r="C189" s="68" t="s">
        <v>370</v>
      </c>
      <c r="D189" s="594" t="s">
        <v>568</v>
      </c>
      <c r="E189" s="595">
        <v>35000</v>
      </c>
      <c r="F189" s="595">
        <v>35000</v>
      </c>
      <c r="G189" s="595">
        <v>35000</v>
      </c>
      <c r="H189" s="595">
        <v>35000</v>
      </c>
      <c r="I189" s="595">
        <v>35000</v>
      </c>
      <c r="J189" s="595">
        <v>35000</v>
      </c>
      <c r="K189" s="596">
        <f t="shared" si="22"/>
        <v>210000</v>
      </c>
      <c r="L189" s="819"/>
    </row>
    <row r="190" spans="1:12" ht="24.95" customHeight="1" x14ac:dyDescent="0.15">
      <c r="A190" s="831">
        <v>57</v>
      </c>
      <c r="B190" s="313" t="s">
        <v>373</v>
      </c>
      <c r="C190" s="68" t="s">
        <v>370</v>
      </c>
      <c r="D190" s="594" t="s">
        <v>568</v>
      </c>
      <c r="E190" s="595">
        <v>35000</v>
      </c>
      <c r="F190" s="595">
        <v>35000</v>
      </c>
      <c r="G190" s="595">
        <v>35000</v>
      </c>
      <c r="H190" s="595">
        <v>35000</v>
      </c>
      <c r="I190" s="595">
        <v>35000</v>
      </c>
      <c r="J190" s="595">
        <v>35000</v>
      </c>
      <c r="K190" s="596">
        <f t="shared" si="22"/>
        <v>210000</v>
      </c>
      <c r="L190" s="819"/>
    </row>
    <row r="191" spans="1:12" ht="24.95" customHeight="1" x14ac:dyDescent="0.15">
      <c r="A191" s="831">
        <v>58</v>
      </c>
      <c r="B191" s="313" t="s">
        <v>374</v>
      </c>
      <c r="C191" s="68" t="s">
        <v>375</v>
      </c>
      <c r="D191" s="594" t="s">
        <v>366</v>
      </c>
      <c r="E191" s="595">
        <v>35000</v>
      </c>
      <c r="F191" s="595">
        <v>35000</v>
      </c>
      <c r="G191" s="595">
        <v>35000</v>
      </c>
      <c r="H191" s="595">
        <v>35000</v>
      </c>
      <c r="I191" s="595">
        <v>35000</v>
      </c>
      <c r="J191" s="595">
        <v>35000</v>
      </c>
      <c r="K191" s="596">
        <f t="shared" si="22"/>
        <v>210000</v>
      </c>
      <c r="L191" s="819"/>
    </row>
    <row r="192" spans="1:12" ht="24.95" customHeight="1" x14ac:dyDescent="0.15">
      <c r="A192" s="831">
        <v>59</v>
      </c>
      <c r="B192" s="313" t="s">
        <v>377</v>
      </c>
      <c r="C192" s="68" t="s">
        <v>375</v>
      </c>
      <c r="D192" s="594" t="s">
        <v>366</v>
      </c>
      <c r="E192" s="595">
        <v>35000</v>
      </c>
      <c r="F192" s="595">
        <v>35000</v>
      </c>
      <c r="G192" s="595">
        <v>35000</v>
      </c>
      <c r="H192" s="595">
        <v>35000</v>
      </c>
      <c r="I192" s="595">
        <v>35000</v>
      </c>
      <c r="J192" s="595">
        <v>35000</v>
      </c>
      <c r="K192" s="596">
        <f t="shared" si="22"/>
        <v>210000</v>
      </c>
      <c r="L192" s="819"/>
    </row>
    <row r="193" spans="1:12" ht="24.95" customHeight="1" x14ac:dyDescent="0.3">
      <c r="A193" s="831"/>
      <c r="B193" s="66" t="s">
        <v>111</v>
      </c>
      <c r="C193" s="85" t="s">
        <v>569</v>
      </c>
      <c r="D193" s="832"/>
      <c r="E193" s="833">
        <f t="shared" ref="E193:K193" si="23">SUM(E134:E192)</f>
        <v>2065000</v>
      </c>
      <c r="F193" s="833">
        <f t="shared" si="23"/>
        <v>2065000</v>
      </c>
      <c r="G193" s="833">
        <f t="shared" si="23"/>
        <v>2065000</v>
      </c>
      <c r="H193" s="833">
        <f t="shared" si="23"/>
        <v>2065000</v>
      </c>
      <c r="I193" s="833">
        <f t="shared" si="23"/>
        <v>2065000</v>
      </c>
      <c r="J193" s="833">
        <f t="shared" si="23"/>
        <v>2065000</v>
      </c>
      <c r="K193" s="840">
        <f t="shared" si="23"/>
        <v>12390000</v>
      </c>
      <c r="L193" s="819"/>
    </row>
    <row r="194" spans="1:12" ht="38.1" customHeight="1" x14ac:dyDescent="0.15">
      <c r="A194" s="71"/>
      <c r="B194" s="834" t="s">
        <v>379</v>
      </c>
      <c r="C194" s="86">
        <f>C34+C40+C54+C59+C72+C82+C95+C102+C112+C131+C193</f>
        <v>151</v>
      </c>
      <c r="D194" s="835"/>
      <c r="E194" s="836">
        <f t="shared" ref="E194:J194" si="24">E193+E131+E118+E112+E102+E95+E82+E72+E59+E54+D40+E34</f>
        <v>5250000</v>
      </c>
      <c r="F194" s="836">
        <f t="shared" si="24"/>
        <v>5355000</v>
      </c>
      <c r="G194" s="836">
        <f t="shared" si="24"/>
        <v>5355000</v>
      </c>
      <c r="H194" s="836">
        <f t="shared" si="24"/>
        <v>5355000</v>
      </c>
      <c r="I194" s="836">
        <f t="shared" si="24"/>
        <v>5355000</v>
      </c>
      <c r="J194" s="836">
        <f t="shared" si="24"/>
        <v>5355000</v>
      </c>
      <c r="K194" s="836">
        <f>K193+K131+K118+K112+K102+K95+K82+K72+K59+K54+K40+K34</f>
        <v>32130000</v>
      </c>
      <c r="L194" s="819"/>
    </row>
    <row r="195" spans="1:12" ht="24.95" customHeight="1" x14ac:dyDescent="0.2">
      <c r="A195" s="837"/>
      <c r="B195" s="838"/>
      <c r="C195" s="837"/>
      <c r="D195" s="839"/>
      <c r="E195" s="839"/>
      <c r="F195" s="839"/>
      <c r="G195" s="839"/>
      <c r="H195" s="839"/>
      <c r="I195" s="839"/>
      <c r="J195" s="839"/>
      <c r="K195" s="841"/>
    </row>
    <row r="196" spans="1:12" ht="18" x14ac:dyDescent="0.2">
      <c r="A196" s="837"/>
      <c r="B196" s="838"/>
      <c r="C196" s="839"/>
      <c r="D196" s="839"/>
      <c r="E196" s="839"/>
      <c r="F196" s="839"/>
      <c r="G196" s="839"/>
      <c r="H196" s="839"/>
      <c r="I196" s="839"/>
      <c r="J196" s="839"/>
      <c r="K196" s="841"/>
    </row>
  </sheetData>
  <mergeCells count="3">
    <mergeCell ref="A1:K1"/>
    <mergeCell ref="A2:K2"/>
    <mergeCell ref="A3:K3"/>
  </mergeCells>
  <pageMargins left="0.75" right="0.75" top="1" bottom="1" header="0.5" footer="0.5"/>
  <pageSetup paperSize="256" scale="84" orientation="landscape"/>
  <rowBreaks count="1" manualBreakCount="1">
    <brk id="132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topLeftCell="A9" workbookViewId="0">
      <selection activeCell="I15" sqref="I15"/>
    </sheetView>
  </sheetViews>
  <sheetFormatPr defaultColWidth="8.76171875" defaultRowHeight="12.75" x14ac:dyDescent="0.15"/>
  <cols>
    <col min="1" max="1" width="5.12109375" customWidth="1"/>
    <col min="2" max="2" width="43.82421875" customWidth="1"/>
    <col min="3" max="3" width="23.05859375" customWidth="1"/>
    <col min="4" max="4" width="19.01171875" customWidth="1"/>
  </cols>
  <sheetData>
    <row r="1" spans="1:4" ht="27" customHeight="1" x14ac:dyDescent="0.2">
      <c r="A1" s="955" t="s">
        <v>0</v>
      </c>
      <c r="B1" s="955"/>
      <c r="C1" s="955"/>
      <c r="D1" s="955"/>
    </row>
    <row r="2" spans="1:4" ht="32.1" customHeight="1" x14ac:dyDescent="0.2">
      <c r="A2" s="800" t="s">
        <v>570</v>
      </c>
      <c r="B2" s="800"/>
      <c r="C2" s="800"/>
      <c r="D2" s="801"/>
    </row>
    <row r="3" spans="1:4" ht="18" x14ac:dyDescent="0.2">
      <c r="A3" s="1"/>
      <c r="B3" s="1"/>
      <c r="C3" s="1"/>
      <c r="D3" s="183" t="e">
        <f>'[1]FEB 08'!E11/'[1]FEB 08'!M11</f>
        <v>#REF!</v>
      </c>
    </row>
    <row r="4" spans="1:4" ht="42" customHeight="1" x14ac:dyDescent="0.2">
      <c r="A4" s="2"/>
      <c r="B4" s="4" t="s">
        <v>3</v>
      </c>
      <c r="C4" s="65" t="s">
        <v>4</v>
      </c>
      <c r="D4" s="184" t="s">
        <v>571</v>
      </c>
    </row>
    <row r="5" spans="1:4" ht="30" customHeight="1" x14ac:dyDescent="0.2">
      <c r="A5" s="2">
        <v>1</v>
      </c>
      <c r="B5" s="15" t="s">
        <v>572</v>
      </c>
      <c r="C5" s="784" t="s">
        <v>573</v>
      </c>
      <c r="D5" s="784">
        <v>1</v>
      </c>
    </row>
    <row r="6" spans="1:4" ht="30" customHeight="1" x14ac:dyDescent="0.2">
      <c r="A6" s="2">
        <v>2</v>
      </c>
      <c r="B6" s="41" t="s">
        <v>574</v>
      </c>
      <c r="C6" s="927" t="s">
        <v>575</v>
      </c>
      <c r="D6" s="45">
        <v>8</v>
      </c>
    </row>
    <row r="7" spans="1:4" ht="30" customHeight="1" x14ac:dyDescent="0.2">
      <c r="A7" s="2">
        <v>3</v>
      </c>
      <c r="B7" s="41" t="s">
        <v>576</v>
      </c>
      <c r="C7" s="927" t="s">
        <v>577</v>
      </c>
      <c r="D7" s="45">
        <v>11</v>
      </c>
    </row>
    <row r="8" spans="1:4" ht="30" customHeight="1" x14ac:dyDescent="0.2">
      <c r="A8" s="2">
        <v>4</v>
      </c>
      <c r="B8" s="41" t="s">
        <v>578</v>
      </c>
      <c r="C8" s="927" t="s">
        <v>579</v>
      </c>
      <c r="D8" s="45">
        <v>13</v>
      </c>
    </row>
    <row r="9" spans="1:4" ht="30" customHeight="1" x14ac:dyDescent="0.2">
      <c r="A9" s="2">
        <v>5</v>
      </c>
      <c r="B9" s="41" t="s">
        <v>580</v>
      </c>
      <c r="C9" s="927" t="s">
        <v>581</v>
      </c>
      <c r="D9" s="45">
        <v>11</v>
      </c>
    </row>
    <row r="10" spans="1:4" ht="30" customHeight="1" x14ac:dyDescent="0.2">
      <c r="A10" s="2">
        <v>6</v>
      </c>
      <c r="B10" s="41" t="s">
        <v>582</v>
      </c>
      <c r="C10" s="927" t="s">
        <v>583</v>
      </c>
      <c r="D10" s="45">
        <v>15</v>
      </c>
    </row>
    <row r="11" spans="1:4" ht="30" customHeight="1" x14ac:dyDescent="0.2">
      <c r="A11" s="2">
        <v>7</v>
      </c>
      <c r="B11" s="41" t="s">
        <v>584</v>
      </c>
      <c r="C11" s="927" t="s">
        <v>585</v>
      </c>
      <c r="D11" s="45">
        <v>22</v>
      </c>
    </row>
    <row r="12" spans="1:4" ht="30" customHeight="1" x14ac:dyDescent="0.2">
      <c r="A12" s="2">
        <v>8</v>
      </c>
      <c r="B12" s="41" t="s">
        <v>586</v>
      </c>
      <c r="C12" s="927" t="s">
        <v>587</v>
      </c>
      <c r="D12" s="45">
        <v>14</v>
      </c>
    </row>
    <row r="13" spans="1:4" ht="30" customHeight="1" x14ac:dyDescent="0.2">
      <c r="A13" s="2">
        <v>9</v>
      </c>
      <c r="B13" s="41" t="s">
        <v>588</v>
      </c>
      <c r="C13" s="927" t="s">
        <v>589</v>
      </c>
      <c r="D13" s="45">
        <v>27</v>
      </c>
    </row>
    <row r="14" spans="1:4" ht="30" customHeight="1" x14ac:dyDescent="0.2">
      <c r="A14" s="2">
        <v>10</v>
      </c>
      <c r="B14" s="41" t="s">
        <v>590</v>
      </c>
      <c r="C14" s="927" t="s">
        <v>591</v>
      </c>
      <c r="D14" s="45">
        <v>26</v>
      </c>
    </row>
    <row r="15" spans="1:4" ht="30" customHeight="1" x14ac:dyDescent="0.2">
      <c r="A15" s="2">
        <v>11</v>
      </c>
      <c r="B15" s="41" t="s">
        <v>592</v>
      </c>
      <c r="C15" s="927" t="s">
        <v>593</v>
      </c>
      <c r="D15" s="45">
        <v>15</v>
      </c>
    </row>
    <row r="16" spans="1:4" ht="30" customHeight="1" x14ac:dyDescent="0.2">
      <c r="A16" s="2">
        <v>12</v>
      </c>
      <c r="B16" s="41" t="s">
        <v>594</v>
      </c>
      <c r="C16" s="927" t="s">
        <v>595</v>
      </c>
      <c r="D16" s="45">
        <v>14</v>
      </c>
    </row>
    <row r="17" spans="1:4" ht="30" customHeight="1" x14ac:dyDescent="0.2">
      <c r="A17" s="2">
        <v>13</v>
      </c>
      <c r="B17" s="41" t="s">
        <v>596</v>
      </c>
      <c r="C17" s="927" t="s">
        <v>597</v>
      </c>
      <c r="D17" s="45">
        <v>3</v>
      </c>
    </row>
    <row r="18" spans="1:4" ht="30" customHeight="1" x14ac:dyDescent="0.2">
      <c r="A18" s="41"/>
      <c r="B18" s="40" t="s">
        <v>598</v>
      </c>
      <c r="C18" s="40"/>
      <c r="D18" s="55">
        <f>SUM(D5:D17)</f>
        <v>180</v>
      </c>
    </row>
  </sheetData>
  <mergeCells count="1">
    <mergeCell ref="A1:D1"/>
  </mergeCells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9"/>
  <sheetViews>
    <sheetView view="pageBreakPreview" zoomScaleNormal="100" workbookViewId="0">
      <selection activeCell="G20" sqref="G20"/>
    </sheetView>
  </sheetViews>
  <sheetFormatPr defaultColWidth="8.76171875" defaultRowHeight="12.75" x14ac:dyDescent="0.15"/>
  <cols>
    <col min="1" max="1" width="5.12109375" customWidth="1"/>
    <col min="2" max="2" width="43.82421875" customWidth="1"/>
    <col min="3" max="3" width="23.05859375" customWidth="1"/>
    <col min="4" max="4" width="19.01171875" customWidth="1"/>
  </cols>
  <sheetData>
    <row r="1" spans="1:4" ht="27" customHeight="1" x14ac:dyDescent="0.2">
      <c r="A1" s="955" t="s">
        <v>0</v>
      </c>
      <c r="B1" s="955"/>
      <c r="C1" s="955"/>
      <c r="D1" s="955"/>
    </row>
    <row r="2" spans="1:4" ht="48.95" customHeight="1" x14ac:dyDescent="0.2">
      <c r="A2" s="955" t="s">
        <v>599</v>
      </c>
      <c r="B2" s="955"/>
      <c r="C2" s="955"/>
      <c r="D2" s="955"/>
    </row>
    <row r="3" spans="1:4" ht="3.95" customHeight="1" x14ac:dyDescent="0.2">
      <c r="A3" s="1"/>
      <c r="B3" s="1"/>
      <c r="C3" s="1"/>
      <c r="D3" s="183" t="e">
        <f>'[1]FEB 08'!E11/'[1]FEB 08'!M11</f>
        <v>#REF!</v>
      </c>
    </row>
    <row r="4" spans="1:4" ht="35.1" customHeight="1" x14ac:dyDescent="0.2">
      <c r="A4" s="2"/>
      <c r="B4" s="4" t="s">
        <v>3</v>
      </c>
      <c r="C4" s="65" t="s">
        <v>4</v>
      </c>
      <c r="D4" s="184" t="s">
        <v>571</v>
      </c>
    </row>
    <row r="5" spans="1:4" ht="24.95" customHeight="1" x14ac:dyDescent="0.2">
      <c r="A5" s="2">
        <v>1</v>
      </c>
      <c r="B5" s="15" t="s">
        <v>572</v>
      </c>
      <c r="C5" s="784" t="s">
        <v>573</v>
      </c>
      <c r="D5" s="784">
        <v>1</v>
      </c>
    </row>
    <row r="6" spans="1:4" ht="24.95" customHeight="1" x14ac:dyDescent="0.2">
      <c r="A6" s="2">
        <v>2</v>
      </c>
      <c r="B6" s="41" t="s">
        <v>574</v>
      </c>
      <c r="C6" s="927" t="s">
        <v>575</v>
      </c>
      <c r="D6" s="45">
        <v>10</v>
      </c>
    </row>
    <row r="7" spans="1:4" ht="24.95" customHeight="1" x14ac:dyDescent="0.2">
      <c r="A7" s="2">
        <v>3</v>
      </c>
      <c r="B7" s="41" t="s">
        <v>576</v>
      </c>
      <c r="C7" s="927" t="s">
        <v>577</v>
      </c>
      <c r="D7" s="45">
        <v>15</v>
      </c>
    </row>
    <row r="8" spans="1:4" ht="24.95" customHeight="1" x14ac:dyDescent="0.2">
      <c r="A8" s="2">
        <v>4</v>
      </c>
      <c r="B8" s="41" t="s">
        <v>578</v>
      </c>
      <c r="C8" s="927" t="s">
        <v>579</v>
      </c>
      <c r="D8" s="45">
        <v>19</v>
      </c>
    </row>
    <row r="9" spans="1:4" ht="24.95" customHeight="1" x14ac:dyDescent="0.2">
      <c r="A9" s="2">
        <v>5</v>
      </c>
      <c r="B9" s="41" t="s">
        <v>580</v>
      </c>
      <c r="C9" s="927" t="s">
        <v>581</v>
      </c>
      <c r="D9" s="45">
        <v>13</v>
      </c>
    </row>
    <row r="10" spans="1:4" ht="24.95" customHeight="1" x14ac:dyDescent="0.2">
      <c r="A10" s="2">
        <v>6</v>
      </c>
      <c r="B10" s="41" t="s">
        <v>582</v>
      </c>
      <c r="C10" s="927" t="s">
        <v>583</v>
      </c>
      <c r="D10" s="45">
        <v>17</v>
      </c>
    </row>
    <row r="11" spans="1:4" ht="24.95" customHeight="1" x14ac:dyDescent="0.2">
      <c r="A11" s="2">
        <v>7</v>
      </c>
      <c r="B11" s="41" t="s">
        <v>584</v>
      </c>
      <c r="C11" s="927" t="s">
        <v>585</v>
      </c>
      <c r="D11" s="45">
        <v>26</v>
      </c>
    </row>
    <row r="12" spans="1:4" ht="24.95" customHeight="1" x14ac:dyDescent="0.2">
      <c r="A12" s="2">
        <v>8</v>
      </c>
      <c r="B12" s="41" t="s">
        <v>586</v>
      </c>
      <c r="C12" s="927" t="s">
        <v>587</v>
      </c>
      <c r="D12" s="45">
        <v>17</v>
      </c>
    </row>
    <row r="13" spans="1:4" ht="24.95" customHeight="1" x14ac:dyDescent="0.2">
      <c r="A13" s="2">
        <v>9</v>
      </c>
      <c r="B13" s="41" t="s">
        <v>588</v>
      </c>
      <c r="C13" s="927" t="s">
        <v>589</v>
      </c>
      <c r="D13" s="45">
        <v>30</v>
      </c>
    </row>
    <row r="14" spans="1:4" ht="24.95" customHeight="1" x14ac:dyDescent="0.2">
      <c r="A14" s="2">
        <v>10</v>
      </c>
      <c r="B14" s="41" t="s">
        <v>590</v>
      </c>
      <c r="C14" s="927" t="s">
        <v>591</v>
      </c>
      <c r="D14" s="45">
        <f>26+14</f>
        <v>40</v>
      </c>
    </row>
    <row r="15" spans="1:4" ht="24.95" customHeight="1" x14ac:dyDescent="0.2">
      <c r="A15" s="2">
        <v>11</v>
      </c>
      <c r="B15" s="41" t="s">
        <v>592</v>
      </c>
      <c r="C15" s="927" t="s">
        <v>593</v>
      </c>
      <c r="D15" s="45">
        <v>15</v>
      </c>
    </row>
    <row r="16" spans="1:4" ht="24.95" customHeight="1" x14ac:dyDescent="0.2">
      <c r="A16" s="2">
        <v>12</v>
      </c>
      <c r="B16" s="41" t="s">
        <v>594</v>
      </c>
      <c r="C16" s="927" t="s">
        <v>595</v>
      </c>
      <c r="D16" s="45">
        <v>14</v>
      </c>
    </row>
    <row r="17" spans="1:4" ht="24.95" customHeight="1" x14ac:dyDescent="0.2">
      <c r="A17" s="2">
        <v>13</v>
      </c>
      <c r="B17" s="41" t="s">
        <v>596</v>
      </c>
      <c r="C17" s="927" t="s">
        <v>597</v>
      </c>
      <c r="D17" s="45">
        <v>3</v>
      </c>
    </row>
    <row r="18" spans="1:4" ht="20.100000000000001" customHeight="1" x14ac:dyDescent="0.2">
      <c r="A18" s="785"/>
      <c r="B18" s="786" t="s">
        <v>600</v>
      </c>
      <c r="C18" s="786"/>
      <c r="D18" s="787">
        <f>SUM(D5:D17)</f>
        <v>220</v>
      </c>
    </row>
    <row r="19" spans="1:4" ht="20.100000000000001" customHeight="1" x14ac:dyDescent="0.2">
      <c r="A19" s="339"/>
      <c r="B19" s="788"/>
      <c r="C19" s="788"/>
      <c r="D19" s="789"/>
    </row>
    <row r="20" spans="1:4" ht="24.95" customHeight="1" x14ac:dyDescent="0.2">
      <c r="A20" s="345"/>
      <c r="B20" s="40" t="s">
        <v>601</v>
      </c>
      <c r="C20" s="345"/>
      <c r="D20" s="345"/>
    </row>
    <row r="21" spans="1:4" ht="24.95" customHeight="1" x14ac:dyDescent="0.2">
      <c r="A21" s="2">
        <v>1</v>
      </c>
      <c r="B21" s="41" t="s">
        <v>602</v>
      </c>
      <c r="C21" s="790" t="s">
        <v>573</v>
      </c>
      <c r="D21" s="45">
        <v>18</v>
      </c>
    </row>
    <row r="22" spans="1:4" ht="24.95" customHeight="1" x14ac:dyDescent="0.2">
      <c r="A22" s="2">
        <v>2</v>
      </c>
      <c r="B22" s="41" t="s">
        <v>603</v>
      </c>
      <c r="C22" s="790" t="s">
        <v>573</v>
      </c>
      <c r="D22" s="45">
        <v>11</v>
      </c>
    </row>
    <row r="23" spans="1:4" ht="24.95" customHeight="1" x14ac:dyDescent="0.2">
      <c r="A23" s="2">
        <v>3</v>
      </c>
      <c r="B23" s="41" t="s">
        <v>604</v>
      </c>
      <c r="C23" s="790" t="s">
        <v>573</v>
      </c>
      <c r="D23" s="45">
        <v>15</v>
      </c>
    </row>
    <row r="24" spans="1:4" ht="24.95" customHeight="1" x14ac:dyDescent="0.2">
      <c r="A24" s="2">
        <v>4</v>
      </c>
      <c r="B24" s="41" t="s">
        <v>605</v>
      </c>
      <c r="C24" s="790" t="s">
        <v>573</v>
      </c>
      <c r="D24" s="45">
        <v>41</v>
      </c>
    </row>
    <row r="25" spans="1:4" ht="24.95" customHeight="1" x14ac:dyDescent="0.2">
      <c r="A25" s="2">
        <v>5</v>
      </c>
      <c r="B25" s="41" t="s">
        <v>606</v>
      </c>
      <c r="C25" s="790" t="s">
        <v>573</v>
      </c>
      <c r="D25" s="45">
        <v>4</v>
      </c>
    </row>
    <row r="26" spans="1:4" ht="24.95" customHeight="1" x14ac:dyDescent="0.2">
      <c r="A26" s="2">
        <v>6</v>
      </c>
      <c r="B26" s="41" t="s">
        <v>607</v>
      </c>
      <c r="C26" s="790" t="s">
        <v>573</v>
      </c>
      <c r="D26" s="45">
        <v>5</v>
      </c>
    </row>
    <row r="27" spans="1:4" ht="24.95" customHeight="1" x14ac:dyDescent="0.2">
      <c r="A27" s="791"/>
      <c r="B27" s="792" t="s">
        <v>608</v>
      </c>
      <c r="C27" s="793"/>
      <c r="D27" s="794">
        <f>SUM(D21:D26)</f>
        <v>94</v>
      </c>
    </row>
    <row r="28" spans="1:4" x14ac:dyDescent="0.15">
      <c r="A28" s="795"/>
      <c r="B28" s="795"/>
      <c r="C28" s="795"/>
      <c r="D28" s="795"/>
    </row>
    <row r="29" spans="1:4" ht="32.1" customHeight="1" x14ac:dyDescent="0.2">
      <c r="A29" s="796"/>
      <c r="B29" s="797" t="s">
        <v>609</v>
      </c>
      <c r="C29" s="798"/>
      <c r="D29" s="799">
        <f>D18+D27</f>
        <v>314</v>
      </c>
    </row>
  </sheetData>
  <mergeCells count="2">
    <mergeCell ref="A1:D1"/>
    <mergeCell ref="A2:D2"/>
  </mergeCells>
  <pageMargins left="0.75" right="0.75" top="1" bottom="1" header="0.5" footer="0.5"/>
  <pageSetup paperSize="256" scale="9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01"/>
  <sheetViews>
    <sheetView zoomScale="90" zoomScaleNormal="90" zoomScaleSheetLayoutView="50" workbookViewId="0">
      <pane xSplit="3" ySplit="7" topLeftCell="D197" activePane="bottomRight" state="frozen"/>
      <selection pane="bottomLeft"/>
      <selection pane="topRight"/>
      <selection pane="bottomRight" activeCell="F199" sqref="F199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21.171875" style="1" customWidth="1"/>
    <col min="4" max="4" width="12.67578125" style="1" customWidth="1"/>
    <col min="5" max="10" width="19.28125" style="1" customWidth="1"/>
    <col min="11" max="16384" width="9.16796875" style="1"/>
  </cols>
  <sheetData>
    <row r="1" spans="1:11" ht="27" customHeight="1" x14ac:dyDescent="0.3">
      <c r="A1" s="936" t="s">
        <v>0</v>
      </c>
      <c r="B1" s="936"/>
      <c r="C1" s="936"/>
      <c r="D1" s="936"/>
      <c r="E1" s="936"/>
      <c r="F1" s="936"/>
      <c r="G1" s="936"/>
      <c r="H1" s="936"/>
      <c r="I1" s="936"/>
      <c r="J1" s="61"/>
    </row>
    <row r="2" spans="1:11" ht="33.75" customHeight="1" x14ac:dyDescent="0.3">
      <c r="A2" s="61" t="s">
        <v>610</v>
      </c>
      <c r="B2" s="62"/>
      <c r="C2" s="61"/>
      <c r="D2" s="61"/>
      <c r="E2" s="182"/>
      <c r="F2" s="182"/>
      <c r="G2" s="182"/>
      <c r="H2" s="182"/>
      <c r="I2" s="182"/>
      <c r="J2" s="182"/>
    </row>
    <row r="3" spans="1:11" ht="9.75" customHeight="1" x14ac:dyDescent="0.2">
      <c r="E3" s="183" t="e">
        <f>'[1]FEB 08'!E11/'[1]FEB 08'!M11</f>
        <v>#REF!</v>
      </c>
      <c r="F3" s="183"/>
      <c r="G3" s="183"/>
      <c r="H3" s="183"/>
      <c r="I3" s="183"/>
      <c r="J3" s="183"/>
    </row>
    <row r="4" spans="1:11" ht="49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611</v>
      </c>
      <c r="F4" s="184" t="s">
        <v>612</v>
      </c>
      <c r="G4" s="184" t="s">
        <v>613</v>
      </c>
      <c r="H4" s="184" t="s">
        <v>614</v>
      </c>
      <c r="I4" s="184" t="s">
        <v>615</v>
      </c>
      <c r="J4" s="184" t="s">
        <v>616</v>
      </c>
      <c r="K4" s="774" t="s">
        <v>617</v>
      </c>
    </row>
    <row r="5" spans="1:11" ht="17.25" customHeight="1" x14ac:dyDescent="0.2">
      <c r="C5" s="6"/>
      <c r="D5" s="6"/>
      <c r="E5" s="67" t="s">
        <v>20</v>
      </c>
      <c r="F5" s="67"/>
      <c r="G5" s="67" t="s">
        <v>20</v>
      </c>
      <c r="H5" s="67" t="s">
        <v>20</v>
      </c>
      <c r="I5" s="67" t="s">
        <v>20</v>
      </c>
      <c r="J5" s="67"/>
      <c r="K5" s="774" t="s">
        <v>618</v>
      </c>
    </row>
    <row r="6" spans="1:11" ht="20.100000000000001" customHeight="1" x14ac:dyDescent="0.2">
      <c r="A6" s="7" t="s">
        <v>21</v>
      </c>
      <c r="B6" s="6" t="s">
        <v>22</v>
      </c>
      <c r="C6" s="6"/>
      <c r="D6" s="6"/>
      <c r="E6" s="67"/>
      <c r="F6" s="67"/>
      <c r="G6" s="767"/>
      <c r="H6" s="67"/>
      <c r="I6" s="19"/>
      <c r="J6" s="19"/>
      <c r="K6" s="774" t="s">
        <v>619</v>
      </c>
    </row>
    <row r="7" spans="1:11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>
        <v>0</v>
      </c>
      <c r="G7" s="70">
        <v>0</v>
      </c>
      <c r="H7" s="70">
        <v>0</v>
      </c>
      <c r="I7" s="70"/>
      <c r="J7" s="70"/>
      <c r="K7" s="774" t="s">
        <v>620</v>
      </c>
    </row>
    <row r="8" spans="1:11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>
        <v>0</v>
      </c>
      <c r="G8" s="70">
        <v>0</v>
      </c>
      <c r="H8" s="70">
        <v>0</v>
      </c>
      <c r="I8" s="70"/>
      <c r="J8" s="70"/>
      <c r="K8" s="774" t="s">
        <v>621</v>
      </c>
    </row>
    <row r="9" spans="1:11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>
        <v>0</v>
      </c>
      <c r="G9" s="70">
        <v>0</v>
      </c>
      <c r="H9" s="70">
        <v>0</v>
      </c>
      <c r="I9" s="70"/>
      <c r="J9" s="70"/>
      <c r="K9" s="775" t="s">
        <v>309</v>
      </c>
    </row>
    <row r="10" spans="1:11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>
        <v>0</v>
      </c>
      <c r="G10" s="70">
        <v>0</v>
      </c>
      <c r="H10" s="70">
        <v>0</v>
      </c>
      <c r="I10" s="70"/>
      <c r="J10" s="70"/>
      <c r="K10" s="774" t="s">
        <v>622</v>
      </c>
    </row>
    <row r="11" spans="1:11" ht="20.100000000000001" customHeight="1" x14ac:dyDescent="0.2">
      <c r="A11" s="8">
        <v>6</v>
      </c>
      <c r="B11" s="9" t="s">
        <v>33</v>
      </c>
      <c r="C11" s="10" t="s">
        <v>532</v>
      </c>
      <c r="D11" s="13" t="s">
        <v>131</v>
      </c>
      <c r="E11" s="70">
        <v>620675.58333333302</v>
      </c>
      <c r="F11" s="70">
        <v>0</v>
      </c>
      <c r="G11" s="70">
        <v>0</v>
      </c>
      <c r="H11" s="70">
        <v>0</v>
      </c>
      <c r="I11" s="70"/>
      <c r="J11" s="70"/>
      <c r="K11" s="774" t="s">
        <v>623</v>
      </c>
    </row>
    <row r="12" spans="1:11" ht="20.100000000000001" customHeight="1" x14ac:dyDescent="0.2">
      <c r="A12" s="8">
        <v>7</v>
      </c>
      <c r="B12" s="9" t="s">
        <v>36</v>
      </c>
      <c r="C12" s="2" t="s">
        <v>37</v>
      </c>
      <c r="D12" s="8" t="s">
        <v>49</v>
      </c>
      <c r="E12" s="70">
        <v>582118.08333333302</v>
      </c>
      <c r="F12" s="8" t="s">
        <v>38</v>
      </c>
      <c r="G12" s="768">
        <v>601396.83333333302</v>
      </c>
      <c r="H12" s="70">
        <f t="shared" ref="H7:H38" si="0">G12-E12</f>
        <v>19278.75</v>
      </c>
      <c r="I12" s="70">
        <f>H12*4</f>
        <v>77115</v>
      </c>
      <c r="J12" s="70"/>
      <c r="K12" s="776" t="s">
        <v>624</v>
      </c>
    </row>
    <row r="13" spans="1:11" ht="20.100000000000001" customHeight="1" x14ac:dyDescent="0.2">
      <c r="A13" s="8">
        <v>8</v>
      </c>
      <c r="B13" s="9" t="s">
        <v>39</v>
      </c>
      <c r="C13" s="2" t="s">
        <v>40</v>
      </c>
      <c r="D13" s="13" t="s">
        <v>41</v>
      </c>
      <c r="E13" s="70">
        <v>484373.75</v>
      </c>
      <c r="F13" s="70">
        <v>0</v>
      </c>
      <c r="G13" s="70">
        <v>0</v>
      </c>
      <c r="H13" s="70">
        <v>0</v>
      </c>
      <c r="I13" s="70">
        <f t="shared" ref="I13:I37" si="1">H13*4</f>
        <v>0</v>
      </c>
      <c r="J13" s="70"/>
      <c r="K13" s="774" t="s">
        <v>625</v>
      </c>
    </row>
    <row r="14" spans="1:11" ht="20.100000000000001" customHeight="1" x14ac:dyDescent="0.2">
      <c r="A14" s="8">
        <v>9</v>
      </c>
      <c r="B14" s="12" t="s">
        <v>42</v>
      </c>
      <c r="C14" s="15" t="s">
        <v>43</v>
      </c>
      <c r="D14" s="13" t="s">
        <v>49</v>
      </c>
      <c r="E14" s="70">
        <v>582118.08333333302</v>
      </c>
      <c r="F14" s="8" t="s">
        <v>38</v>
      </c>
      <c r="G14" s="768">
        <v>601396.83333333302</v>
      </c>
      <c r="H14" s="70">
        <f t="shared" si="0"/>
        <v>19278.75</v>
      </c>
      <c r="I14" s="70">
        <f t="shared" si="1"/>
        <v>77115</v>
      </c>
      <c r="J14" s="70"/>
      <c r="K14" s="774" t="s">
        <v>626</v>
      </c>
    </row>
    <row r="15" spans="1:11" ht="20.100000000000001" customHeight="1" x14ac:dyDescent="0.2">
      <c r="A15" s="8">
        <v>10</v>
      </c>
      <c r="B15" s="9" t="s">
        <v>44</v>
      </c>
      <c r="C15" s="2" t="s">
        <v>45</v>
      </c>
      <c r="D15" s="8" t="s">
        <v>197</v>
      </c>
      <c r="E15" s="70">
        <v>442746.5</v>
      </c>
      <c r="F15" s="8" t="s">
        <v>46</v>
      </c>
      <c r="G15" s="769">
        <v>456622.25</v>
      </c>
      <c r="H15" s="70">
        <f t="shared" si="0"/>
        <v>13875.75</v>
      </c>
      <c r="I15" s="70">
        <f t="shared" si="1"/>
        <v>55503</v>
      </c>
      <c r="J15" s="70"/>
      <c r="K15" s="774" t="s">
        <v>278</v>
      </c>
    </row>
    <row r="16" spans="1:11" ht="20.100000000000001" customHeight="1" x14ac:dyDescent="0.2">
      <c r="A16" s="8">
        <v>11</v>
      </c>
      <c r="B16" s="9" t="s">
        <v>47</v>
      </c>
      <c r="C16" s="2" t="s">
        <v>48</v>
      </c>
      <c r="D16" s="8" t="s">
        <v>49</v>
      </c>
      <c r="E16" s="70">
        <v>582118.08333333302</v>
      </c>
      <c r="F16" s="70">
        <v>0</v>
      </c>
      <c r="G16" s="70">
        <v>0</v>
      </c>
      <c r="H16" s="70">
        <v>0</v>
      </c>
      <c r="I16" s="70">
        <f t="shared" si="1"/>
        <v>0</v>
      </c>
      <c r="J16" s="70"/>
      <c r="K16" s="774" t="s">
        <v>627</v>
      </c>
    </row>
    <row r="17" spans="1:11" ht="20.100000000000001" customHeight="1" x14ac:dyDescent="0.2">
      <c r="A17" s="8">
        <v>12</v>
      </c>
      <c r="B17" s="9" t="s">
        <v>50</v>
      </c>
      <c r="C17" s="10" t="s">
        <v>51</v>
      </c>
      <c r="D17" s="13" t="s">
        <v>534</v>
      </c>
      <c r="E17" s="70">
        <v>428915.91666666698</v>
      </c>
      <c r="F17" s="13" t="s">
        <v>52</v>
      </c>
      <c r="G17" s="768">
        <v>441804.91666666698</v>
      </c>
      <c r="H17" s="70">
        <f t="shared" si="0"/>
        <v>12889</v>
      </c>
      <c r="I17" s="70">
        <f t="shared" si="1"/>
        <v>51556</v>
      </c>
      <c r="J17" s="70"/>
      <c r="K17" s="775" t="s">
        <v>628</v>
      </c>
    </row>
    <row r="18" spans="1:11" ht="20.100000000000001" customHeight="1" x14ac:dyDescent="0.2">
      <c r="A18" s="8">
        <v>13</v>
      </c>
      <c r="B18" s="16" t="s">
        <v>53</v>
      </c>
      <c r="C18" s="2" t="s">
        <v>54</v>
      </c>
      <c r="D18" s="13" t="s">
        <v>535</v>
      </c>
      <c r="E18" s="70">
        <v>416026.91666666698</v>
      </c>
      <c r="F18" s="13" t="s">
        <v>55</v>
      </c>
      <c r="G18" s="769">
        <v>428915.91666666698</v>
      </c>
      <c r="H18" s="70">
        <f t="shared" si="0"/>
        <v>12889</v>
      </c>
      <c r="I18" s="70">
        <f t="shared" si="1"/>
        <v>51556</v>
      </c>
      <c r="J18" s="70"/>
      <c r="K18" s="775" t="s">
        <v>629</v>
      </c>
    </row>
    <row r="19" spans="1:11" ht="20.100000000000001" customHeight="1" x14ac:dyDescent="0.2">
      <c r="A19" s="8">
        <v>14</v>
      </c>
      <c r="B19" s="16" t="s">
        <v>56</v>
      </c>
      <c r="C19" s="2" t="s">
        <v>57</v>
      </c>
      <c r="D19" s="13" t="s">
        <v>630</v>
      </c>
      <c r="E19" s="630">
        <f>'[4]Annual &amp; Monthly'!$H$40</f>
        <v>390248.91666666698</v>
      </c>
      <c r="F19" s="13" t="s">
        <v>58</v>
      </c>
      <c r="G19" s="770">
        <v>403138</v>
      </c>
      <c r="H19" s="70">
        <f t="shared" si="0"/>
        <v>12889.083333332999</v>
      </c>
      <c r="I19" s="70">
        <f t="shared" si="1"/>
        <v>51556.333333332099</v>
      </c>
      <c r="J19" s="70"/>
      <c r="K19" s="774" t="s">
        <v>631</v>
      </c>
    </row>
    <row r="20" spans="1:11" ht="20.100000000000001" customHeight="1" x14ac:dyDescent="0.2">
      <c r="A20" s="8">
        <v>15</v>
      </c>
      <c r="B20" s="16" t="s">
        <v>59</v>
      </c>
      <c r="C20" s="2" t="s">
        <v>51</v>
      </c>
      <c r="D20" s="13" t="s">
        <v>630</v>
      </c>
      <c r="E20" s="630">
        <v>390248.91666666698</v>
      </c>
      <c r="F20" s="13" t="s">
        <v>58</v>
      </c>
      <c r="G20" s="770">
        <v>403138</v>
      </c>
      <c r="H20" s="70">
        <f t="shared" si="0"/>
        <v>12889.083333332999</v>
      </c>
      <c r="I20" s="70">
        <f t="shared" si="1"/>
        <v>51556.333333332099</v>
      </c>
      <c r="J20" s="70"/>
      <c r="K20" s="774" t="s">
        <v>632</v>
      </c>
    </row>
    <row r="21" spans="1:11" ht="20.100000000000001" customHeight="1" x14ac:dyDescent="0.2">
      <c r="A21" s="25">
        <v>11</v>
      </c>
      <c r="B21" s="9" t="s">
        <v>60</v>
      </c>
      <c r="C21" s="10" t="s">
        <v>61</v>
      </c>
      <c r="D21" s="13" t="s">
        <v>65</v>
      </c>
      <c r="E21" s="70">
        <v>390086.5</v>
      </c>
      <c r="F21" s="13" t="s">
        <v>62</v>
      </c>
      <c r="G21" s="769">
        <v>402278</v>
      </c>
      <c r="H21" s="70">
        <f t="shared" si="0"/>
        <v>12191.5</v>
      </c>
      <c r="I21" s="70">
        <f t="shared" si="1"/>
        <v>48766</v>
      </c>
      <c r="J21" s="70"/>
      <c r="K21" s="774" t="s">
        <v>177</v>
      </c>
    </row>
    <row r="22" spans="1:11" ht="18.75" customHeight="1" x14ac:dyDescent="0.2">
      <c r="A22" s="8">
        <v>16</v>
      </c>
      <c r="B22" s="9" t="s">
        <v>63</v>
      </c>
      <c r="C22" s="10" t="s">
        <v>64</v>
      </c>
      <c r="D22" s="13" t="s">
        <v>162</v>
      </c>
      <c r="E22" s="70">
        <v>377895.16666666698</v>
      </c>
      <c r="F22" s="13" t="s">
        <v>65</v>
      </c>
      <c r="G22" s="769">
        <v>390086.5</v>
      </c>
      <c r="H22" s="70">
        <f t="shared" si="0"/>
        <v>12191.333333332999</v>
      </c>
      <c r="I22" s="70">
        <f t="shared" si="1"/>
        <v>48765.333333332099</v>
      </c>
      <c r="J22" s="70"/>
    </row>
    <row r="23" spans="1:11" ht="20.100000000000001" customHeight="1" x14ac:dyDescent="0.2">
      <c r="A23" s="8">
        <v>17</v>
      </c>
      <c r="B23" s="12" t="s">
        <v>66</v>
      </c>
      <c r="C23" s="15" t="s">
        <v>67</v>
      </c>
      <c r="D23" s="8" t="s">
        <v>137</v>
      </c>
      <c r="E23" s="70">
        <v>353512.5</v>
      </c>
      <c r="F23" s="8" t="s">
        <v>68</v>
      </c>
      <c r="G23" s="769">
        <v>365704</v>
      </c>
      <c r="H23" s="70">
        <f t="shared" si="0"/>
        <v>12191.5</v>
      </c>
      <c r="I23" s="70">
        <f t="shared" si="1"/>
        <v>48766</v>
      </c>
      <c r="J23" s="70"/>
    </row>
    <row r="24" spans="1:11" ht="21.6" customHeight="1" x14ac:dyDescent="0.2">
      <c r="A24" s="8">
        <v>18</v>
      </c>
      <c r="B24" s="9" t="s">
        <v>69</v>
      </c>
      <c r="C24" s="15" t="s">
        <v>70</v>
      </c>
      <c r="D24" s="13" t="s">
        <v>137</v>
      </c>
      <c r="E24" s="70">
        <v>353512.5</v>
      </c>
      <c r="F24" s="13" t="s">
        <v>68</v>
      </c>
      <c r="G24" s="769">
        <v>365704</v>
      </c>
      <c r="H24" s="70">
        <f t="shared" si="0"/>
        <v>12191.5</v>
      </c>
      <c r="I24" s="70">
        <f t="shared" si="1"/>
        <v>48766</v>
      </c>
      <c r="J24" s="70"/>
    </row>
    <row r="25" spans="1:11" ht="20.100000000000001" customHeight="1" x14ac:dyDescent="0.2">
      <c r="A25" s="8">
        <v>19</v>
      </c>
      <c r="B25" s="12" t="s">
        <v>71</v>
      </c>
      <c r="C25" s="15" t="s">
        <v>72</v>
      </c>
      <c r="D25" s="8" t="s">
        <v>73</v>
      </c>
      <c r="E25" s="70">
        <v>293029.66666666698</v>
      </c>
      <c r="F25" s="8"/>
      <c r="G25" s="8"/>
      <c r="H25" s="8"/>
      <c r="I25" s="8"/>
      <c r="J25" s="70"/>
    </row>
    <row r="26" spans="1:11" ht="20.100000000000001" customHeight="1" x14ac:dyDescent="0.2">
      <c r="A26" s="8">
        <v>20</v>
      </c>
      <c r="B26" s="12" t="s">
        <v>74</v>
      </c>
      <c r="C26" s="15" t="s">
        <v>75</v>
      </c>
      <c r="D26" s="8" t="s">
        <v>73</v>
      </c>
      <c r="E26" s="70">
        <v>293029.66666666698</v>
      </c>
      <c r="F26" s="8" t="s">
        <v>76</v>
      </c>
      <c r="G26" s="769">
        <v>300965.58333333302</v>
      </c>
      <c r="H26" s="70">
        <f t="shared" si="0"/>
        <v>7935.9166666660503</v>
      </c>
      <c r="I26" s="70">
        <f t="shared" si="1"/>
        <v>31743.666666664201</v>
      </c>
      <c r="J26" s="70"/>
    </row>
    <row r="27" spans="1:11" ht="18.75" customHeight="1" x14ac:dyDescent="0.2">
      <c r="A27" s="8">
        <v>21</v>
      </c>
      <c r="B27" s="2" t="s">
        <v>77</v>
      </c>
      <c r="C27" s="2" t="s">
        <v>78</v>
      </c>
      <c r="D27" s="8" t="s">
        <v>84</v>
      </c>
      <c r="E27" s="70">
        <v>270481.66666666698</v>
      </c>
      <c r="F27" s="8" t="s">
        <v>79</v>
      </c>
      <c r="G27" s="768">
        <v>277798</v>
      </c>
      <c r="H27" s="70">
        <f t="shared" si="0"/>
        <v>7316.3333333330202</v>
      </c>
      <c r="I27" s="70">
        <f t="shared" si="1"/>
        <v>29265.333333332099</v>
      </c>
      <c r="J27" s="70"/>
    </row>
    <row r="28" spans="1:11" ht="18.75" customHeight="1" x14ac:dyDescent="0.2">
      <c r="A28" s="8">
        <v>22</v>
      </c>
      <c r="B28" s="16" t="s">
        <v>80</v>
      </c>
      <c r="C28" s="10" t="s">
        <v>78</v>
      </c>
      <c r="D28" s="13" t="s">
        <v>84</v>
      </c>
      <c r="E28" s="70">
        <v>270481.66666666698</v>
      </c>
      <c r="F28" s="13" t="s">
        <v>79</v>
      </c>
      <c r="G28" s="768">
        <v>277798</v>
      </c>
      <c r="H28" s="70">
        <f t="shared" si="0"/>
        <v>7316.3333333330202</v>
      </c>
      <c r="I28" s="70">
        <f t="shared" si="1"/>
        <v>29265.333333332099</v>
      </c>
      <c r="J28" s="70"/>
    </row>
    <row r="29" spans="1:11" ht="20.100000000000001" customHeight="1" x14ac:dyDescent="0.2">
      <c r="A29" s="8">
        <v>23</v>
      </c>
      <c r="B29" s="9" t="s">
        <v>81</v>
      </c>
      <c r="C29" s="15" t="s">
        <v>67</v>
      </c>
      <c r="D29" s="8" t="s">
        <v>84</v>
      </c>
      <c r="E29" s="70">
        <v>270481.66666666698</v>
      </c>
      <c r="F29" s="8" t="s">
        <v>79</v>
      </c>
      <c r="G29" s="768">
        <v>277798</v>
      </c>
      <c r="H29" s="70">
        <f t="shared" si="0"/>
        <v>7316.3333333330202</v>
      </c>
      <c r="I29" s="70">
        <f t="shared" si="1"/>
        <v>29265.333333332099</v>
      </c>
      <c r="J29" s="70"/>
    </row>
    <row r="30" spans="1:11" ht="18.75" customHeight="1" x14ac:dyDescent="0.2">
      <c r="A30" s="8">
        <v>24</v>
      </c>
      <c r="B30" s="16" t="s">
        <v>82</v>
      </c>
      <c r="C30" s="10" t="s">
        <v>83</v>
      </c>
      <c r="D30" s="13" t="s">
        <v>87</v>
      </c>
      <c r="E30" s="70">
        <v>263165.33333333302</v>
      </c>
      <c r="F30" s="13" t="s">
        <v>84</v>
      </c>
      <c r="G30" s="769">
        <v>270481.66666666698</v>
      </c>
      <c r="H30" s="70">
        <f t="shared" si="0"/>
        <v>7316.3333333339497</v>
      </c>
      <c r="I30" s="70">
        <f t="shared" si="1"/>
        <v>29265.333333335799</v>
      </c>
      <c r="J30" s="70"/>
    </row>
    <row r="31" spans="1:11" ht="18.75" customHeight="1" x14ac:dyDescent="0.2">
      <c r="A31" s="8">
        <v>25</v>
      </c>
      <c r="B31" s="16" t="s">
        <v>85</v>
      </c>
      <c r="C31" s="2" t="s">
        <v>86</v>
      </c>
      <c r="D31" s="8" t="s">
        <v>96</v>
      </c>
      <c r="E31" s="70">
        <v>255849</v>
      </c>
      <c r="F31" s="8" t="s">
        <v>87</v>
      </c>
      <c r="G31" s="769">
        <v>263165.33333333302</v>
      </c>
      <c r="H31" s="70">
        <f t="shared" si="0"/>
        <v>7316.3333333330202</v>
      </c>
      <c r="I31" s="70">
        <f t="shared" si="1"/>
        <v>29265.333333332099</v>
      </c>
      <c r="J31" s="70"/>
    </row>
    <row r="32" spans="1:11" ht="18.75" customHeight="1" x14ac:dyDescent="0.2">
      <c r="A32" s="8">
        <v>26</v>
      </c>
      <c r="B32" s="16" t="s">
        <v>88</v>
      </c>
      <c r="C32" s="2" t="s">
        <v>86</v>
      </c>
      <c r="D32" s="8" t="s">
        <v>96</v>
      </c>
      <c r="E32" s="70">
        <v>255849</v>
      </c>
      <c r="F32" s="8" t="s">
        <v>87</v>
      </c>
      <c r="G32" s="769">
        <v>263165.33333333302</v>
      </c>
      <c r="H32" s="70">
        <f t="shared" si="0"/>
        <v>7316.3333333330202</v>
      </c>
      <c r="I32" s="70">
        <f t="shared" si="1"/>
        <v>29265.333333332099</v>
      </c>
      <c r="J32" s="70"/>
    </row>
    <row r="33" spans="1:10" ht="18.75" customHeight="1" x14ac:dyDescent="0.2">
      <c r="A33" s="8">
        <v>27</v>
      </c>
      <c r="B33" s="16" t="s">
        <v>89</v>
      </c>
      <c r="C33" s="15" t="s">
        <v>90</v>
      </c>
      <c r="D33" s="13" t="s">
        <v>84</v>
      </c>
      <c r="E33" s="70">
        <v>270481.66666666698</v>
      </c>
      <c r="F33" s="13" t="s">
        <v>79</v>
      </c>
      <c r="G33" s="768">
        <v>277798</v>
      </c>
      <c r="H33" s="70">
        <f t="shared" si="0"/>
        <v>7316.3333333330202</v>
      </c>
      <c r="I33" s="70">
        <f t="shared" si="1"/>
        <v>29265.333333332099</v>
      </c>
      <c r="J33" s="70"/>
    </row>
    <row r="34" spans="1:10" ht="18.75" customHeight="1" x14ac:dyDescent="0.2">
      <c r="A34" s="8">
        <v>28</v>
      </c>
      <c r="B34" s="16" t="s">
        <v>91</v>
      </c>
      <c r="C34" s="2" t="s">
        <v>78</v>
      </c>
      <c r="D34" s="8" t="s">
        <v>96</v>
      </c>
      <c r="E34" s="70">
        <v>255849</v>
      </c>
      <c r="F34" s="8" t="s">
        <v>87</v>
      </c>
      <c r="G34" s="769">
        <v>263165.33333333302</v>
      </c>
      <c r="H34" s="70">
        <f t="shared" si="0"/>
        <v>7316.3333333330202</v>
      </c>
      <c r="I34" s="70">
        <f t="shared" si="1"/>
        <v>29265.333333332099</v>
      </c>
      <c r="J34" s="70"/>
    </row>
    <row r="35" spans="1:10" ht="18.75" customHeight="1" x14ac:dyDescent="0.2">
      <c r="A35" s="8">
        <v>29</v>
      </c>
      <c r="B35" s="16" t="s">
        <v>92</v>
      </c>
      <c r="C35" s="2" t="s">
        <v>93</v>
      </c>
      <c r="D35" s="8" t="s">
        <v>96</v>
      </c>
      <c r="E35" s="70">
        <v>255849</v>
      </c>
      <c r="F35" s="8" t="s">
        <v>87</v>
      </c>
      <c r="G35" s="769">
        <v>263165.33333333302</v>
      </c>
      <c r="H35" s="70">
        <f t="shared" si="0"/>
        <v>7316.3333333330202</v>
      </c>
      <c r="I35" s="70">
        <f t="shared" si="1"/>
        <v>29265.333333332099</v>
      </c>
      <c r="J35" s="70"/>
    </row>
    <row r="36" spans="1:10" ht="18.75" customHeight="1" x14ac:dyDescent="0.2">
      <c r="A36" s="8">
        <v>30</v>
      </c>
      <c r="B36" s="16" t="s">
        <v>100</v>
      </c>
      <c r="C36" s="10" t="s">
        <v>101</v>
      </c>
      <c r="D36" s="13" t="s">
        <v>105</v>
      </c>
      <c r="E36" s="70">
        <v>224459.75</v>
      </c>
      <c r="F36" s="13" t="s">
        <v>102</v>
      </c>
      <c r="G36" s="768">
        <v>230631.91666666701</v>
      </c>
      <c r="H36" s="70">
        <f t="shared" si="0"/>
        <v>6172.1666666670098</v>
      </c>
      <c r="I36" s="70">
        <f t="shared" si="1"/>
        <v>24688.666666667999</v>
      </c>
      <c r="J36" s="70"/>
    </row>
    <row r="37" spans="1:10" ht="18.75" customHeight="1" x14ac:dyDescent="0.2">
      <c r="A37" s="8">
        <v>31</v>
      </c>
      <c r="B37" s="16" t="s">
        <v>103</v>
      </c>
      <c r="C37" s="10" t="s">
        <v>104</v>
      </c>
      <c r="D37" s="13" t="s">
        <v>108</v>
      </c>
      <c r="E37" s="630">
        <v>218287.58333333299</v>
      </c>
      <c r="F37" s="13" t="s">
        <v>105</v>
      </c>
      <c r="G37" s="769">
        <v>224459.75</v>
      </c>
      <c r="H37" s="70">
        <f t="shared" si="0"/>
        <v>6172.1666666670098</v>
      </c>
      <c r="I37" s="70">
        <f t="shared" si="1"/>
        <v>24688.666666667999</v>
      </c>
      <c r="J37" s="70"/>
    </row>
    <row r="38" spans="1:10" ht="26.25" customHeight="1" x14ac:dyDescent="0.2">
      <c r="A38" s="8"/>
      <c r="B38" s="18" t="s">
        <v>111</v>
      </c>
      <c r="C38" s="19">
        <v>31</v>
      </c>
      <c r="D38" s="13"/>
      <c r="E38" s="187">
        <f>SUM(E7:E37)</f>
        <v>13738762.7503333</v>
      </c>
      <c r="F38" s="187"/>
      <c r="G38" s="187">
        <f>SUM(G7:G37)</f>
        <v>8050577.5</v>
      </c>
      <c r="H38" s="187">
        <f>SUM(H7:H37)</f>
        <v>238882.499999997</v>
      </c>
      <c r="I38" s="187">
        <f>SUM(I7:I37)</f>
        <v>955529.99999998906</v>
      </c>
      <c r="J38" s="187"/>
    </row>
    <row r="39" spans="1:10" ht="18.75" customHeight="1" x14ac:dyDescent="0.2">
      <c r="A39" s="8"/>
      <c r="B39" s="20"/>
      <c r="C39" s="2"/>
      <c r="D39" s="13"/>
      <c r="E39" s="187"/>
      <c r="F39" s="187"/>
      <c r="G39" s="771"/>
      <c r="H39" s="70">
        <f t="shared" ref="H39:H70" si="2">G39-E39</f>
        <v>0</v>
      </c>
      <c r="I39" s="187"/>
      <c r="J39" s="187"/>
    </row>
    <row r="40" spans="1:10" ht="18.75" customHeight="1" x14ac:dyDescent="0.2">
      <c r="A40" s="8"/>
      <c r="B40" s="18" t="s">
        <v>112</v>
      </c>
      <c r="C40" s="2"/>
      <c r="D40" s="13"/>
      <c r="E40" s="70"/>
      <c r="F40" s="70"/>
      <c r="G40" s="769"/>
      <c r="H40" s="70">
        <f t="shared" si="2"/>
        <v>0</v>
      </c>
      <c r="I40" s="70"/>
      <c r="J40" s="70"/>
    </row>
    <row r="41" spans="1:10" ht="18.75" customHeight="1" x14ac:dyDescent="0.2">
      <c r="A41" s="8">
        <v>1</v>
      </c>
      <c r="B41" s="16" t="s">
        <v>113</v>
      </c>
      <c r="C41" s="2" t="s">
        <v>114</v>
      </c>
      <c r="D41" s="8" t="s">
        <v>115</v>
      </c>
      <c r="E41" s="70">
        <v>1435720</v>
      </c>
      <c r="F41" s="70">
        <v>0</v>
      </c>
      <c r="G41" s="70">
        <v>0</v>
      </c>
      <c r="H41" s="70">
        <v>0</v>
      </c>
      <c r="I41" s="70"/>
      <c r="J41" s="70"/>
    </row>
    <row r="42" spans="1:10" ht="18.75" customHeight="1" x14ac:dyDescent="0.2">
      <c r="A42" s="8">
        <v>2</v>
      </c>
      <c r="B42" s="16" t="s">
        <v>116</v>
      </c>
      <c r="C42" s="2" t="s">
        <v>117</v>
      </c>
      <c r="D42" s="8" t="s">
        <v>73</v>
      </c>
      <c r="E42" s="70">
        <v>293029.66666666698</v>
      </c>
      <c r="F42" s="8" t="s">
        <v>76</v>
      </c>
      <c r="G42" s="769">
        <v>300965.58333333302</v>
      </c>
      <c r="H42" s="70">
        <f t="shared" si="2"/>
        <v>7935.9166666660503</v>
      </c>
      <c r="I42" s="70">
        <f>H42*4</f>
        <v>31743.666666664201</v>
      </c>
      <c r="J42" s="70"/>
    </row>
    <row r="43" spans="1:10" ht="18.75" customHeight="1" x14ac:dyDescent="0.2">
      <c r="A43" s="8">
        <v>3</v>
      </c>
      <c r="B43" s="9" t="s">
        <v>118</v>
      </c>
      <c r="C43" s="2" t="s">
        <v>117</v>
      </c>
      <c r="D43" s="13" t="s">
        <v>76</v>
      </c>
      <c r="E43" s="70">
        <v>300965.58333333302</v>
      </c>
      <c r="F43" s="13" t="s">
        <v>119</v>
      </c>
      <c r="G43" s="769">
        <v>308901.5</v>
      </c>
      <c r="H43" s="70">
        <f t="shared" si="2"/>
        <v>7935.9166666669798</v>
      </c>
      <c r="I43" s="70">
        <f>H43*4</f>
        <v>31743.666666667901</v>
      </c>
      <c r="J43" s="70"/>
    </row>
    <row r="44" spans="1:10" ht="18.75" customHeight="1" x14ac:dyDescent="0.2">
      <c r="A44" s="8">
        <v>4</v>
      </c>
      <c r="B44" s="9" t="s">
        <v>121</v>
      </c>
      <c r="C44" s="2" t="s">
        <v>122</v>
      </c>
      <c r="D44" s="13" t="s">
        <v>96</v>
      </c>
      <c r="E44" s="630">
        <f>'[4]Annual &amp; Monthly'!$H$37</f>
        <v>255849</v>
      </c>
      <c r="F44" s="13" t="s">
        <v>87</v>
      </c>
      <c r="G44" s="770">
        <v>263165.33333333302</v>
      </c>
      <c r="H44" s="70">
        <f t="shared" si="2"/>
        <v>7316.3333333330202</v>
      </c>
      <c r="I44" s="70">
        <f>H44*4</f>
        <v>29265.333333332099</v>
      </c>
      <c r="J44" s="70"/>
    </row>
    <row r="45" spans="1:10" ht="19.5" customHeight="1" x14ac:dyDescent="0.2">
      <c r="A45" s="8"/>
      <c r="B45" s="12"/>
      <c r="C45" s="19">
        <v>4</v>
      </c>
      <c r="D45" s="8"/>
      <c r="E45" s="187">
        <f>SUM(E41:E44)</f>
        <v>2285564.25</v>
      </c>
      <c r="F45" s="187"/>
      <c r="G45" s="187">
        <f>SUM(G41:G44)</f>
        <v>873032.41666666605</v>
      </c>
      <c r="H45" s="187">
        <f>SUM(H41:H44)</f>
        <v>23188.166666665998</v>
      </c>
      <c r="I45" s="187">
        <f>SUM(I41:I44)</f>
        <v>92752.666666664198</v>
      </c>
      <c r="J45" s="187"/>
    </row>
    <row r="46" spans="1:10" ht="20.100000000000001" customHeight="1" x14ac:dyDescent="0.2">
      <c r="A46" s="8"/>
      <c r="B46" s="12"/>
      <c r="C46" s="2"/>
      <c r="D46" s="8"/>
      <c r="E46" s="187"/>
      <c r="F46" s="187"/>
      <c r="G46" s="771"/>
      <c r="H46" s="70">
        <f t="shared" si="2"/>
        <v>0</v>
      </c>
      <c r="I46" s="187"/>
      <c r="J46" s="187"/>
    </row>
    <row r="47" spans="1:10" ht="20.100000000000001" customHeight="1" x14ac:dyDescent="0.2">
      <c r="A47" s="8"/>
      <c r="B47" s="21" t="s">
        <v>125</v>
      </c>
      <c r="C47" s="3"/>
      <c r="D47" s="22"/>
      <c r="E47" s="187"/>
      <c r="F47" s="187"/>
      <c r="G47" s="771"/>
      <c r="H47" s="70">
        <f t="shared" si="2"/>
        <v>0</v>
      </c>
      <c r="I47" s="187"/>
      <c r="J47" s="187"/>
    </row>
    <row r="48" spans="1:10" ht="20.100000000000001" customHeight="1" x14ac:dyDescent="0.2">
      <c r="A48" s="8">
        <v>2</v>
      </c>
      <c r="B48" s="9" t="s">
        <v>126</v>
      </c>
      <c r="C48" s="2" t="s">
        <v>127</v>
      </c>
      <c r="D48" s="8" t="s">
        <v>35</v>
      </c>
      <c r="E48" s="70">
        <v>739203.58333333302</v>
      </c>
      <c r="F48" s="8" t="s">
        <v>154</v>
      </c>
      <c r="G48" s="769">
        <v>762373.16666666698</v>
      </c>
      <c r="H48" s="70">
        <f t="shared" si="2"/>
        <v>23169.583333334002</v>
      </c>
      <c r="I48" s="70">
        <f>H48*4</f>
        <v>92678.333333335802</v>
      </c>
      <c r="J48" s="70"/>
    </row>
    <row r="49" spans="1:10" ht="20.100000000000001" customHeight="1" x14ac:dyDescent="0.2">
      <c r="A49" s="8">
        <v>3</v>
      </c>
      <c r="B49" s="9" t="s">
        <v>129</v>
      </c>
      <c r="C49" s="2" t="s">
        <v>130</v>
      </c>
      <c r="D49" s="8" t="s">
        <v>131</v>
      </c>
      <c r="E49" s="70">
        <v>620675.58333333302</v>
      </c>
      <c r="F49" s="70">
        <v>0</v>
      </c>
      <c r="G49" s="70">
        <v>0</v>
      </c>
      <c r="H49" s="70">
        <v>0</v>
      </c>
      <c r="I49" s="70">
        <f t="shared" ref="I49:I55" si="3">H49*4</f>
        <v>0</v>
      </c>
      <c r="J49" s="70"/>
    </row>
    <row r="50" spans="1:10" ht="20.100000000000001" customHeight="1" x14ac:dyDescent="0.2">
      <c r="A50" s="8">
        <v>4</v>
      </c>
      <c r="B50" s="9" t="s">
        <v>132</v>
      </c>
      <c r="C50" s="2" t="s">
        <v>130</v>
      </c>
      <c r="D50" s="8" t="s">
        <v>131</v>
      </c>
      <c r="E50" s="70">
        <v>620675.58333333302</v>
      </c>
      <c r="F50" s="70">
        <v>0</v>
      </c>
      <c r="G50" s="70">
        <v>0</v>
      </c>
      <c r="H50" s="70">
        <v>0</v>
      </c>
      <c r="I50" s="70">
        <f t="shared" si="3"/>
        <v>0</v>
      </c>
      <c r="J50" s="70"/>
    </row>
    <row r="51" spans="1:10" ht="20.100000000000001" customHeight="1" x14ac:dyDescent="0.2">
      <c r="A51" s="8">
        <v>5</v>
      </c>
      <c r="B51" s="9" t="s">
        <v>133</v>
      </c>
      <c r="C51" s="2" t="s">
        <v>130</v>
      </c>
      <c r="D51" s="8" t="s">
        <v>49</v>
      </c>
      <c r="E51" s="70">
        <v>582118.08333333302</v>
      </c>
      <c r="F51" s="8" t="s">
        <v>38</v>
      </c>
      <c r="G51" s="769">
        <v>601396.83333333302</v>
      </c>
      <c r="H51" s="70">
        <f t="shared" si="2"/>
        <v>19278.75</v>
      </c>
      <c r="I51" s="70">
        <f t="shared" si="3"/>
        <v>77115</v>
      </c>
      <c r="J51" s="70"/>
    </row>
    <row r="52" spans="1:10" ht="20.100000000000001" customHeight="1" x14ac:dyDescent="0.2">
      <c r="A52" s="8">
        <v>6</v>
      </c>
      <c r="B52" s="12" t="s">
        <v>134</v>
      </c>
      <c r="C52" s="2" t="s">
        <v>130</v>
      </c>
      <c r="D52" s="8" t="s">
        <v>49</v>
      </c>
      <c r="E52" s="70">
        <v>582118.08333333302</v>
      </c>
      <c r="F52" s="70">
        <v>0</v>
      </c>
      <c r="G52" s="70">
        <v>0</v>
      </c>
      <c r="H52" s="70">
        <v>0</v>
      </c>
      <c r="I52" s="70">
        <f t="shared" si="3"/>
        <v>0</v>
      </c>
      <c r="J52" s="70" t="s">
        <v>633</v>
      </c>
    </row>
    <row r="53" spans="1:10" ht="20.100000000000001" customHeight="1" x14ac:dyDescent="0.2">
      <c r="A53" s="8">
        <v>7</v>
      </c>
      <c r="B53" s="9" t="s">
        <v>138</v>
      </c>
      <c r="C53" s="2" t="s">
        <v>139</v>
      </c>
      <c r="D53" s="8" t="s">
        <v>76</v>
      </c>
      <c r="E53" s="70">
        <v>300965.58333333302</v>
      </c>
      <c r="F53" s="8" t="s">
        <v>119</v>
      </c>
      <c r="G53" s="769">
        <v>308901.5</v>
      </c>
      <c r="H53" s="70">
        <f t="shared" si="2"/>
        <v>7935.9166666669798</v>
      </c>
      <c r="I53" s="70">
        <f t="shared" si="3"/>
        <v>31743.666666667901</v>
      </c>
      <c r="J53" s="70"/>
    </row>
    <row r="54" spans="1:10" ht="20.100000000000001" customHeight="1" x14ac:dyDescent="0.2">
      <c r="A54" s="8">
        <v>8</v>
      </c>
      <c r="B54" s="9" t="s">
        <v>142</v>
      </c>
      <c r="C54" s="2" t="s">
        <v>139</v>
      </c>
      <c r="D54" s="8" t="s">
        <v>87</v>
      </c>
      <c r="E54" s="70">
        <v>263165.33333333302</v>
      </c>
      <c r="F54" s="8" t="s">
        <v>84</v>
      </c>
      <c r="G54" s="769">
        <v>270481.66666666698</v>
      </c>
      <c r="H54" s="70">
        <f t="shared" si="2"/>
        <v>7316.3333333339497</v>
      </c>
      <c r="I54" s="70">
        <f t="shared" si="3"/>
        <v>29265.333333335799</v>
      </c>
      <c r="J54" s="70"/>
    </row>
    <row r="55" spans="1:10" ht="20.100000000000001" customHeight="1" x14ac:dyDescent="0.2">
      <c r="A55" s="8">
        <v>9</v>
      </c>
      <c r="B55" s="9" t="s">
        <v>143</v>
      </c>
      <c r="C55" s="2" t="s">
        <v>139</v>
      </c>
      <c r="D55" s="8" t="s">
        <v>87</v>
      </c>
      <c r="E55" s="70">
        <v>263165.33333333302</v>
      </c>
      <c r="F55" s="8" t="s">
        <v>84</v>
      </c>
      <c r="G55" s="769">
        <v>270481.66666666698</v>
      </c>
      <c r="H55" s="70">
        <f t="shared" si="2"/>
        <v>7316.3333333339497</v>
      </c>
      <c r="I55" s="70">
        <f t="shared" si="3"/>
        <v>29265.333333335799</v>
      </c>
      <c r="J55" s="70"/>
    </row>
    <row r="56" spans="1:10" ht="25.5" customHeight="1" x14ac:dyDescent="0.5">
      <c r="A56" s="8"/>
      <c r="B56" s="18" t="s">
        <v>111</v>
      </c>
      <c r="C56" s="19">
        <v>9</v>
      </c>
      <c r="D56" s="19"/>
      <c r="E56" s="78">
        <f>SUM(E48:E55)</f>
        <v>3972087.16666666</v>
      </c>
      <c r="F56" s="78"/>
      <c r="G56" s="78">
        <f>SUM(G48:G55)</f>
        <v>2213634.8333333302</v>
      </c>
      <c r="H56" s="78">
        <f>SUM(H48:H55)</f>
        <v>65016.916666668803</v>
      </c>
      <c r="I56" s="78">
        <f>SUM(I48:I55)</f>
        <v>260067.66666667501</v>
      </c>
      <c r="J56" s="78"/>
    </row>
    <row r="57" spans="1:10" ht="20.100000000000001" customHeight="1" x14ac:dyDescent="0.2">
      <c r="A57" s="8"/>
      <c r="B57" s="20"/>
      <c r="C57" s="19"/>
      <c r="D57" s="19"/>
      <c r="E57" s="122"/>
      <c r="F57" s="19"/>
      <c r="G57" s="772"/>
      <c r="H57" s="70"/>
      <c r="I57" s="122"/>
      <c r="J57" s="122"/>
    </row>
    <row r="58" spans="1:10" ht="20.100000000000001" customHeight="1" x14ac:dyDescent="0.2">
      <c r="A58" s="8"/>
      <c r="B58" s="18" t="s">
        <v>145</v>
      </c>
      <c r="C58" s="19"/>
      <c r="D58" s="19"/>
      <c r="E58" s="122"/>
      <c r="F58" s="19"/>
      <c r="G58" s="772"/>
      <c r="H58" s="70"/>
      <c r="I58" s="122"/>
      <c r="J58" s="122"/>
    </row>
    <row r="59" spans="1:10" ht="20.100000000000001" customHeight="1" x14ac:dyDescent="0.2">
      <c r="A59" s="8">
        <v>1</v>
      </c>
      <c r="B59" s="9" t="s">
        <v>146</v>
      </c>
      <c r="C59" s="10" t="s">
        <v>147</v>
      </c>
      <c r="D59" s="13" t="s">
        <v>115</v>
      </c>
      <c r="E59" s="70">
        <v>1435720</v>
      </c>
      <c r="F59" s="70">
        <v>0</v>
      </c>
      <c r="G59" s="70">
        <v>0</v>
      </c>
      <c r="H59" s="70">
        <v>0</v>
      </c>
      <c r="I59" s="70">
        <v>0</v>
      </c>
      <c r="J59" s="70"/>
    </row>
    <row r="60" spans="1:10" ht="20.100000000000001" customHeight="1" x14ac:dyDescent="0.2">
      <c r="A60" s="8">
        <v>2</v>
      </c>
      <c r="B60" s="9" t="s">
        <v>148</v>
      </c>
      <c r="C60" s="10" t="s">
        <v>149</v>
      </c>
      <c r="D60" s="13" t="s">
        <v>150</v>
      </c>
      <c r="E60" s="70">
        <v>620675.58333333302</v>
      </c>
      <c r="F60" s="70">
        <v>0</v>
      </c>
      <c r="G60" s="70">
        <v>0</v>
      </c>
      <c r="H60" s="70">
        <v>0</v>
      </c>
      <c r="I60" s="70">
        <v>0</v>
      </c>
      <c r="J60" s="70"/>
    </row>
    <row r="61" spans="1:10" ht="20.100000000000001" customHeight="1" x14ac:dyDescent="0.5">
      <c r="A61" s="8"/>
      <c r="B61" s="18" t="s">
        <v>111</v>
      </c>
      <c r="C61" s="19">
        <v>2</v>
      </c>
      <c r="D61" s="19"/>
      <c r="E61" s="78">
        <f>SUM(E59:E60)</f>
        <v>2056395.58333333</v>
      </c>
      <c r="F61" s="19"/>
      <c r="G61" s="773"/>
      <c r="H61" s="70"/>
      <c r="I61" s="78">
        <f>SUM(I59:I60)</f>
        <v>0</v>
      </c>
      <c r="J61" s="78"/>
    </row>
    <row r="62" spans="1:10" ht="20.100000000000001" customHeight="1" x14ac:dyDescent="0.2">
      <c r="A62" s="8"/>
      <c r="B62" s="18"/>
      <c r="C62" s="19"/>
      <c r="D62" s="19"/>
      <c r="E62" s="122"/>
      <c r="F62" s="19"/>
      <c r="G62" s="772"/>
      <c r="H62" s="70"/>
      <c r="I62" s="122"/>
      <c r="J62" s="122"/>
    </row>
    <row r="63" spans="1:10" ht="20.100000000000001" customHeight="1" x14ac:dyDescent="0.2">
      <c r="A63" s="8"/>
      <c r="B63" s="18" t="s">
        <v>151</v>
      </c>
      <c r="C63" s="19"/>
      <c r="D63" s="19"/>
      <c r="E63" s="122"/>
      <c r="F63" s="19"/>
      <c r="G63" s="772"/>
      <c r="H63" s="70"/>
      <c r="I63" s="122"/>
      <c r="J63" s="122"/>
    </row>
    <row r="64" spans="1:10" ht="20.100000000000001" customHeight="1" x14ac:dyDescent="0.2">
      <c r="A64" s="8">
        <v>1</v>
      </c>
      <c r="B64" s="12" t="s">
        <v>152</v>
      </c>
      <c r="C64" s="2" t="s">
        <v>153</v>
      </c>
      <c r="D64" s="8" t="s">
        <v>154</v>
      </c>
      <c r="E64" s="70">
        <v>762373.16666666698</v>
      </c>
      <c r="F64" s="70">
        <v>0</v>
      </c>
      <c r="G64" s="70">
        <v>0</v>
      </c>
      <c r="H64" s="70">
        <v>0</v>
      </c>
      <c r="I64" s="70"/>
      <c r="J64" s="70"/>
    </row>
    <row r="65" spans="1:10" ht="20.100000000000001" customHeight="1" x14ac:dyDescent="0.2">
      <c r="A65" s="8">
        <v>3</v>
      </c>
      <c r="B65" s="9" t="s">
        <v>155</v>
      </c>
      <c r="C65" s="2" t="s">
        <v>156</v>
      </c>
      <c r="D65" s="8" t="s">
        <v>197</v>
      </c>
      <c r="E65" s="70">
        <v>442746.5</v>
      </c>
      <c r="F65" s="8" t="s">
        <v>46</v>
      </c>
      <c r="G65" s="769">
        <v>456622.25</v>
      </c>
      <c r="H65" s="70">
        <f t="shared" si="2"/>
        <v>13875.75</v>
      </c>
      <c r="I65" s="70">
        <f>H65*4</f>
        <v>55503</v>
      </c>
      <c r="J65" s="70"/>
    </row>
    <row r="66" spans="1:10" ht="20.100000000000001" customHeight="1" x14ac:dyDescent="0.2">
      <c r="A66" s="8">
        <v>4</v>
      </c>
      <c r="B66" s="9" t="s">
        <v>161</v>
      </c>
      <c r="C66" s="2" t="s">
        <v>139</v>
      </c>
      <c r="D66" s="8" t="s">
        <v>68</v>
      </c>
      <c r="E66" s="70">
        <v>365703.83333333302</v>
      </c>
      <c r="F66" s="8" t="s">
        <v>162</v>
      </c>
      <c r="G66" s="769">
        <v>377895.16666666698</v>
      </c>
      <c r="H66" s="70">
        <f t="shared" si="2"/>
        <v>12191.333333334</v>
      </c>
      <c r="I66" s="70">
        <f t="shared" ref="I66:I71" si="4">H66*4</f>
        <v>48765.333333335802</v>
      </c>
      <c r="J66" s="70"/>
    </row>
    <row r="67" spans="1:10" ht="20.100000000000001" customHeight="1" x14ac:dyDescent="0.2">
      <c r="A67" s="8">
        <v>5</v>
      </c>
      <c r="B67" s="9" t="s">
        <v>163</v>
      </c>
      <c r="C67" s="15" t="s">
        <v>70</v>
      </c>
      <c r="D67" s="8" t="s">
        <v>68</v>
      </c>
      <c r="E67" s="70">
        <v>365703.83333333302</v>
      </c>
      <c r="F67" s="8" t="s">
        <v>162</v>
      </c>
      <c r="G67" s="769">
        <v>377895.16666666698</v>
      </c>
      <c r="H67" s="70">
        <f t="shared" si="2"/>
        <v>12191.333333334</v>
      </c>
      <c r="I67" s="70">
        <f t="shared" si="4"/>
        <v>48765.333333335802</v>
      </c>
      <c r="J67" s="70"/>
    </row>
    <row r="68" spans="1:10" ht="20.100000000000001" customHeight="1" x14ac:dyDescent="0.2">
      <c r="A68" s="8">
        <v>6</v>
      </c>
      <c r="B68" s="9" t="s">
        <v>164</v>
      </c>
      <c r="C68" s="15" t="s">
        <v>70</v>
      </c>
      <c r="D68" s="8" t="s">
        <v>68</v>
      </c>
      <c r="E68" s="70">
        <v>365703.83333333302</v>
      </c>
      <c r="F68" s="8" t="s">
        <v>162</v>
      </c>
      <c r="G68" s="769">
        <v>377895.16666666698</v>
      </c>
      <c r="H68" s="70">
        <f t="shared" si="2"/>
        <v>12191.333333334</v>
      </c>
      <c r="I68" s="70">
        <f t="shared" si="4"/>
        <v>48765.333333335802</v>
      </c>
      <c r="J68" s="70"/>
    </row>
    <row r="69" spans="1:10" ht="20.100000000000001" customHeight="1" x14ac:dyDescent="0.2">
      <c r="A69" s="8">
        <v>7</v>
      </c>
      <c r="B69" s="9" t="s">
        <v>165</v>
      </c>
      <c r="C69" s="2" t="s">
        <v>166</v>
      </c>
      <c r="D69" s="8" t="s">
        <v>162</v>
      </c>
      <c r="E69" s="417">
        <v>377895.16666666698</v>
      </c>
      <c r="F69" s="8" t="s">
        <v>65</v>
      </c>
      <c r="G69" s="777">
        <v>390086.5</v>
      </c>
      <c r="H69" s="70">
        <f t="shared" si="2"/>
        <v>12191.333333332999</v>
      </c>
      <c r="I69" s="70">
        <f t="shared" si="4"/>
        <v>48765.333333332099</v>
      </c>
      <c r="J69" s="70"/>
    </row>
    <row r="70" spans="1:10" ht="21.6" customHeight="1" x14ac:dyDescent="0.2">
      <c r="A70" s="8">
        <v>8</v>
      </c>
      <c r="B70" s="9" t="s">
        <v>168</v>
      </c>
      <c r="C70" s="2" t="s">
        <v>139</v>
      </c>
      <c r="D70" s="8" t="s">
        <v>76</v>
      </c>
      <c r="E70" s="186">
        <v>300965.58333333302</v>
      </c>
      <c r="F70" s="8" t="s">
        <v>119</v>
      </c>
      <c r="G70" s="778">
        <v>308901.5</v>
      </c>
      <c r="H70" s="70">
        <f t="shared" si="2"/>
        <v>7935.9166666669798</v>
      </c>
      <c r="I70" s="70">
        <f t="shared" si="4"/>
        <v>31743.666666667901</v>
      </c>
      <c r="J70" s="70"/>
    </row>
    <row r="71" spans="1:10" ht="27" customHeight="1" x14ac:dyDescent="0.5">
      <c r="A71" s="8"/>
      <c r="B71" s="18" t="s">
        <v>111</v>
      </c>
      <c r="C71" s="19">
        <v>8</v>
      </c>
      <c r="D71" s="19"/>
      <c r="E71" s="78">
        <f>SUM(E64:E70)</f>
        <v>2981091.9166666698</v>
      </c>
      <c r="F71" s="78"/>
      <c r="G71" s="78">
        <f>SUM(G64:G70)</f>
        <v>2289295.75</v>
      </c>
      <c r="H71" s="78">
        <f>SUM(H64:H70)</f>
        <v>70577.000000001906</v>
      </c>
      <c r="I71" s="70">
        <f t="shared" si="4"/>
        <v>282308.00000000698</v>
      </c>
      <c r="J71" s="78"/>
    </row>
    <row r="72" spans="1:10" ht="20.100000000000001" customHeight="1" x14ac:dyDescent="0.2">
      <c r="A72" s="8"/>
      <c r="B72" s="20"/>
      <c r="C72" s="19"/>
      <c r="D72" s="19"/>
      <c r="E72" s="122"/>
      <c r="F72" s="19"/>
      <c r="G72" s="772"/>
      <c r="H72" s="70">
        <f t="shared" ref="H71:H103" si="5">G72-E72</f>
        <v>0</v>
      </c>
      <c r="I72" s="122"/>
      <c r="J72" s="122"/>
    </row>
    <row r="73" spans="1:10" ht="20.100000000000001" customHeight="1" x14ac:dyDescent="0.2">
      <c r="A73" s="8"/>
      <c r="B73" s="18" t="s">
        <v>169</v>
      </c>
      <c r="C73" s="19"/>
      <c r="D73" s="19"/>
      <c r="E73" s="122"/>
      <c r="F73" s="19"/>
      <c r="G73" s="772"/>
      <c r="H73" s="70">
        <f t="shared" si="5"/>
        <v>0</v>
      </c>
      <c r="I73" s="122"/>
      <c r="J73" s="122"/>
    </row>
    <row r="74" spans="1:10" ht="20.100000000000001" customHeight="1" x14ac:dyDescent="0.2">
      <c r="A74" s="8">
        <v>1</v>
      </c>
      <c r="B74" s="9" t="s">
        <v>170</v>
      </c>
      <c r="C74" s="2" t="s">
        <v>171</v>
      </c>
      <c r="D74" s="8" t="s">
        <v>115</v>
      </c>
      <c r="E74" s="70">
        <v>1435720</v>
      </c>
      <c r="F74" s="70">
        <v>0</v>
      </c>
      <c r="G74" s="70">
        <v>0</v>
      </c>
      <c r="H74" s="70">
        <v>0</v>
      </c>
      <c r="I74" s="70"/>
      <c r="J74" s="70"/>
    </row>
    <row r="75" spans="1:10" ht="20.100000000000001" customHeight="1" x14ac:dyDescent="0.2">
      <c r="A75" s="8">
        <v>2</v>
      </c>
      <c r="B75" s="9" t="s">
        <v>172</v>
      </c>
      <c r="C75" s="2" t="s">
        <v>173</v>
      </c>
      <c r="D75" s="8" t="s">
        <v>49</v>
      </c>
      <c r="E75" s="70">
        <v>582118.08333333302</v>
      </c>
      <c r="F75" s="8"/>
      <c r="G75" s="769"/>
      <c r="H75" s="70"/>
      <c r="I75" s="70"/>
      <c r="J75" s="70"/>
    </row>
    <row r="76" spans="1:10" ht="20.100000000000001" customHeight="1" x14ac:dyDescent="0.2">
      <c r="A76" s="8">
        <v>3</v>
      </c>
      <c r="B76" s="9" t="s">
        <v>174</v>
      </c>
      <c r="C76" s="2" t="s">
        <v>175</v>
      </c>
      <c r="D76" s="13" t="s">
        <v>46</v>
      </c>
      <c r="E76" s="70">
        <v>456622.25</v>
      </c>
      <c r="F76" s="13" t="s">
        <v>176</v>
      </c>
      <c r="G76" s="769">
        <v>470498</v>
      </c>
      <c r="H76" s="70">
        <f t="shared" si="5"/>
        <v>13875.75</v>
      </c>
      <c r="I76" s="70">
        <f>H76*4</f>
        <v>55503</v>
      </c>
      <c r="J76" s="70"/>
    </row>
    <row r="77" spans="1:10" ht="20.100000000000001" customHeight="1" x14ac:dyDescent="0.2">
      <c r="A77" s="8">
        <v>4</v>
      </c>
      <c r="B77" s="9" t="s">
        <v>181</v>
      </c>
      <c r="C77" s="2" t="s">
        <v>182</v>
      </c>
      <c r="D77" s="8" t="s">
        <v>137</v>
      </c>
      <c r="E77" s="70">
        <v>353512.5</v>
      </c>
      <c r="F77" s="155" t="s">
        <v>68</v>
      </c>
      <c r="G77" s="70">
        <v>365703.83333333302</v>
      </c>
      <c r="H77" s="70">
        <f t="shared" si="5"/>
        <v>12191.333333332999</v>
      </c>
      <c r="I77" s="70">
        <f>H77*4</f>
        <v>48765.333333332099</v>
      </c>
      <c r="J77" s="70" t="s">
        <v>633</v>
      </c>
    </row>
    <row r="78" spans="1:10" ht="20.100000000000001" customHeight="1" x14ac:dyDescent="0.2">
      <c r="A78" s="8">
        <v>5</v>
      </c>
      <c r="B78" s="9" t="s">
        <v>183</v>
      </c>
      <c r="C78" s="2" t="s">
        <v>184</v>
      </c>
      <c r="D78" s="8" t="s">
        <v>87</v>
      </c>
      <c r="E78" s="70">
        <v>263165.33333333302</v>
      </c>
      <c r="F78" s="70">
        <v>0</v>
      </c>
      <c r="G78" s="70">
        <v>0</v>
      </c>
      <c r="H78" s="70">
        <v>0</v>
      </c>
      <c r="I78" s="70">
        <f>H78*4</f>
        <v>0</v>
      </c>
      <c r="J78" s="70" t="s">
        <v>633</v>
      </c>
    </row>
    <row r="79" spans="1:10" ht="20.100000000000001" customHeight="1" x14ac:dyDescent="0.2">
      <c r="A79" s="8">
        <v>6</v>
      </c>
      <c r="B79" s="9" t="s">
        <v>185</v>
      </c>
      <c r="C79" s="2" t="s">
        <v>186</v>
      </c>
      <c r="D79" s="8" t="s">
        <v>105</v>
      </c>
      <c r="E79" s="70">
        <v>224459.75</v>
      </c>
      <c r="F79" s="8" t="s">
        <v>102</v>
      </c>
      <c r="G79" s="769">
        <v>230631.91666666701</v>
      </c>
      <c r="H79" s="70">
        <f t="shared" si="5"/>
        <v>6172.1666666670098</v>
      </c>
      <c r="I79" s="70">
        <f>H79*4</f>
        <v>24688.666666667999</v>
      </c>
      <c r="J79" s="70"/>
    </row>
    <row r="80" spans="1:10" ht="20.100000000000001" customHeight="1" x14ac:dyDescent="0.5">
      <c r="A80" s="8"/>
      <c r="B80" s="18" t="s">
        <v>111</v>
      </c>
      <c r="C80" s="19">
        <v>6</v>
      </c>
      <c r="D80" s="19"/>
      <c r="E80" s="78">
        <f>SUM(E74:E79)</f>
        <v>3315597.9166666698</v>
      </c>
      <c r="F80" s="78">
        <f>SUM(F74:F79)</f>
        <v>0</v>
      </c>
      <c r="G80" s="78">
        <f>SUM(G74:G79)</f>
        <v>1066833.75</v>
      </c>
      <c r="H80" s="78">
        <f>SUM(H74:H79)</f>
        <v>32239.25</v>
      </c>
      <c r="I80" s="78">
        <f>SUM(I74:I79)</f>
        <v>128957</v>
      </c>
      <c r="J80" s="78"/>
    </row>
    <row r="81" spans="1:10" ht="20.100000000000001" customHeight="1" x14ac:dyDescent="0.2">
      <c r="A81" s="8"/>
      <c r="B81" s="18"/>
      <c r="C81" s="19"/>
      <c r="D81" s="19"/>
      <c r="E81" s="122"/>
      <c r="F81" s="19"/>
      <c r="G81" s="772"/>
      <c r="H81" s="70">
        <f t="shared" si="5"/>
        <v>0</v>
      </c>
      <c r="I81" s="122"/>
      <c r="J81" s="122"/>
    </row>
    <row r="82" spans="1:10" ht="20.100000000000001" customHeight="1" x14ac:dyDescent="0.2">
      <c r="A82" s="8"/>
      <c r="B82" s="18" t="s">
        <v>187</v>
      </c>
      <c r="C82" s="23"/>
      <c r="D82" s="19"/>
      <c r="E82" s="122"/>
      <c r="F82" s="19"/>
      <c r="G82" s="772"/>
      <c r="H82" s="70">
        <f t="shared" si="5"/>
        <v>0</v>
      </c>
      <c r="I82" s="122"/>
      <c r="J82" s="122"/>
    </row>
    <row r="83" spans="1:10" ht="20.100000000000001" customHeight="1" x14ac:dyDescent="0.2">
      <c r="A83" s="8">
        <v>1</v>
      </c>
      <c r="B83" s="9" t="s">
        <v>188</v>
      </c>
      <c r="C83" s="2" t="s">
        <v>130</v>
      </c>
      <c r="D83" s="8" t="s">
        <v>192</v>
      </c>
      <c r="E83" s="630">
        <f>762373.17</f>
        <v>762373.17</v>
      </c>
      <c r="F83" s="70">
        <v>0</v>
      </c>
      <c r="G83" s="70">
        <v>0</v>
      </c>
      <c r="H83" s="70">
        <v>0</v>
      </c>
      <c r="I83" s="70"/>
      <c r="J83" s="70"/>
    </row>
    <row r="84" spans="1:10" ht="20.100000000000001" customHeight="1" x14ac:dyDescent="0.2">
      <c r="A84" s="8">
        <v>2</v>
      </c>
      <c r="B84" s="9" t="s">
        <v>190</v>
      </c>
      <c r="C84" s="2" t="s">
        <v>130</v>
      </c>
      <c r="D84" s="8" t="s">
        <v>131</v>
      </c>
      <c r="E84" s="70">
        <v>620675.58333333302</v>
      </c>
      <c r="F84" s="70">
        <v>0</v>
      </c>
      <c r="G84" s="70">
        <v>0</v>
      </c>
      <c r="H84" s="70">
        <v>0</v>
      </c>
      <c r="I84" s="70"/>
      <c r="J84" s="70"/>
    </row>
    <row r="85" spans="1:10" ht="20.100000000000001" customHeight="1" x14ac:dyDescent="0.2">
      <c r="A85" s="8">
        <v>3</v>
      </c>
      <c r="B85" s="9" t="s">
        <v>193</v>
      </c>
      <c r="C85" s="2" t="s">
        <v>130</v>
      </c>
      <c r="D85" s="8" t="s">
        <v>49</v>
      </c>
      <c r="E85" s="70">
        <v>582118.08333333302</v>
      </c>
      <c r="F85" s="8" t="s">
        <v>38</v>
      </c>
      <c r="G85" s="769">
        <v>601396.83333333302</v>
      </c>
      <c r="H85" s="70">
        <f t="shared" si="5"/>
        <v>19278.75</v>
      </c>
      <c r="I85" s="70">
        <f>H85*4</f>
        <v>77115</v>
      </c>
      <c r="J85" s="70"/>
    </row>
    <row r="86" spans="1:10" ht="21.6" customHeight="1" x14ac:dyDescent="0.2">
      <c r="A86" s="8">
        <v>4</v>
      </c>
      <c r="B86" s="9" t="s">
        <v>194</v>
      </c>
      <c r="C86" s="2" t="s">
        <v>156</v>
      </c>
      <c r="D86" s="13" t="s">
        <v>197</v>
      </c>
      <c r="E86" s="70">
        <v>442746.5</v>
      </c>
      <c r="F86" s="779" t="s">
        <v>46</v>
      </c>
      <c r="G86" s="769">
        <v>456622.25</v>
      </c>
      <c r="H86" s="70">
        <f t="shared" si="5"/>
        <v>13875.75</v>
      </c>
      <c r="I86" s="70">
        <f t="shared" ref="I86:I92" si="6">H86*4</f>
        <v>55503</v>
      </c>
      <c r="J86" s="70" t="s">
        <v>633</v>
      </c>
    </row>
    <row r="87" spans="1:10" ht="21.6" customHeight="1" x14ac:dyDescent="0.2">
      <c r="A87" s="8">
        <v>5</v>
      </c>
      <c r="B87" s="9" t="s">
        <v>195</v>
      </c>
      <c r="C87" s="2" t="s">
        <v>156</v>
      </c>
      <c r="D87" s="13" t="s">
        <v>197</v>
      </c>
      <c r="E87" s="70">
        <v>442746.5</v>
      </c>
      <c r="F87" s="13" t="s">
        <v>46</v>
      </c>
      <c r="G87" s="769">
        <v>456622.25</v>
      </c>
      <c r="H87" s="70">
        <f t="shared" si="5"/>
        <v>13875.75</v>
      </c>
      <c r="I87" s="70">
        <f t="shared" si="6"/>
        <v>55503</v>
      </c>
      <c r="J87" s="70"/>
    </row>
    <row r="88" spans="1:10" ht="21.6" customHeight="1" x14ac:dyDescent="0.2">
      <c r="A88" s="8">
        <v>6</v>
      </c>
      <c r="B88" s="9" t="s">
        <v>196</v>
      </c>
      <c r="C88" s="10" t="s">
        <v>156</v>
      </c>
      <c r="D88" s="13" t="s">
        <v>229</v>
      </c>
      <c r="E88" s="70">
        <v>428870.75</v>
      </c>
      <c r="F88" s="13" t="s">
        <v>197</v>
      </c>
      <c r="G88" s="769">
        <v>442746.5</v>
      </c>
      <c r="H88" s="70">
        <f t="shared" si="5"/>
        <v>13875.75</v>
      </c>
      <c r="I88" s="70">
        <f t="shared" si="6"/>
        <v>55503</v>
      </c>
      <c r="J88" s="70"/>
    </row>
    <row r="89" spans="1:10" ht="21.6" customHeight="1" x14ac:dyDescent="0.2">
      <c r="A89" s="8">
        <v>7</v>
      </c>
      <c r="B89" s="9" t="s">
        <v>198</v>
      </c>
      <c r="C89" s="15" t="s">
        <v>70</v>
      </c>
      <c r="D89" s="13" t="s">
        <v>68</v>
      </c>
      <c r="E89" s="70">
        <v>365703.83333333302</v>
      </c>
      <c r="F89" s="13" t="s">
        <v>162</v>
      </c>
      <c r="G89" s="769">
        <v>377895.16666666698</v>
      </c>
      <c r="H89" s="70">
        <f t="shared" si="5"/>
        <v>12191.333333334</v>
      </c>
      <c r="I89" s="70">
        <f t="shared" si="6"/>
        <v>48765.333333335802</v>
      </c>
      <c r="J89" s="70"/>
    </row>
    <row r="90" spans="1:10" ht="21.6" customHeight="1" x14ac:dyDescent="0.2">
      <c r="A90" s="8">
        <v>8</v>
      </c>
      <c r="B90" s="9" t="s">
        <v>199</v>
      </c>
      <c r="C90" s="15" t="s">
        <v>158</v>
      </c>
      <c r="D90" s="13" t="s">
        <v>159</v>
      </c>
      <c r="E90" s="70">
        <v>390248.91666666698</v>
      </c>
      <c r="F90" s="13" t="s">
        <v>200</v>
      </c>
      <c r="G90" s="769">
        <v>403137.91666666698</v>
      </c>
      <c r="H90" s="70">
        <f t="shared" si="5"/>
        <v>12889</v>
      </c>
      <c r="I90" s="70">
        <f t="shared" si="6"/>
        <v>51556</v>
      </c>
      <c r="J90" s="70"/>
    </row>
    <row r="91" spans="1:10" ht="21.6" customHeight="1" x14ac:dyDescent="0.2">
      <c r="A91" s="8">
        <v>9</v>
      </c>
      <c r="B91" s="9" t="s">
        <v>202</v>
      </c>
      <c r="C91" s="2" t="s">
        <v>203</v>
      </c>
      <c r="D91" s="8" t="s">
        <v>76</v>
      </c>
      <c r="E91" s="186">
        <v>300965.58333333302</v>
      </c>
      <c r="F91" s="8" t="s">
        <v>119</v>
      </c>
      <c r="G91" s="778">
        <v>308901.5</v>
      </c>
      <c r="H91" s="70">
        <f t="shared" si="5"/>
        <v>7935.9166666669798</v>
      </c>
      <c r="I91" s="70">
        <f t="shared" si="6"/>
        <v>31743.666666667901</v>
      </c>
      <c r="J91" s="70"/>
    </row>
    <row r="92" spans="1:10" ht="21.6" customHeight="1" x14ac:dyDescent="0.2">
      <c r="A92" s="8">
        <v>10</v>
      </c>
      <c r="B92" s="9" t="s">
        <v>204</v>
      </c>
      <c r="C92" s="15" t="s">
        <v>205</v>
      </c>
      <c r="D92" s="13" t="s">
        <v>102</v>
      </c>
      <c r="E92" s="186">
        <v>230631.91666666701</v>
      </c>
      <c r="F92" s="13" t="s">
        <v>206</v>
      </c>
      <c r="G92" s="778">
        <v>236804.08333333299</v>
      </c>
      <c r="H92" s="70">
        <f t="shared" si="5"/>
        <v>6172.1666666659903</v>
      </c>
      <c r="I92" s="70">
        <f t="shared" si="6"/>
        <v>24688.666666664001</v>
      </c>
      <c r="J92" s="70"/>
    </row>
    <row r="93" spans="1:10" ht="20.100000000000001" customHeight="1" x14ac:dyDescent="0.5">
      <c r="A93" s="8"/>
      <c r="B93" s="18" t="s">
        <v>111</v>
      </c>
      <c r="C93" s="19">
        <v>10</v>
      </c>
      <c r="D93" s="19"/>
      <c r="E93" s="78">
        <f>SUM(E83:E92)</f>
        <v>4567080.8366666697</v>
      </c>
      <c r="F93" s="78">
        <f>SUM(F83:F92)</f>
        <v>0</v>
      </c>
      <c r="G93" s="78">
        <f>SUM(G83:G92)</f>
        <v>3284126.5</v>
      </c>
      <c r="H93" s="78">
        <f>SUM(H83:H92)</f>
        <v>100094.41666666701</v>
      </c>
      <c r="I93" s="78">
        <f>SUM(I83:I92)</f>
        <v>400377.66666666802</v>
      </c>
      <c r="J93" s="78"/>
    </row>
    <row r="94" spans="1:10" ht="20.100000000000001" customHeight="1" x14ac:dyDescent="0.2">
      <c r="A94" s="8"/>
      <c r="B94" s="20"/>
      <c r="C94" s="19"/>
      <c r="D94" s="19"/>
      <c r="E94" s="122"/>
      <c r="F94" s="19"/>
      <c r="G94" s="772"/>
      <c r="H94" s="70"/>
      <c r="I94" s="122"/>
      <c r="J94" s="122"/>
    </row>
    <row r="95" spans="1:10" ht="20.100000000000001" customHeight="1" x14ac:dyDescent="0.2">
      <c r="A95" s="8"/>
      <c r="B95" s="18" t="s">
        <v>207</v>
      </c>
      <c r="C95" s="19"/>
      <c r="D95" s="19"/>
      <c r="E95" s="122"/>
      <c r="F95" s="19"/>
      <c r="G95" s="772"/>
      <c r="H95" s="70"/>
      <c r="I95" s="122"/>
      <c r="J95" s="122"/>
    </row>
    <row r="96" spans="1:10" ht="20.100000000000001" customHeight="1" x14ac:dyDescent="0.2">
      <c r="A96" s="8">
        <v>1</v>
      </c>
      <c r="B96" s="12" t="s">
        <v>208</v>
      </c>
      <c r="C96" s="2" t="s">
        <v>209</v>
      </c>
      <c r="D96" s="14" t="s">
        <v>128</v>
      </c>
      <c r="E96" s="70">
        <f>'[4]Annual &amp; Monthly'!$H$44</f>
        <v>1352042.66666667</v>
      </c>
      <c r="F96" s="14" t="s">
        <v>210</v>
      </c>
      <c r="G96" s="769">
        <v>1393881.33333333</v>
      </c>
      <c r="H96" s="70">
        <f t="shared" si="5"/>
        <v>41838.666666659999</v>
      </c>
      <c r="I96" s="70">
        <f>H96*4</f>
        <v>167354.66666664</v>
      </c>
      <c r="J96" s="70"/>
    </row>
    <row r="97" spans="1:10" ht="20.100000000000001" customHeight="1" x14ac:dyDescent="0.2">
      <c r="A97" s="8">
        <v>2</v>
      </c>
      <c r="B97" s="9" t="s">
        <v>211</v>
      </c>
      <c r="C97" s="2" t="s">
        <v>212</v>
      </c>
      <c r="D97" s="13" t="s">
        <v>46</v>
      </c>
      <c r="E97" s="70">
        <v>456622.25</v>
      </c>
      <c r="F97" s="13" t="s">
        <v>176</v>
      </c>
      <c r="G97" s="769">
        <v>470498</v>
      </c>
      <c r="H97" s="70">
        <f t="shared" si="5"/>
        <v>13875.75</v>
      </c>
      <c r="I97" s="70">
        <f>H97*4</f>
        <v>55503</v>
      </c>
      <c r="J97" s="70"/>
    </row>
    <row r="98" spans="1:10" ht="20.100000000000001" customHeight="1" x14ac:dyDescent="0.2">
      <c r="A98" s="25">
        <v>6</v>
      </c>
      <c r="B98" s="9" t="s">
        <v>213</v>
      </c>
      <c r="C98" s="10" t="s">
        <v>214</v>
      </c>
      <c r="D98" s="13" t="s">
        <v>159</v>
      </c>
      <c r="E98" s="70">
        <v>390248.91666666698</v>
      </c>
      <c r="F98" s="13" t="s">
        <v>200</v>
      </c>
      <c r="G98" s="769">
        <v>403137.91666666698</v>
      </c>
      <c r="H98" s="70">
        <f t="shared" si="5"/>
        <v>12889</v>
      </c>
      <c r="I98" s="70">
        <f>H98*4</f>
        <v>51556</v>
      </c>
      <c r="J98" s="70"/>
    </row>
    <row r="99" spans="1:10" ht="20.100000000000001" customHeight="1" x14ac:dyDescent="0.2">
      <c r="A99" s="8">
        <v>3</v>
      </c>
      <c r="B99" s="9" t="s">
        <v>217</v>
      </c>
      <c r="C99" s="2" t="s">
        <v>218</v>
      </c>
      <c r="D99" s="13" t="s">
        <v>162</v>
      </c>
      <c r="E99" s="70">
        <v>377895.16666666698</v>
      </c>
      <c r="F99" s="13" t="s">
        <v>65</v>
      </c>
      <c r="G99" s="769">
        <v>390086.5</v>
      </c>
      <c r="H99" s="70">
        <f t="shared" si="5"/>
        <v>12191.333333332999</v>
      </c>
      <c r="I99" s="70">
        <f>H99*4</f>
        <v>48765.333333332099</v>
      </c>
      <c r="J99" s="70"/>
    </row>
    <row r="100" spans="1:10" ht="20.100000000000001" customHeight="1" x14ac:dyDescent="0.2">
      <c r="A100" s="8">
        <v>4</v>
      </c>
      <c r="B100" s="9" t="s">
        <v>219</v>
      </c>
      <c r="C100" s="2" t="s">
        <v>220</v>
      </c>
      <c r="D100" s="13" t="s">
        <v>76</v>
      </c>
      <c r="E100" s="186">
        <v>300965.58333333302</v>
      </c>
      <c r="F100" s="13" t="s">
        <v>119</v>
      </c>
      <c r="G100" s="778">
        <v>308901.5</v>
      </c>
      <c r="H100" s="70">
        <f t="shared" si="5"/>
        <v>7935.9166666669798</v>
      </c>
      <c r="I100" s="70">
        <f>H100*4</f>
        <v>31743.666666667901</v>
      </c>
      <c r="J100" s="70"/>
    </row>
    <row r="101" spans="1:10" ht="20.100000000000001" customHeight="1" x14ac:dyDescent="0.5">
      <c r="A101" s="2"/>
      <c r="B101" s="18" t="s">
        <v>111</v>
      </c>
      <c r="C101" s="19">
        <v>4</v>
      </c>
      <c r="D101" s="24"/>
      <c r="E101" s="78">
        <f>SUM(E96:E100)</f>
        <v>2877774.5833333302</v>
      </c>
      <c r="F101" s="78"/>
      <c r="G101" s="78">
        <f>SUM(G96:G100)</f>
        <v>2966505.25</v>
      </c>
      <c r="H101" s="70">
        <f t="shared" si="5"/>
        <v>88730.6666666698</v>
      </c>
      <c r="I101" s="78">
        <f>SUM(I96:I100)</f>
        <v>354922.66666664003</v>
      </c>
      <c r="J101" s="78"/>
    </row>
    <row r="102" spans="1:10" ht="20.100000000000001" customHeight="1" x14ac:dyDescent="0.2">
      <c r="A102" s="2"/>
      <c r="B102" s="20"/>
      <c r="C102" s="19"/>
      <c r="D102" s="24"/>
      <c r="E102" s="122"/>
      <c r="F102" s="24"/>
      <c r="G102" s="772"/>
      <c r="H102" s="70">
        <f t="shared" si="5"/>
        <v>0</v>
      </c>
      <c r="I102" s="122"/>
      <c r="J102" s="122"/>
    </row>
    <row r="103" spans="1:10" ht="20.100000000000001" customHeight="1" x14ac:dyDescent="0.2">
      <c r="A103" s="2"/>
      <c r="B103" s="18" t="s">
        <v>221</v>
      </c>
      <c r="C103" s="2"/>
      <c r="D103" s="2"/>
      <c r="E103" s="2"/>
      <c r="F103" s="2"/>
      <c r="G103" s="780"/>
      <c r="H103" s="70">
        <f t="shared" si="5"/>
        <v>0</v>
      </c>
      <c r="I103" s="2"/>
      <c r="J103" s="2"/>
    </row>
    <row r="104" spans="1:10" ht="20.100000000000001" customHeight="1" x14ac:dyDescent="0.2">
      <c r="A104" s="2">
        <v>1</v>
      </c>
      <c r="B104" s="9" t="s">
        <v>222</v>
      </c>
      <c r="C104" s="10" t="s">
        <v>223</v>
      </c>
      <c r="D104" s="13" t="s">
        <v>115</v>
      </c>
      <c r="E104" s="70">
        <v>1435720</v>
      </c>
      <c r="F104" s="70">
        <v>0</v>
      </c>
      <c r="G104" s="70">
        <v>0</v>
      </c>
      <c r="H104" s="70">
        <v>0</v>
      </c>
      <c r="I104" s="70"/>
      <c r="J104" s="70"/>
    </row>
    <row r="105" spans="1:10" ht="20.100000000000001" customHeight="1" x14ac:dyDescent="0.2">
      <c r="A105" s="2">
        <v>2</v>
      </c>
      <c r="B105" s="9" t="s">
        <v>224</v>
      </c>
      <c r="C105" s="2" t="s">
        <v>225</v>
      </c>
      <c r="D105" s="14" t="s">
        <v>154</v>
      </c>
      <c r="E105" s="70">
        <v>762373.16666666698</v>
      </c>
      <c r="F105" s="70">
        <v>0</v>
      </c>
      <c r="G105" s="70">
        <v>0</v>
      </c>
      <c r="H105" s="70">
        <v>0</v>
      </c>
      <c r="I105" s="70"/>
      <c r="J105" s="70"/>
    </row>
    <row r="106" spans="1:10" ht="20.100000000000001" customHeight="1" x14ac:dyDescent="0.2">
      <c r="A106" s="2">
        <v>3</v>
      </c>
      <c r="B106" s="9" t="s">
        <v>226</v>
      </c>
      <c r="C106" s="2" t="s">
        <v>227</v>
      </c>
      <c r="D106" s="8" t="s">
        <v>52</v>
      </c>
      <c r="E106" s="70">
        <v>441804.91666666698</v>
      </c>
      <c r="F106" s="70">
        <v>0</v>
      </c>
      <c r="G106" s="70">
        <v>0</v>
      </c>
      <c r="H106" s="70">
        <v>0</v>
      </c>
      <c r="I106" s="70"/>
      <c r="J106" s="70"/>
    </row>
    <row r="107" spans="1:10" ht="20.100000000000001" customHeight="1" x14ac:dyDescent="0.2">
      <c r="A107" s="2">
        <v>4</v>
      </c>
      <c r="B107" s="9" t="s">
        <v>228</v>
      </c>
      <c r="C107" s="2" t="s">
        <v>227</v>
      </c>
      <c r="D107" s="8" t="s">
        <v>52</v>
      </c>
      <c r="E107" s="70">
        <v>441804.91666666698</v>
      </c>
      <c r="F107" s="70">
        <v>0</v>
      </c>
      <c r="G107" s="70">
        <v>0</v>
      </c>
      <c r="H107" s="70">
        <v>0</v>
      </c>
      <c r="I107" s="70"/>
      <c r="J107" s="70"/>
    </row>
    <row r="108" spans="1:10" ht="20.100000000000001" customHeight="1" x14ac:dyDescent="0.2">
      <c r="A108" s="2">
        <v>5</v>
      </c>
      <c r="B108" s="9" t="s">
        <v>230</v>
      </c>
      <c r="C108" s="2" t="s">
        <v>231</v>
      </c>
      <c r="D108" s="13" t="s">
        <v>553</v>
      </c>
      <c r="E108" s="186">
        <v>249148.41666666701</v>
      </c>
      <c r="F108" s="13" t="s">
        <v>232</v>
      </c>
      <c r="G108" s="778">
        <v>255320.58333333299</v>
      </c>
      <c r="H108" s="70">
        <f>G108-E108</f>
        <v>6172.1666666659903</v>
      </c>
      <c r="I108" s="70">
        <f>H108*4</f>
        <v>24688.666666664001</v>
      </c>
      <c r="J108" s="70"/>
    </row>
    <row r="109" spans="1:10" ht="20.100000000000001" customHeight="1" x14ac:dyDescent="0.2">
      <c r="A109" s="2">
        <v>6</v>
      </c>
      <c r="B109" s="16" t="s">
        <v>233</v>
      </c>
      <c r="C109" s="2" t="s">
        <v>231</v>
      </c>
      <c r="D109" s="8" t="s">
        <v>554</v>
      </c>
      <c r="E109" s="186">
        <v>242976.25</v>
      </c>
      <c r="F109" s="781" t="s">
        <v>553</v>
      </c>
      <c r="G109" s="778">
        <v>249148.41666666701</v>
      </c>
      <c r="H109" s="70"/>
      <c r="I109" s="70">
        <f>H108*3.5</f>
        <v>21602.583333331</v>
      </c>
      <c r="J109" s="70"/>
    </row>
    <row r="110" spans="1:10" ht="20.100000000000001" customHeight="1" x14ac:dyDescent="0.2">
      <c r="A110" s="2">
        <v>7</v>
      </c>
      <c r="B110" s="16" t="s">
        <v>234</v>
      </c>
      <c r="C110" s="2" t="s">
        <v>231</v>
      </c>
      <c r="D110" s="13" t="s">
        <v>102</v>
      </c>
      <c r="E110" s="186">
        <v>230631.91666666701</v>
      </c>
      <c r="F110" s="13" t="s">
        <v>206</v>
      </c>
      <c r="G110" s="778">
        <v>236804.08333333299</v>
      </c>
      <c r="H110" s="70">
        <f>G110-E110</f>
        <v>6172.1666666659903</v>
      </c>
      <c r="I110" s="70">
        <f>H110*4</f>
        <v>24688.666666664001</v>
      </c>
      <c r="J110" s="70"/>
    </row>
    <row r="111" spans="1:10" ht="25.5" customHeight="1" x14ac:dyDescent="0.5">
      <c r="A111" s="2"/>
      <c r="B111" s="18" t="s">
        <v>111</v>
      </c>
      <c r="C111" s="19">
        <v>7</v>
      </c>
      <c r="D111" s="2"/>
      <c r="E111" s="189">
        <f>SUM(E104:E110)</f>
        <v>3804459.5833333302</v>
      </c>
      <c r="F111" s="189"/>
      <c r="G111" s="189">
        <f>SUM(G104:G110)</f>
        <v>741273.08333333302</v>
      </c>
      <c r="H111" s="189">
        <f>SUM(H104:H110)</f>
        <v>12344.333333332001</v>
      </c>
      <c r="I111" s="189">
        <f>SUM(I104:I110)</f>
        <v>70979.916666659003</v>
      </c>
      <c r="J111" s="189"/>
    </row>
    <row r="112" spans="1:10" ht="20.100000000000001" customHeight="1" x14ac:dyDescent="0.5">
      <c r="A112" s="2"/>
      <c r="B112" s="18"/>
      <c r="C112" s="19"/>
      <c r="D112" s="2"/>
      <c r="E112" s="189"/>
      <c r="F112" s="2"/>
      <c r="G112" s="782"/>
      <c r="H112" s="70"/>
      <c r="I112" s="189"/>
      <c r="J112" s="189"/>
    </row>
    <row r="113" spans="1:10" ht="20.100000000000001" customHeight="1" x14ac:dyDescent="0.2">
      <c r="A113" s="8"/>
      <c r="B113" s="18" t="s">
        <v>235</v>
      </c>
      <c r="C113" s="19"/>
      <c r="D113" s="19"/>
      <c r="E113" s="122"/>
      <c r="F113" s="19"/>
      <c r="G113" s="772"/>
      <c r="H113" s="70"/>
      <c r="I113" s="122"/>
      <c r="J113" s="122"/>
    </row>
    <row r="114" spans="1:10" ht="18.75" customHeight="1" x14ac:dyDescent="0.2">
      <c r="A114" s="8">
        <v>1</v>
      </c>
      <c r="B114" s="9" t="s">
        <v>236</v>
      </c>
      <c r="C114" s="2" t="s">
        <v>237</v>
      </c>
      <c r="D114" s="13" t="s">
        <v>162</v>
      </c>
      <c r="E114" s="70">
        <v>377895.16666666698</v>
      </c>
      <c r="F114" s="13" t="s">
        <v>65</v>
      </c>
      <c r="G114" s="769">
        <v>390086.5</v>
      </c>
      <c r="H114" s="70">
        <f>G114-E114</f>
        <v>12191.333333332999</v>
      </c>
      <c r="I114" s="70">
        <f>H114*4</f>
        <v>48765.333333332099</v>
      </c>
      <c r="J114" s="70"/>
    </row>
    <row r="115" spans="1:10" ht="20.100000000000001" customHeight="1" x14ac:dyDescent="0.2">
      <c r="A115" s="8">
        <v>2</v>
      </c>
      <c r="B115" s="9" t="s">
        <v>177</v>
      </c>
      <c r="C115" s="10" t="s">
        <v>178</v>
      </c>
      <c r="D115" s="13" t="s">
        <v>159</v>
      </c>
      <c r="E115" s="70">
        <v>390248.91666666698</v>
      </c>
      <c r="F115" s="70">
        <v>0</v>
      </c>
      <c r="G115" s="70">
        <v>0</v>
      </c>
      <c r="H115" s="70">
        <v>0</v>
      </c>
      <c r="I115" s="70"/>
      <c r="J115" s="70"/>
    </row>
    <row r="116" spans="1:10" ht="24.75" customHeight="1" x14ac:dyDescent="0.5">
      <c r="A116" s="2"/>
      <c r="B116" s="18" t="s">
        <v>111</v>
      </c>
      <c r="C116" s="19">
        <v>2</v>
      </c>
      <c r="D116" s="24"/>
      <c r="E116" s="78">
        <f>SUM(E114:E115)</f>
        <v>768144.08333333395</v>
      </c>
      <c r="F116" s="78"/>
      <c r="G116" s="78">
        <f>SUM(G114:G115)</f>
        <v>390086.5</v>
      </c>
      <c r="H116" s="78">
        <f>SUM(H114:H115)</f>
        <v>12191.333333332999</v>
      </c>
      <c r="I116" s="78">
        <f>SUM(I114:I115)</f>
        <v>48765.333333332099</v>
      </c>
      <c r="J116" s="78"/>
    </row>
    <row r="117" spans="1:10" ht="24.75" customHeight="1" x14ac:dyDescent="0.5">
      <c r="A117" s="2"/>
      <c r="B117" s="18"/>
      <c r="C117" s="19"/>
      <c r="D117" s="24"/>
      <c r="E117" s="78"/>
      <c r="F117" s="24"/>
      <c r="G117" s="773"/>
      <c r="H117" s="70"/>
      <c r="I117" s="78"/>
      <c r="J117" s="78"/>
    </row>
    <row r="118" spans="1:10" ht="24.75" customHeight="1" x14ac:dyDescent="0.2">
      <c r="A118" s="8"/>
      <c r="B118" s="18" t="s">
        <v>243</v>
      </c>
      <c r="C118" s="19"/>
      <c r="D118" s="19"/>
      <c r="E118" s="122"/>
      <c r="F118" s="19"/>
      <c r="G118" s="772"/>
      <c r="H118" s="70"/>
      <c r="I118" s="122"/>
      <c r="J118" s="122"/>
    </row>
    <row r="119" spans="1:10" ht="24.75" customHeight="1" x14ac:dyDescent="0.2">
      <c r="A119" s="8">
        <v>1</v>
      </c>
      <c r="B119" s="12" t="s">
        <v>634</v>
      </c>
      <c r="C119" s="2" t="s">
        <v>635</v>
      </c>
      <c r="D119" s="8" t="s">
        <v>108</v>
      </c>
      <c r="E119" s="70">
        <v>218287.58333333299</v>
      </c>
      <c r="F119" s="781"/>
      <c r="G119" s="769"/>
      <c r="H119" s="70"/>
      <c r="I119" s="70"/>
      <c r="J119" s="70"/>
    </row>
    <row r="120" spans="1:10" ht="24.75" customHeight="1" x14ac:dyDescent="0.2">
      <c r="A120" s="8">
        <v>2</v>
      </c>
      <c r="B120" s="9" t="s">
        <v>246</v>
      </c>
      <c r="C120" s="2" t="s">
        <v>247</v>
      </c>
      <c r="D120" s="8" t="s">
        <v>108</v>
      </c>
      <c r="E120" s="70">
        <v>218287.58333333299</v>
      </c>
      <c r="F120" s="781"/>
      <c r="G120" s="769"/>
      <c r="H120" s="70"/>
      <c r="I120" s="70"/>
      <c r="J120" s="70"/>
    </row>
    <row r="121" spans="1:10" ht="24.75" customHeight="1" x14ac:dyDescent="0.2">
      <c r="A121" s="8">
        <v>3</v>
      </c>
      <c r="B121" s="9" t="s">
        <v>248</v>
      </c>
      <c r="C121" s="2" t="s">
        <v>249</v>
      </c>
      <c r="D121" s="8" t="s">
        <v>108</v>
      </c>
      <c r="E121" s="70">
        <v>218287.58333333299</v>
      </c>
      <c r="F121" s="781"/>
      <c r="G121" s="769"/>
      <c r="H121" s="70"/>
      <c r="I121" s="70"/>
      <c r="J121" s="70"/>
    </row>
    <row r="122" spans="1:10" ht="20.100000000000001" customHeight="1" x14ac:dyDescent="0.5">
      <c r="A122" s="2"/>
      <c r="B122" s="18" t="s">
        <v>111</v>
      </c>
      <c r="C122" s="19">
        <v>3</v>
      </c>
      <c r="D122" s="24"/>
      <c r="E122" s="78">
        <f>SUM(E119:E121)</f>
        <v>654862.74999999895</v>
      </c>
      <c r="F122" s="78"/>
      <c r="G122" s="78">
        <f>SUM(G119:G121)</f>
        <v>0</v>
      </c>
      <c r="H122" s="78">
        <f>SUM(H119:H121)</f>
        <v>0</v>
      </c>
      <c r="I122" s="78">
        <f>SUM(I119:I121)</f>
        <v>0</v>
      </c>
      <c r="J122" s="78"/>
    </row>
    <row r="123" spans="1:10" ht="20.100000000000001" customHeight="1" x14ac:dyDescent="0.5">
      <c r="A123" s="2"/>
      <c r="B123" s="18"/>
      <c r="C123" s="19"/>
      <c r="D123" s="24"/>
      <c r="E123" s="78"/>
      <c r="F123" s="24"/>
      <c r="G123" s="773"/>
      <c r="H123" s="70">
        <f>G123-E123</f>
        <v>0</v>
      </c>
      <c r="I123" s="78"/>
      <c r="J123" s="78"/>
    </row>
    <row r="124" spans="1:10" ht="20.100000000000001" customHeight="1" x14ac:dyDescent="0.2">
      <c r="A124" s="2"/>
      <c r="B124" s="18" t="s">
        <v>250</v>
      </c>
      <c r="C124" s="19"/>
      <c r="D124" s="19"/>
      <c r="E124" s="122"/>
      <c r="F124" s="19"/>
      <c r="G124" s="772"/>
      <c r="H124" s="70">
        <f>G124-E124</f>
        <v>0</v>
      </c>
      <c r="I124" s="122"/>
      <c r="J124" s="122"/>
    </row>
    <row r="125" spans="1:10" ht="20.100000000000001" customHeight="1" x14ac:dyDescent="0.2">
      <c r="A125" s="2">
        <v>1</v>
      </c>
      <c r="B125" s="9" t="s">
        <v>251</v>
      </c>
      <c r="C125" s="10" t="s">
        <v>252</v>
      </c>
      <c r="D125" s="13" t="s">
        <v>115</v>
      </c>
      <c r="E125" s="70">
        <v>1435720</v>
      </c>
      <c r="F125" s="70">
        <v>0</v>
      </c>
      <c r="G125" s="70">
        <v>0</v>
      </c>
      <c r="H125" s="70">
        <v>0</v>
      </c>
      <c r="I125" s="70"/>
      <c r="J125" s="70"/>
    </row>
    <row r="126" spans="1:10" ht="20.100000000000001" customHeight="1" x14ac:dyDescent="0.2">
      <c r="A126" s="2">
        <v>2</v>
      </c>
      <c r="B126" s="9" t="s">
        <v>253</v>
      </c>
      <c r="C126" s="10" t="s">
        <v>254</v>
      </c>
      <c r="D126" s="13" t="s">
        <v>35</v>
      </c>
      <c r="E126" s="70">
        <v>739203.58333333302</v>
      </c>
      <c r="F126" s="13" t="s">
        <v>154</v>
      </c>
      <c r="G126" s="769">
        <v>762373.16666666698</v>
      </c>
      <c r="H126" s="70">
        <f>G126-E126</f>
        <v>23169.583333334002</v>
      </c>
      <c r="I126" s="70">
        <f>H126*4</f>
        <v>92678.333333335802</v>
      </c>
      <c r="J126" s="70"/>
    </row>
    <row r="127" spans="1:10" ht="20.100000000000001" customHeight="1" x14ac:dyDescent="0.2">
      <c r="A127" s="2">
        <v>3</v>
      </c>
      <c r="B127" s="12" t="s">
        <v>255</v>
      </c>
      <c r="C127" s="10" t="s">
        <v>256</v>
      </c>
      <c r="D127" s="13" t="s">
        <v>131</v>
      </c>
      <c r="E127" s="70">
        <v>620675.58333333302</v>
      </c>
      <c r="F127" s="70">
        <v>0</v>
      </c>
      <c r="G127" s="70">
        <v>0</v>
      </c>
      <c r="H127" s="70">
        <v>0</v>
      </c>
      <c r="I127" s="70">
        <f t="shared" ref="I127:I135" si="7">H127*4</f>
        <v>0</v>
      </c>
      <c r="J127" s="70"/>
    </row>
    <row r="128" spans="1:10" ht="20.100000000000001" customHeight="1" x14ac:dyDescent="0.2">
      <c r="A128" s="2">
        <v>4</v>
      </c>
      <c r="B128" s="9" t="s">
        <v>257</v>
      </c>
      <c r="C128" s="10" t="s">
        <v>258</v>
      </c>
      <c r="D128" s="13" t="s">
        <v>176</v>
      </c>
      <c r="E128" s="70">
        <v>470498</v>
      </c>
      <c r="F128" s="13" t="s">
        <v>41</v>
      </c>
      <c r="G128" s="769">
        <v>484373.75</v>
      </c>
      <c r="H128" s="70">
        <f>G128-E128</f>
        <v>13875.75</v>
      </c>
      <c r="I128" s="70">
        <f t="shared" si="7"/>
        <v>55503</v>
      </c>
      <c r="J128" s="70"/>
    </row>
    <row r="129" spans="1:10" ht="20.100000000000001" customHeight="1" x14ac:dyDescent="0.2">
      <c r="A129" s="2">
        <v>5</v>
      </c>
      <c r="B129" s="9" t="s">
        <v>259</v>
      </c>
      <c r="C129" s="10" t="s">
        <v>489</v>
      </c>
      <c r="D129" s="13" t="s">
        <v>197</v>
      </c>
      <c r="E129" s="70">
        <v>442746.5</v>
      </c>
      <c r="F129" s="13" t="s">
        <v>46</v>
      </c>
      <c r="G129" s="769">
        <v>456622.25</v>
      </c>
      <c r="H129" s="70">
        <f t="shared" ref="H127:H134" si="8">G129-E129</f>
        <v>13875.75</v>
      </c>
      <c r="I129" s="70">
        <f t="shared" si="7"/>
        <v>55503</v>
      </c>
      <c r="J129" s="70"/>
    </row>
    <row r="130" spans="1:10" ht="20.100000000000001" customHeight="1" x14ac:dyDescent="0.2">
      <c r="A130" s="2">
        <v>6</v>
      </c>
      <c r="B130" s="9" t="s">
        <v>260</v>
      </c>
      <c r="C130" s="10" t="s">
        <v>258</v>
      </c>
      <c r="D130" s="13" t="s">
        <v>46</v>
      </c>
      <c r="E130" s="70">
        <v>456622.25</v>
      </c>
      <c r="F130" s="13" t="s">
        <v>176</v>
      </c>
      <c r="G130" s="769">
        <v>470498</v>
      </c>
      <c r="H130" s="70">
        <f t="shared" si="8"/>
        <v>13875.75</v>
      </c>
      <c r="I130" s="70">
        <f t="shared" si="7"/>
        <v>55503</v>
      </c>
      <c r="J130" s="70"/>
    </row>
    <row r="131" spans="1:10" ht="20.100000000000001" customHeight="1" x14ac:dyDescent="0.2">
      <c r="A131" s="2">
        <v>7</v>
      </c>
      <c r="B131" s="9" t="s">
        <v>263</v>
      </c>
      <c r="C131" s="10" t="s">
        <v>264</v>
      </c>
      <c r="D131" s="8" t="s">
        <v>84</v>
      </c>
      <c r="E131" s="70">
        <v>270481.66666666698</v>
      </c>
      <c r="F131" s="8" t="s">
        <v>79</v>
      </c>
      <c r="G131" s="769">
        <v>277798</v>
      </c>
      <c r="H131" s="70">
        <f t="shared" si="8"/>
        <v>7316.3333333330202</v>
      </c>
      <c r="I131" s="70">
        <f t="shared" si="7"/>
        <v>29265.333333332099</v>
      </c>
      <c r="J131" s="70"/>
    </row>
    <row r="132" spans="1:10" ht="20.100000000000001" customHeight="1" x14ac:dyDescent="0.2">
      <c r="A132" s="2">
        <v>8</v>
      </c>
      <c r="B132" s="16" t="s">
        <v>265</v>
      </c>
      <c r="C132" s="10" t="s">
        <v>266</v>
      </c>
      <c r="D132" s="13" t="s">
        <v>105</v>
      </c>
      <c r="E132" s="70">
        <v>224459.75</v>
      </c>
      <c r="F132" s="13" t="s">
        <v>102</v>
      </c>
      <c r="G132" s="769">
        <v>230631.91666666701</v>
      </c>
      <c r="H132" s="70">
        <f t="shared" si="8"/>
        <v>6172.1666666670098</v>
      </c>
      <c r="I132" s="70">
        <f t="shared" si="7"/>
        <v>24688.666666667999</v>
      </c>
      <c r="J132" s="70"/>
    </row>
    <row r="133" spans="1:10" ht="20.100000000000001" customHeight="1" x14ac:dyDescent="0.2">
      <c r="A133" s="2">
        <v>9</v>
      </c>
      <c r="B133" s="16" t="s">
        <v>267</v>
      </c>
      <c r="C133" s="10" t="s">
        <v>262</v>
      </c>
      <c r="D133" s="13" t="s">
        <v>105</v>
      </c>
      <c r="E133" s="70">
        <v>224459.75</v>
      </c>
      <c r="F133" s="13" t="s">
        <v>102</v>
      </c>
      <c r="G133" s="769">
        <v>230631.91666666701</v>
      </c>
      <c r="H133" s="70">
        <f t="shared" si="8"/>
        <v>6172.1666666670098</v>
      </c>
      <c r="I133" s="70">
        <f t="shared" si="7"/>
        <v>24688.666666667999</v>
      </c>
      <c r="J133" s="70"/>
    </row>
    <row r="134" spans="1:10" ht="20.100000000000001" customHeight="1" x14ac:dyDescent="0.2">
      <c r="A134" s="2">
        <v>10</v>
      </c>
      <c r="B134" s="16" t="s">
        <v>268</v>
      </c>
      <c r="C134" s="10" t="s">
        <v>266</v>
      </c>
      <c r="D134" s="13" t="s">
        <v>108</v>
      </c>
      <c r="E134" s="70">
        <v>218287.58333333299</v>
      </c>
      <c r="F134" s="13" t="s">
        <v>105</v>
      </c>
      <c r="G134" s="769">
        <v>224459.75</v>
      </c>
      <c r="H134" s="70">
        <f t="shared" si="8"/>
        <v>6172.1666666670098</v>
      </c>
      <c r="I134" s="70">
        <f t="shared" si="7"/>
        <v>24688.666666667999</v>
      </c>
      <c r="J134" s="70"/>
    </row>
    <row r="135" spans="1:10" ht="28.5" customHeight="1" x14ac:dyDescent="0.2">
      <c r="A135" s="2"/>
      <c r="B135" s="18" t="s">
        <v>111</v>
      </c>
      <c r="C135" s="24" t="s">
        <v>490</v>
      </c>
      <c r="D135" s="13"/>
      <c r="E135" s="122">
        <f>SUM(E125:E134)</f>
        <v>5103154.6666666698</v>
      </c>
      <c r="F135" s="122"/>
      <c r="G135" s="122">
        <f>SUM(G125:G134)</f>
        <v>3137388.75</v>
      </c>
      <c r="H135" s="122">
        <f>SUM(H125:H134)</f>
        <v>90629.666666667996</v>
      </c>
      <c r="I135" s="70">
        <f t="shared" si="7"/>
        <v>362518.66666667198</v>
      </c>
      <c r="J135" s="122"/>
    </row>
    <row r="136" spans="1:10" ht="20.100000000000001" customHeight="1" x14ac:dyDescent="0.2">
      <c r="A136" s="2"/>
      <c r="B136" s="20"/>
      <c r="C136" s="24"/>
      <c r="D136" s="13"/>
      <c r="E136" s="122"/>
      <c r="F136" s="13"/>
      <c r="G136" s="772"/>
      <c r="H136" s="122"/>
      <c r="I136" s="122"/>
      <c r="J136" s="122"/>
    </row>
    <row r="137" spans="1:10" ht="20.100000000000001" customHeight="1" x14ac:dyDescent="0.2">
      <c r="A137" s="2"/>
      <c r="B137" s="18" t="s">
        <v>270</v>
      </c>
      <c r="C137" s="10"/>
      <c r="D137" s="13"/>
      <c r="E137" s="70"/>
      <c r="F137" s="13"/>
      <c r="G137" s="769"/>
      <c r="H137" s="70"/>
      <c r="I137" s="70"/>
      <c r="J137" s="70"/>
    </row>
    <row r="138" spans="1:10" ht="20.100000000000001" customHeight="1" x14ac:dyDescent="0.2">
      <c r="A138" s="25">
        <v>2</v>
      </c>
      <c r="B138" s="12" t="s">
        <v>271</v>
      </c>
      <c r="C138" s="2" t="s">
        <v>272</v>
      </c>
      <c r="D138" s="8" t="s">
        <v>273</v>
      </c>
      <c r="E138" s="70">
        <v>1200519.22</v>
      </c>
      <c r="F138" s="70">
        <v>0</v>
      </c>
      <c r="G138" s="70">
        <v>0</v>
      </c>
      <c r="H138" s="70">
        <v>0</v>
      </c>
      <c r="I138" s="70"/>
      <c r="J138" s="70"/>
    </row>
    <row r="139" spans="1:10" ht="20.100000000000001" customHeight="1" x14ac:dyDescent="0.2">
      <c r="A139" s="25">
        <v>3</v>
      </c>
      <c r="B139" s="12" t="s">
        <v>274</v>
      </c>
      <c r="C139" s="2" t="s">
        <v>275</v>
      </c>
      <c r="D139" s="14" t="s">
        <v>154</v>
      </c>
      <c r="E139" s="70">
        <v>762373.16666666698</v>
      </c>
      <c r="F139" s="70">
        <v>0</v>
      </c>
      <c r="G139" s="70">
        <v>0</v>
      </c>
      <c r="H139" s="70">
        <v>0</v>
      </c>
      <c r="I139" s="70"/>
      <c r="J139" s="70"/>
    </row>
    <row r="140" spans="1:10" ht="20.100000000000001" customHeight="1" x14ac:dyDescent="0.2">
      <c r="A140" s="25">
        <v>4</v>
      </c>
      <c r="B140" s="9" t="s">
        <v>276</v>
      </c>
      <c r="C140" s="10" t="s">
        <v>277</v>
      </c>
      <c r="D140" s="13" t="s">
        <v>49</v>
      </c>
      <c r="E140" s="70">
        <v>582118.08333333302</v>
      </c>
      <c r="F140" s="70">
        <v>0</v>
      </c>
      <c r="G140" s="70">
        <v>0</v>
      </c>
      <c r="H140" s="70">
        <v>0</v>
      </c>
      <c r="I140" s="70"/>
      <c r="J140" s="70"/>
    </row>
    <row r="141" spans="1:10" ht="20.100000000000001" customHeight="1" x14ac:dyDescent="0.2">
      <c r="A141" s="25">
        <v>5</v>
      </c>
      <c r="B141" s="9" t="s">
        <v>278</v>
      </c>
      <c r="C141" s="2" t="s">
        <v>279</v>
      </c>
      <c r="D141" s="13" t="s">
        <v>49</v>
      </c>
      <c r="E141" s="70">
        <v>582119.08333333302</v>
      </c>
      <c r="F141" s="70">
        <v>0</v>
      </c>
      <c r="G141" s="70">
        <v>0</v>
      </c>
      <c r="H141" s="70">
        <v>0</v>
      </c>
      <c r="I141" s="70"/>
      <c r="J141" s="70"/>
    </row>
    <row r="142" spans="1:10" ht="20.100000000000001" customHeight="1" x14ac:dyDescent="0.2">
      <c r="A142" s="25">
        <v>6</v>
      </c>
      <c r="B142" s="9" t="s">
        <v>280</v>
      </c>
      <c r="C142" s="2" t="s">
        <v>279</v>
      </c>
      <c r="D142" s="13" t="s">
        <v>49</v>
      </c>
      <c r="E142" s="70">
        <v>582120.08333333302</v>
      </c>
      <c r="F142" s="70">
        <v>0</v>
      </c>
      <c r="G142" s="70">
        <v>0</v>
      </c>
      <c r="H142" s="70">
        <v>0</v>
      </c>
      <c r="I142" s="70"/>
      <c r="J142" s="70"/>
    </row>
    <row r="143" spans="1:10" ht="20.100000000000001" customHeight="1" x14ac:dyDescent="0.2">
      <c r="A143" s="25">
        <v>7</v>
      </c>
      <c r="B143" s="9" t="s">
        <v>281</v>
      </c>
      <c r="C143" s="10" t="s">
        <v>214</v>
      </c>
      <c r="D143" s="13" t="s">
        <v>159</v>
      </c>
      <c r="E143" s="70">
        <v>390248.91666666698</v>
      </c>
      <c r="F143" s="70">
        <v>0</v>
      </c>
      <c r="G143" s="70">
        <v>0</v>
      </c>
      <c r="H143" s="70">
        <v>0</v>
      </c>
      <c r="I143" s="70"/>
      <c r="J143" s="70"/>
    </row>
    <row r="144" spans="1:10" ht="20.100000000000001" customHeight="1" x14ac:dyDescent="0.2">
      <c r="A144" s="25">
        <v>8</v>
      </c>
      <c r="B144" s="9" t="s">
        <v>282</v>
      </c>
      <c r="C144" s="2" t="s">
        <v>491</v>
      </c>
      <c r="D144" s="13" t="s">
        <v>159</v>
      </c>
      <c r="E144" s="70">
        <v>390248.91666666698</v>
      </c>
      <c r="F144" s="70">
        <v>0</v>
      </c>
      <c r="G144" s="70">
        <v>0</v>
      </c>
      <c r="H144" s="70">
        <v>0</v>
      </c>
      <c r="I144" s="70"/>
      <c r="J144" s="70"/>
    </row>
    <row r="145" spans="1:10" ht="20.100000000000001" customHeight="1" x14ac:dyDescent="0.2">
      <c r="A145" s="25">
        <v>9</v>
      </c>
      <c r="B145" s="9" t="s">
        <v>284</v>
      </c>
      <c r="C145" s="10" t="s">
        <v>285</v>
      </c>
      <c r="D145" s="13" t="s">
        <v>162</v>
      </c>
      <c r="E145" s="70">
        <v>377895.16666666698</v>
      </c>
      <c r="F145" s="13" t="s">
        <v>65</v>
      </c>
      <c r="G145" s="769">
        <v>390086.5</v>
      </c>
      <c r="H145" s="70">
        <f>G145-E145</f>
        <v>12191.333333332999</v>
      </c>
      <c r="I145" s="70">
        <f>H145*4</f>
        <v>48765.333333332099</v>
      </c>
      <c r="J145" s="70"/>
    </row>
    <row r="146" spans="1:10" ht="20.100000000000001" customHeight="1" x14ac:dyDescent="0.2">
      <c r="A146" s="25">
        <v>10</v>
      </c>
      <c r="B146" s="9" t="s">
        <v>286</v>
      </c>
      <c r="C146" s="10" t="s">
        <v>287</v>
      </c>
      <c r="D146" s="13" t="s">
        <v>68</v>
      </c>
      <c r="E146" s="70">
        <v>365703.83333333302</v>
      </c>
      <c r="F146" s="13" t="s">
        <v>162</v>
      </c>
      <c r="G146" s="769">
        <v>377895.16666666698</v>
      </c>
      <c r="H146" s="70">
        <f t="shared" ref="H146:H177" si="9">G146-E146</f>
        <v>12191.333333334</v>
      </c>
      <c r="I146" s="70">
        <f t="shared" ref="I146:I177" si="10">H146*4</f>
        <v>48765.333333335802</v>
      </c>
      <c r="J146" s="70"/>
    </row>
    <row r="147" spans="1:10" ht="20.100000000000001" customHeight="1" x14ac:dyDescent="0.2">
      <c r="A147" s="25">
        <v>12</v>
      </c>
      <c r="B147" s="16" t="s">
        <v>288</v>
      </c>
      <c r="C147" s="2" t="s">
        <v>289</v>
      </c>
      <c r="D147" s="13" t="s">
        <v>137</v>
      </c>
      <c r="E147" s="186">
        <v>353512.5</v>
      </c>
      <c r="F147" s="13" t="s">
        <v>68</v>
      </c>
      <c r="G147" s="778">
        <v>365703.83333333302</v>
      </c>
      <c r="H147" s="70">
        <f t="shared" si="9"/>
        <v>12191.333333332999</v>
      </c>
      <c r="I147" s="70">
        <f t="shared" si="10"/>
        <v>48765.333333332099</v>
      </c>
      <c r="J147" s="70"/>
    </row>
    <row r="148" spans="1:10" ht="20.100000000000001" customHeight="1" x14ac:dyDescent="0.2">
      <c r="A148" s="25">
        <v>13</v>
      </c>
      <c r="B148" s="9" t="s">
        <v>290</v>
      </c>
      <c r="C148" s="2" t="s">
        <v>289</v>
      </c>
      <c r="D148" s="13" t="s">
        <v>137</v>
      </c>
      <c r="E148" s="186">
        <v>353512.5</v>
      </c>
      <c r="F148" s="70">
        <v>0</v>
      </c>
      <c r="G148" s="70">
        <v>0</v>
      </c>
      <c r="H148" s="70">
        <v>0</v>
      </c>
      <c r="I148" s="70">
        <f t="shared" si="10"/>
        <v>0</v>
      </c>
      <c r="J148" s="70"/>
    </row>
    <row r="149" spans="1:10" ht="20.100000000000001" customHeight="1" x14ac:dyDescent="0.2">
      <c r="A149" s="25">
        <v>14</v>
      </c>
      <c r="B149" s="9" t="s">
        <v>291</v>
      </c>
      <c r="C149" s="2" t="s">
        <v>289</v>
      </c>
      <c r="D149" s="13" t="s">
        <v>137</v>
      </c>
      <c r="E149" s="186">
        <v>353512.5</v>
      </c>
      <c r="F149" s="70">
        <v>0</v>
      </c>
      <c r="G149" s="70">
        <v>0</v>
      </c>
      <c r="H149" s="70">
        <v>0</v>
      </c>
      <c r="I149" s="70">
        <f t="shared" si="10"/>
        <v>0</v>
      </c>
      <c r="J149" s="70"/>
    </row>
    <row r="150" spans="1:10" ht="20.100000000000001" customHeight="1" x14ac:dyDescent="0.2">
      <c r="A150" s="25">
        <v>15</v>
      </c>
      <c r="B150" s="9" t="s">
        <v>293</v>
      </c>
      <c r="C150" s="2" t="s">
        <v>289</v>
      </c>
      <c r="D150" s="13" t="s">
        <v>137</v>
      </c>
      <c r="E150" s="186">
        <v>353512.5</v>
      </c>
      <c r="F150" s="13" t="s">
        <v>68</v>
      </c>
      <c r="G150" s="778">
        <v>365703.83333333302</v>
      </c>
      <c r="H150" s="70">
        <f t="shared" si="9"/>
        <v>12191.333333332999</v>
      </c>
      <c r="I150" s="70">
        <f t="shared" si="10"/>
        <v>48765.333333332099</v>
      </c>
      <c r="J150" s="70"/>
    </row>
    <row r="151" spans="1:10" ht="20.100000000000001" customHeight="1" x14ac:dyDescent="0.2">
      <c r="A151" s="25">
        <v>16</v>
      </c>
      <c r="B151" s="9" t="s">
        <v>294</v>
      </c>
      <c r="C151" s="10" t="s">
        <v>295</v>
      </c>
      <c r="D151" s="13" t="s">
        <v>76</v>
      </c>
      <c r="E151" s="186">
        <v>300965.58333333302</v>
      </c>
      <c r="F151" s="13" t="s">
        <v>119</v>
      </c>
      <c r="G151" s="778">
        <v>308901.5</v>
      </c>
      <c r="H151" s="70">
        <f t="shared" si="9"/>
        <v>7935.9166666669798</v>
      </c>
      <c r="I151" s="70">
        <f t="shared" si="10"/>
        <v>31743.666666667901</v>
      </c>
      <c r="J151" s="70"/>
    </row>
    <row r="152" spans="1:10" ht="20.100000000000001" customHeight="1" x14ac:dyDescent="0.2">
      <c r="A152" s="25">
        <v>17</v>
      </c>
      <c r="B152" s="9" t="s">
        <v>296</v>
      </c>
      <c r="C152" s="10" t="s">
        <v>297</v>
      </c>
      <c r="D152" s="8" t="s">
        <v>87</v>
      </c>
      <c r="E152" s="70">
        <v>263165.33333333302</v>
      </c>
      <c r="F152" s="8" t="s">
        <v>84</v>
      </c>
      <c r="G152" s="769">
        <v>270481.66666666698</v>
      </c>
      <c r="H152" s="70">
        <f t="shared" si="9"/>
        <v>7316.3333333339497</v>
      </c>
      <c r="I152" s="70">
        <f t="shared" si="10"/>
        <v>29265.333333335799</v>
      </c>
      <c r="J152" s="70"/>
    </row>
    <row r="153" spans="1:10" ht="20.100000000000001" customHeight="1" x14ac:dyDescent="0.2">
      <c r="A153" s="25">
        <v>18</v>
      </c>
      <c r="B153" s="9" t="s">
        <v>298</v>
      </c>
      <c r="C153" s="10" t="s">
        <v>299</v>
      </c>
      <c r="D153" s="13" t="s">
        <v>119</v>
      </c>
      <c r="E153" s="186">
        <v>308901.5</v>
      </c>
      <c r="F153" s="13" t="s">
        <v>300</v>
      </c>
      <c r="G153" s="778">
        <v>316837.41666666698</v>
      </c>
      <c r="H153" s="70">
        <f t="shared" si="9"/>
        <v>7935.9166666669798</v>
      </c>
      <c r="I153" s="70">
        <f t="shared" si="10"/>
        <v>31743.666666667901</v>
      </c>
      <c r="J153" s="70"/>
    </row>
    <row r="154" spans="1:10" ht="20.100000000000001" customHeight="1" x14ac:dyDescent="0.2">
      <c r="A154" s="25">
        <v>19</v>
      </c>
      <c r="B154" s="9" t="s">
        <v>301</v>
      </c>
      <c r="C154" s="10" t="s">
        <v>302</v>
      </c>
      <c r="D154" s="13" t="s">
        <v>84</v>
      </c>
      <c r="E154" s="186">
        <v>270481.66666666698</v>
      </c>
      <c r="F154" s="13" t="s">
        <v>79</v>
      </c>
      <c r="G154" s="778">
        <v>277798</v>
      </c>
      <c r="H154" s="70">
        <f t="shared" si="9"/>
        <v>7316.3333333330202</v>
      </c>
      <c r="I154" s="70">
        <f t="shared" si="10"/>
        <v>29265.333333332099</v>
      </c>
      <c r="J154" s="70"/>
    </row>
    <row r="155" spans="1:10" ht="20.100000000000001" customHeight="1" x14ac:dyDescent="0.2">
      <c r="A155" s="25">
        <v>20</v>
      </c>
      <c r="B155" s="9" t="s">
        <v>303</v>
      </c>
      <c r="C155" s="10" t="s">
        <v>304</v>
      </c>
      <c r="D155" s="13" t="s">
        <v>119</v>
      </c>
      <c r="E155" s="186">
        <v>308901.5</v>
      </c>
      <c r="F155" s="13" t="s">
        <v>300</v>
      </c>
      <c r="G155" s="778">
        <v>316837.41666666698</v>
      </c>
      <c r="H155" s="70">
        <f t="shared" si="9"/>
        <v>7935.9166666669798</v>
      </c>
      <c r="I155" s="70">
        <f t="shared" si="10"/>
        <v>31743.666666667901</v>
      </c>
      <c r="J155" s="70"/>
    </row>
    <row r="156" spans="1:10" ht="20.100000000000001" customHeight="1" x14ac:dyDescent="0.2">
      <c r="A156" s="25">
        <v>21</v>
      </c>
      <c r="B156" s="9" t="s">
        <v>305</v>
      </c>
      <c r="C156" s="10" t="s">
        <v>306</v>
      </c>
      <c r="D156" s="13" t="s">
        <v>84</v>
      </c>
      <c r="E156" s="186">
        <v>270481.66666666698</v>
      </c>
      <c r="F156" s="13" t="s">
        <v>79</v>
      </c>
      <c r="G156" s="778">
        <v>277798</v>
      </c>
      <c r="H156" s="70">
        <f t="shared" si="9"/>
        <v>7316.3333333330202</v>
      </c>
      <c r="I156" s="70">
        <f t="shared" si="10"/>
        <v>29265.333333332099</v>
      </c>
      <c r="J156" s="70"/>
    </row>
    <row r="157" spans="1:10" ht="20.100000000000001" customHeight="1" x14ac:dyDescent="0.2">
      <c r="A157" s="25">
        <v>22</v>
      </c>
      <c r="B157" s="16" t="s">
        <v>307</v>
      </c>
      <c r="C157" s="10" t="s">
        <v>308</v>
      </c>
      <c r="D157" s="13" t="s">
        <v>96</v>
      </c>
      <c r="E157" s="186">
        <v>255849</v>
      </c>
      <c r="F157" s="13" t="s">
        <v>87</v>
      </c>
      <c r="G157" s="778">
        <v>263165.33333333302</v>
      </c>
      <c r="H157" s="70">
        <f t="shared" si="9"/>
        <v>7316.3333333330202</v>
      </c>
      <c r="I157" s="70">
        <f t="shared" si="10"/>
        <v>29265.333333332099</v>
      </c>
      <c r="J157" s="70"/>
    </row>
    <row r="158" spans="1:10" ht="20.100000000000001" customHeight="1" x14ac:dyDescent="0.2">
      <c r="A158" s="25">
        <v>23</v>
      </c>
      <c r="B158" s="16" t="s">
        <v>309</v>
      </c>
      <c r="C158" s="10" t="s">
        <v>308</v>
      </c>
      <c r="D158" s="13" t="s">
        <v>96</v>
      </c>
      <c r="E158" s="186">
        <v>255849</v>
      </c>
      <c r="F158" s="13" t="s">
        <v>87</v>
      </c>
      <c r="G158" s="778">
        <v>263165.33333333302</v>
      </c>
      <c r="H158" s="70">
        <f t="shared" si="9"/>
        <v>7316.3333333330202</v>
      </c>
      <c r="I158" s="70">
        <f t="shared" si="10"/>
        <v>29265.333333332099</v>
      </c>
      <c r="J158" s="70"/>
    </row>
    <row r="159" spans="1:10" ht="20.100000000000001" customHeight="1" x14ac:dyDescent="0.2">
      <c r="A159" s="25">
        <v>24</v>
      </c>
      <c r="B159" s="16" t="s">
        <v>312</v>
      </c>
      <c r="C159" s="10" t="s">
        <v>313</v>
      </c>
      <c r="D159" s="13" t="s">
        <v>105</v>
      </c>
      <c r="E159" s="70">
        <v>224459.75</v>
      </c>
      <c r="F159" s="13" t="s">
        <v>102</v>
      </c>
      <c r="G159" s="769">
        <v>230631.91666666701</v>
      </c>
      <c r="H159" s="70">
        <f t="shared" si="9"/>
        <v>6172.1666666670098</v>
      </c>
      <c r="I159" s="70">
        <f t="shared" si="10"/>
        <v>24688.666666667999</v>
      </c>
      <c r="J159" s="70"/>
    </row>
    <row r="160" spans="1:10" ht="20.100000000000001" customHeight="1" x14ac:dyDescent="0.2">
      <c r="A160" s="25">
        <v>25</v>
      </c>
      <c r="B160" s="16" t="s">
        <v>314</v>
      </c>
      <c r="C160" s="10" t="s">
        <v>315</v>
      </c>
      <c r="D160" s="13" t="s">
        <v>105</v>
      </c>
      <c r="E160" s="70">
        <v>224459.75</v>
      </c>
      <c r="F160" s="13" t="s">
        <v>102</v>
      </c>
      <c r="G160" s="769">
        <v>230631.91666666701</v>
      </c>
      <c r="H160" s="70">
        <f t="shared" si="9"/>
        <v>6172.1666666670098</v>
      </c>
      <c r="I160" s="70">
        <f t="shared" si="10"/>
        <v>24688.666666667999</v>
      </c>
      <c r="J160" s="70"/>
    </row>
    <row r="161" spans="1:10" ht="20.100000000000001" customHeight="1" x14ac:dyDescent="0.2">
      <c r="A161" s="25">
        <v>26</v>
      </c>
      <c r="B161" s="16" t="s">
        <v>316</v>
      </c>
      <c r="C161" s="10" t="s">
        <v>317</v>
      </c>
      <c r="D161" s="13" t="s">
        <v>105</v>
      </c>
      <c r="E161" s="70">
        <v>224459.75</v>
      </c>
      <c r="F161" s="13" t="s">
        <v>102</v>
      </c>
      <c r="G161" s="769">
        <v>230631.91666666701</v>
      </c>
      <c r="H161" s="70">
        <f t="shared" si="9"/>
        <v>6172.1666666670098</v>
      </c>
      <c r="I161" s="70">
        <f t="shared" si="10"/>
        <v>24688.666666667999</v>
      </c>
      <c r="J161" s="70"/>
    </row>
    <row r="162" spans="1:10" ht="20.100000000000001" customHeight="1" x14ac:dyDescent="0.2">
      <c r="A162" s="25">
        <v>27</v>
      </c>
      <c r="B162" s="16" t="s">
        <v>318</v>
      </c>
      <c r="C162" s="10" t="s">
        <v>319</v>
      </c>
      <c r="D162" s="13" t="s">
        <v>102</v>
      </c>
      <c r="E162" s="70">
        <v>230631.91666666701</v>
      </c>
      <c r="F162" s="13" t="s">
        <v>206</v>
      </c>
      <c r="G162" s="769">
        <v>236804.08333333299</v>
      </c>
      <c r="H162" s="70">
        <f t="shared" si="9"/>
        <v>6172.1666666659903</v>
      </c>
      <c r="I162" s="70">
        <f t="shared" si="10"/>
        <v>24688.666666664001</v>
      </c>
      <c r="J162" s="70"/>
    </row>
    <row r="163" spans="1:10" ht="20.100000000000001" customHeight="1" x14ac:dyDescent="0.2">
      <c r="A163" s="25">
        <v>28</v>
      </c>
      <c r="B163" s="16" t="s">
        <v>320</v>
      </c>
      <c r="C163" s="10" t="s">
        <v>315</v>
      </c>
      <c r="D163" s="13" t="s">
        <v>105</v>
      </c>
      <c r="E163" s="70">
        <v>224459.75</v>
      </c>
      <c r="F163" s="13" t="s">
        <v>102</v>
      </c>
      <c r="G163" s="769">
        <v>230631.91666666701</v>
      </c>
      <c r="H163" s="70">
        <f t="shared" si="9"/>
        <v>6172.1666666670098</v>
      </c>
      <c r="I163" s="70">
        <f t="shared" si="10"/>
        <v>24688.666666667999</v>
      </c>
      <c r="J163" s="70"/>
    </row>
    <row r="164" spans="1:10" ht="20.100000000000001" customHeight="1" x14ac:dyDescent="0.2">
      <c r="A164" s="25">
        <v>29</v>
      </c>
      <c r="B164" s="16" t="s">
        <v>321</v>
      </c>
      <c r="C164" s="10" t="s">
        <v>322</v>
      </c>
      <c r="D164" s="13" t="s">
        <v>108</v>
      </c>
      <c r="E164" s="630">
        <f>218287.583333333</f>
        <v>218287.58333333299</v>
      </c>
      <c r="F164" s="13" t="s">
        <v>105</v>
      </c>
      <c r="G164" s="770">
        <v>224459.75</v>
      </c>
      <c r="H164" s="70">
        <f t="shared" si="9"/>
        <v>6172.1666666670098</v>
      </c>
      <c r="I164" s="70">
        <f t="shared" si="10"/>
        <v>24688.666666667999</v>
      </c>
      <c r="J164" s="70"/>
    </row>
    <row r="165" spans="1:10" ht="20.100000000000001" customHeight="1" x14ac:dyDescent="0.2">
      <c r="A165" s="25">
        <v>30</v>
      </c>
      <c r="B165" s="16" t="s">
        <v>323</v>
      </c>
      <c r="C165" s="10" t="s">
        <v>322</v>
      </c>
      <c r="D165" s="13" t="s">
        <v>108</v>
      </c>
      <c r="E165" s="630">
        <f>218287.583333333</f>
        <v>218287.58333333299</v>
      </c>
      <c r="F165" s="13" t="s">
        <v>105</v>
      </c>
      <c r="G165" s="770">
        <v>224459.75</v>
      </c>
      <c r="H165" s="70">
        <f t="shared" si="9"/>
        <v>6172.1666666670098</v>
      </c>
      <c r="I165" s="70">
        <f t="shared" si="10"/>
        <v>24688.666666667999</v>
      </c>
      <c r="J165" s="70"/>
    </row>
    <row r="166" spans="1:10" ht="20.100000000000001" customHeight="1" x14ac:dyDescent="0.2">
      <c r="A166" s="25">
        <v>31</v>
      </c>
      <c r="B166" s="9" t="s">
        <v>329</v>
      </c>
      <c r="C166" s="10" t="s">
        <v>330</v>
      </c>
      <c r="D166" s="13" t="s">
        <v>337</v>
      </c>
      <c r="E166" s="192">
        <v>168598.16666666701</v>
      </c>
      <c r="F166" s="13" t="s">
        <v>331</v>
      </c>
      <c r="G166" s="783">
        <v>173859.5</v>
      </c>
      <c r="H166" s="70">
        <f t="shared" si="9"/>
        <v>5261.3333333329902</v>
      </c>
      <c r="I166" s="70">
        <f t="shared" si="10"/>
        <v>21045.333333332001</v>
      </c>
      <c r="J166" s="186"/>
    </row>
    <row r="167" spans="1:10" ht="20.100000000000001" customHeight="1" x14ac:dyDescent="0.2">
      <c r="A167" s="25">
        <v>32</v>
      </c>
      <c r="B167" s="9" t="s">
        <v>332</v>
      </c>
      <c r="C167" s="10" t="s">
        <v>330</v>
      </c>
      <c r="D167" s="13" t="s">
        <v>337</v>
      </c>
      <c r="E167" s="192">
        <v>168598.16666666701</v>
      </c>
      <c r="F167" s="13" t="s">
        <v>331</v>
      </c>
      <c r="G167" s="783">
        <v>173859.5</v>
      </c>
      <c r="H167" s="70">
        <f t="shared" si="9"/>
        <v>5261.3333333329902</v>
      </c>
      <c r="I167" s="70">
        <f t="shared" si="10"/>
        <v>21045.333333332001</v>
      </c>
      <c r="J167" s="186"/>
    </row>
    <row r="168" spans="1:10" ht="20.100000000000001" customHeight="1" x14ac:dyDescent="0.2">
      <c r="A168" s="25">
        <v>33</v>
      </c>
      <c r="B168" s="9" t="s">
        <v>333</v>
      </c>
      <c r="C168" s="10" t="s">
        <v>330</v>
      </c>
      <c r="D168" s="13" t="s">
        <v>337</v>
      </c>
      <c r="E168" s="192">
        <v>168598.16666666701</v>
      </c>
      <c r="F168" s="13" t="s">
        <v>331</v>
      </c>
      <c r="G168" s="783">
        <v>173859.5</v>
      </c>
      <c r="H168" s="70">
        <f t="shared" si="9"/>
        <v>5261.3333333329902</v>
      </c>
      <c r="I168" s="70">
        <f t="shared" si="10"/>
        <v>21045.333333332001</v>
      </c>
      <c r="J168" s="186"/>
    </row>
    <row r="169" spans="1:10" ht="20.100000000000001" customHeight="1" x14ac:dyDescent="0.2">
      <c r="A169" s="25">
        <v>34</v>
      </c>
      <c r="B169" s="9" t="s">
        <v>334</v>
      </c>
      <c r="C169" s="10" t="s">
        <v>330</v>
      </c>
      <c r="D169" s="13" t="s">
        <v>337</v>
      </c>
      <c r="E169" s="192">
        <v>168598.16666666701</v>
      </c>
      <c r="F169" s="13" t="s">
        <v>331</v>
      </c>
      <c r="G169" s="783">
        <v>173859.5</v>
      </c>
      <c r="H169" s="70">
        <f t="shared" si="9"/>
        <v>5261.3333333329902</v>
      </c>
      <c r="I169" s="70">
        <f t="shared" si="10"/>
        <v>21045.333333332001</v>
      </c>
      <c r="J169" s="186"/>
    </row>
    <row r="170" spans="1:10" ht="20.100000000000001" customHeight="1" x14ac:dyDescent="0.2">
      <c r="A170" s="25">
        <v>35</v>
      </c>
      <c r="B170" s="9" t="s">
        <v>335</v>
      </c>
      <c r="C170" s="10" t="s">
        <v>330</v>
      </c>
      <c r="D170" s="13" t="s">
        <v>337</v>
      </c>
      <c r="E170" s="192">
        <v>168598.16666666701</v>
      </c>
      <c r="F170" s="13" t="s">
        <v>331</v>
      </c>
      <c r="G170" s="783">
        <v>173859.5</v>
      </c>
      <c r="H170" s="70">
        <f t="shared" si="9"/>
        <v>5261.3333333329902</v>
      </c>
      <c r="I170" s="70">
        <f t="shared" si="10"/>
        <v>21045.333333332001</v>
      </c>
      <c r="J170" s="186"/>
    </row>
    <row r="171" spans="1:10" ht="20.100000000000001" customHeight="1" x14ac:dyDescent="0.2">
      <c r="A171" s="25">
        <v>36</v>
      </c>
      <c r="B171" s="9" t="s">
        <v>336</v>
      </c>
      <c r="C171" s="10" t="s">
        <v>330</v>
      </c>
      <c r="D171" s="13" t="s">
        <v>348</v>
      </c>
      <c r="E171" s="192">
        <v>163336.83333333299</v>
      </c>
      <c r="F171" s="13" t="s">
        <v>337</v>
      </c>
      <c r="G171" s="783">
        <v>168598.16666666701</v>
      </c>
      <c r="H171" s="70">
        <f t="shared" si="9"/>
        <v>5261.3333333340097</v>
      </c>
      <c r="I171" s="70">
        <f t="shared" si="10"/>
        <v>21045.333333335999</v>
      </c>
      <c r="J171" s="186"/>
    </row>
    <row r="172" spans="1:10" ht="20.100000000000001" customHeight="1" x14ac:dyDescent="0.2">
      <c r="A172" s="25">
        <v>37</v>
      </c>
      <c r="B172" s="9" t="s">
        <v>338</v>
      </c>
      <c r="C172" s="10" t="s">
        <v>330</v>
      </c>
      <c r="D172" s="13" t="s">
        <v>348</v>
      </c>
      <c r="E172" s="192">
        <v>163336.83333333299</v>
      </c>
      <c r="F172" s="13" t="s">
        <v>337</v>
      </c>
      <c r="G172" s="783">
        <v>168598.16666666701</v>
      </c>
      <c r="H172" s="70">
        <f t="shared" si="9"/>
        <v>5261.3333333340097</v>
      </c>
      <c r="I172" s="70">
        <f t="shared" si="10"/>
        <v>21045.333333335999</v>
      </c>
      <c r="J172" s="186"/>
    </row>
    <row r="173" spans="1:10" ht="20.100000000000001" customHeight="1" x14ac:dyDescent="0.2">
      <c r="A173" s="25">
        <v>38</v>
      </c>
      <c r="B173" s="12" t="s">
        <v>339</v>
      </c>
      <c r="C173" s="10" t="s">
        <v>330</v>
      </c>
      <c r="D173" s="13" t="s">
        <v>348</v>
      </c>
      <c r="E173" s="192">
        <v>163336.83333333299</v>
      </c>
      <c r="F173" s="13" t="s">
        <v>337</v>
      </c>
      <c r="G173" s="783">
        <v>168598.16666666701</v>
      </c>
      <c r="H173" s="70">
        <f t="shared" si="9"/>
        <v>5261.3333333340097</v>
      </c>
      <c r="I173" s="70">
        <f t="shared" si="10"/>
        <v>21045.333333335999</v>
      </c>
      <c r="J173" s="186"/>
    </row>
    <row r="174" spans="1:10" ht="20.100000000000001" customHeight="1" x14ac:dyDescent="0.2">
      <c r="A174" s="25">
        <v>39</v>
      </c>
      <c r="B174" s="9" t="s">
        <v>340</v>
      </c>
      <c r="C174" s="10" t="s">
        <v>330</v>
      </c>
      <c r="D174" s="13" t="s">
        <v>348</v>
      </c>
      <c r="E174" s="192">
        <v>163336.83333333299</v>
      </c>
      <c r="F174" s="13" t="s">
        <v>337</v>
      </c>
      <c r="G174" s="783">
        <v>168598.16666666701</v>
      </c>
      <c r="H174" s="70">
        <f t="shared" si="9"/>
        <v>5261.3333333340097</v>
      </c>
      <c r="I174" s="70">
        <f t="shared" si="10"/>
        <v>21045.333333335999</v>
      </c>
      <c r="J174" s="186"/>
    </row>
    <row r="175" spans="1:10" ht="20.100000000000001" customHeight="1" x14ac:dyDescent="0.2">
      <c r="A175" s="25">
        <v>40</v>
      </c>
      <c r="B175" s="16" t="s">
        <v>341</v>
      </c>
      <c r="C175" s="10" t="s">
        <v>330</v>
      </c>
      <c r="D175" s="13" t="s">
        <v>348</v>
      </c>
      <c r="E175" s="192">
        <v>163336.83333333299</v>
      </c>
      <c r="F175" s="13" t="s">
        <v>337</v>
      </c>
      <c r="G175" s="783">
        <v>168598.16666666701</v>
      </c>
      <c r="H175" s="70">
        <f t="shared" si="9"/>
        <v>5261.3333333340097</v>
      </c>
      <c r="I175" s="70">
        <f t="shared" si="10"/>
        <v>21045.333333335999</v>
      </c>
      <c r="J175" s="186"/>
    </row>
    <row r="176" spans="1:10" ht="20.100000000000001" customHeight="1" x14ac:dyDescent="0.2">
      <c r="A176" s="25">
        <v>41</v>
      </c>
      <c r="B176" s="16" t="s">
        <v>342</v>
      </c>
      <c r="C176" s="10" t="s">
        <v>330</v>
      </c>
      <c r="D176" s="13" t="s">
        <v>348</v>
      </c>
      <c r="E176" s="192">
        <v>163336.83333333299</v>
      </c>
      <c r="F176" s="13" t="s">
        <v>337</v>
      </c>
      <c r="G176" s="783">
        <v>168598.16666666701</v>
      </c>
      <c r="H176" s="70">
        <f t="shared" si="9"/>
        <v>5261.3333333340097</v>
      </c>
      <c r="I176" s="70">
        <f t="shared" si="10"/>
        <v>21045.333333335999</v>
      </c>
      <c r="J176" s="186"/>
    </row>
    <row r="177" spans="1:10" ht="20.100000000000001" customHeight="1" x14ac:dyDescent="0.2">
      <c r="A177" s="25">
        <v>42</v>
      </c>
      <c r="B177" s="9" t="s">
        <v>343</v>
      </c>
      <c r="C177" s="10" t="s">
        <v>344</v>
      </c>
      <c r="D177" s="13" t="s">
        <v>351</v>
      </c>
      <c r="E177" s="70">
        <v>152814.16666666701</v>
      </c>
      <c r="F177" s="13" t="s">
        <v>345</v>
      </c>
      <c r="G177" s="769">
        <v>158075.5</v>
      </c>
      <c r="H177" s="70">
        <f t="shared" si="9"/>
        <v>5261.3333333329902</v>
      </c>
      <c r="I177" s="70">
        <f t="shared" si="10"/>
        <v>21045.333333332001</v>
      </c>
      <c r="J177" s="186"/>
    </row>
    <row r="178" spans="1:10" ht="20.100000000000001" customHeight="1" x14ac:dyDescent="0.2">
      <c r="A178" s="25">
        <v>43</v>
      </c>
      <c r="B178" s="9" t="s">
        <v>346</v>
      </c>
      <c r="C178" s="10" t="s">
        <v>344</v>
      </c>
      <c r="D178" s="13" t="s">
        <v>351</v>
      </c>
      <c r="E178" s="70">
        <v>152814.16666666701</v>
      </c>
      <c r="F178" s="13" t="s">
        <v>345</v>
      </c>
      <c r="G178" s="769">
        <v>158075.5</v>
      </c>
      <c r="H178" s="70">
        <f t="shared" ref="H178:H197" si="11">G178-E178</f>
        <v>5261.3333333329902</v>
      </c>
      <c r="I178" s="70">
        <f t="shared" ref="I178:I197" si="12">H178*4</f>
        <v>21045.333333332001</v>
      </c>
      <c r="J178" s="186"/>
    </row>
    <row r="179" spans="1:10" ht="20.100000000000001" customHeight="1" x14ac:dyDescent="0.2">
      <c r="A179" s="25">
        <v>44</v>
      </c>
      <c r="B179" s="16" t="s">
        <v>347</v>
      </c>
      <c r="C179" s="10" t="s">
        <v>344</v>
      </c>
      <c r="D179" s="13" t="s">
        <v>345</v>
      </c>
      <c r="E179" s="70">
        <v>158075.5</v>
      </c>
      <c r="F179" s="13" t="s">
        <v>348</v>
      </c>
      <c r="G179" s="769">
        <v>163336.83333333299</v>
      </c>
      <c r="H179" s="70">
        <f t="shared" si="11"/>
        <v>5261.3333333329902</v>
      </c>
      <c r="I179" s="70">
        <f t="shared" si="12"/>
        <v>21045.333333332001</v>
      </c>
      <c r="J179" s="186"/>
    </row>
    <row r="180" spans="1:10" ht="20.100000000000001" customHeight="1" x14ac:dyDescent="0.2">
      <c r="A180" s="25">
        <v>45</v>
      </c>
      <c r="B180" s="9" t="s">
        <v>349</v>
      </c>
      <c r="C180" s="10" t="s">
        <v>350</v>
      </c>
      <c r="D180" s="13" t="s">
        <v>351</v>
      </c>
      <c r="E180" s="70">
        <v>152814.16666666701</v>
      </c>
      <c r="F180" s="70">
        <v>0</v>
      </c>
      <c r="G180" s="70">
        <v>0</v>
      </c>
      <c r="H180" s="70">
        <v>0</v>
      </c>
      <c r="I180" s="70">
        <f t="shared" si="12"/>
        <v>0</v>
      </c>
      <c r="J180" s="186"/>
    </row>
    <row r="181" spans="1:10" ht="20.100000000000001" customHeight="1" x14ac:dyDescent="0.2">
      <c r="A181" s="25">
        <v>46</v>
      </c>
      <c r="B181" s="9" t="s">
        <v>352</v>
      </c>
      <c r="C181" s="10" t="s">
        <v>353</v>
      </c>
      <c r="D181" s="13" t="s">
        <v>364</v>
      </c>
      <c r="E181" s="70">
        <v>91598</v>
      </c>
      <c r="F181" s="13" t="s">
        <v>492</v>
      </c>
      <c r="G181" s="769">
        <v>94145.75</v>
      </c>
      <c r="H181" s="70">
        <f t="shared" si="11"/>
        <v>2547.75</v>
      </c>
      <c r="I181" s="70">
        <f t="shared" si="12"/>
        <v>10191</v>
      </c>
      <c r="J181" s="186"/>
    </row>
    <row r="182" spans="1:10" ht="20.100000000000001" customHeight="1" x14ac:dyDescent="0.2">
      <c r="A182" s="25">
        <v>47</v>
      </c>
      <c r="B182" s="9" t="s">
        <v>355</v>
      </c>
      <c r="C182" s="10" t="s">
        <v>353</v>
      </c>
      <c r="D182" s="13" t="s">
        <v>364</v>
      </c>
      <c r="E182" s="70">
        <v>91598</v>
      </c>
      <c r="F182" s="13" t="s">
        <v>492</v>
      </c>
      <c r="G182" s="769">
        <v>94145.75</v>
      </c>
      <c r="H182" s="70">
        <f t="shared" si="11"/>
        <v>2547.75</v>
      </c>
      <c r="I182" s="70">
        <f t="shared" si="12"/>
        <v>10191</v>
      </c>
      <c r="J182" s="186"/>
    </row>
    <row r="183" spans="1:10" ht="20.100000000000001" customHeight="1" x14ac:dyDescent="0.2">
      <c r="A183" s="25">
        <v>48</v>
      </c>
      <c r="B183" s="9" t="s">
        <v>356</v>
      </c>
      <c r="C183" s="10" t="s">
        <v>353</v>
      </c>
      <c r="D183" s="13" t="s">
        <v>364</v>
      </c>
      <c r="E183" s="70">
        <v>91598</v>
      </c>
      <c r="F183" s="13" t="s">
        <v>492</v>
      </c>
      <c r="G183" s="769">
        <v>94145.75</v>
      </c>
      <c r="H183" s="70">
        <f t="shared" si="11"/>
        <v>2547.75</v>
      </c>
      <c r="I183" s="70">
        <f t="shared" si="12"/>
        <v>10191</v>
      </c>
      <c r="J183" s="186"/>
    </row>
    <row r="184" spans="1:10" ht="20.100000000000001" customHeight="1" x14ac:dyDescent="0.2">
      <c r="A184" s="25">
        <v>49</v>
      </c>
      <c r="B184" s="9" t="s">
        <v>357</v>
      </c>
      <c r="C184" s="10" t="s">
        <v>353</v>
      </c>
      <c r="D184" s="13" t="s">
        <v>364</v>
      </c>
      <c r="E184" s="70">
        <v>91598</v>
      </c>
      <c r="F184" s="13" t="s">
        <v>492</v>
      </c>
      <c r="G184" s="769">
        <v>94145.75</v>
      </c>
      <c r="H184" s="70">
        <f t="shared" si="11"/>
        <v>2547.75</v>
      </c>
      <c r="I184" s="70">
        <f t="shared" si="12"/>
        <v>10191</v>
      </c>
      <c r="J184" s="186"/>
    </row>
    <row r="185" spans="1:10" ht="20.100000000000001" customHeight="1" x14ac:dyDescent="0.2">
      <c r="A185" s="25">
        <v>50</v>
      </c>
      <c r="B185" s="9" t="s">
        <v>358</v>
      </c>
      <c r="C185" s="10" t="s">
        <v>353</v>
      </c>
      <c r="D185" s="13" t="s">
        <v>364</v>
      </c>
      <c r="E185" s="70">
        <v>91598</v>
      </c>
      <c r="F185" s="13" t="s">
        <v>492</v>
      </c>
      <c r="G185" s="769">
        <v>94145.75</v>
      </c>
      <c r="H185" s="70">
        <f t="shared" si="11"/>
        <v>2547.75</v>
      </c>
      <c r="I185" s="70">
        <f t="shared" si="12"/>
        <v>10191</v>
      </c>
      <c r="J185" s="186"/>
    </row>
    <row r="186" spans="1:10" ht="20.100000000000001" customHeight="1" x14ac:dyDescent="0.2">
      <c r="A186" s="25">
        <v>51</v>
      </c>
      <c r="B186" s="16" t="s">
        <v>359</v>
      </c>
      <c r="C186" s="10" t="s">
        <v>353</v>
      </c>
      <c r="D186" s="13" t="s">
        <v>364</v>
      </c>
      <c r="E186" s="70">
        <v>91598</v>
      </c>
      <c r="F186" s="13" t="s">
        <v>492</v>
      </c>
      <c r="G186" s="769">
        <v>94145.75</v>
      </c>
      <c r="H186" s="70">
        <f t="shared" si="11"/>
        <v>2547.75</v>
      </c>
      <c r="I186" s="70">
        <f t="shared" si="12"/>
        <v>10191</v>
      </c>
      <c r="J186" s="186"/>
    </row>
    <row r="187" spans="1:10" ht="20.100000000000001" customHeight="1" x14ac:dyDescent="0.2">
      <c r="A187" s="25">
        <v>52</v>
      </c>
      <c r="B187" s="16" t="s">
        <v>360</v>
      </c>
      <c r="C187" s="10" t="s">
        <v>353</v>
      </c>
      <c r="D187" s="13" t="s">
        <v>364</v>
      </c>
      <c r="E187" s="70">
        <v>91598</v>
      </c>
      <c r="F187" s="13" t="s">
        <v>492</v>
      </c>
      <c r="G187" s="769">
        <v>94145.75</v>
      </c>
      <c r="H187" s="70">
        <f t="shared" si="11"/>
        <v>2547.75</v>
      </c>
      <c r="I187" s="70">
        <f t="shared" si="12"/>
        <v>10191</v>
      </c>
      <c r="J187" s="186"/>
    </row>
    <row r="188" spans="1:10" ht="20.100000000000001" customHeight="1" x14ac:dyDescent="0.2">
      <c r="A188" s="25">
        <v>53</v>
      </c>
      <c r="B188" s="9" t="s">
        <v>493</v>
      </c>
      <c r="C188" s="10" t="s">
        <v>350</v>
      </c>
      <c r="D188" s="13" t="s">
        <v>364</v>
      </c>
      <c r="E188" s="70">
        <v>91598</v>
      </c>
      <c r="F188" s="13"/>
      <c r="G188" s="769"/>
      <c r="H188" s="70"/>
      <c r="I188" s="70"/>
      <c r="J188" s="186"/>
    </row>
    <row r="189" spans="1:10" ht="20.100000000000001" customHeight="1" x14ac:dyDescent="0.2">
      <c r="A189" s="25">
        <v>54</v>
      </c>
      <c r="B189" s="9" t="s">
        <v>361</v>
      </c>
      <c r="C189" s="10" t="s">
        <v>350</v>
      </c>
      <c r="D189" s="13" t="s">
        <v>364</v>
      </c>
      <c r="E189" s="70">
        <v>91598</v>
      </c>
      <c r="F189" s="13" t="s">
        <v>492</v>
      </c>
      <c r="G189" s="769">
        <v>94145.75</v>
      </c>
      <c r="H189" s="70">
        <f t="shared" si="11"/>
        <v>2547.75</v>
      </c>
      <c r="I189" s="70">
        <f t="shared" si="12"/>
        <v>10191</v>
      </c>
      <c r="J189" s="186"/>
    </row>
    <row r="190" spans="1:10" ht="20.100000000000001" customHeight="1" x14ac:dyDescent="0.2">
      <c r="A190" s="25">
        <v>55</v>
      </c>
      <c r="B190" s="16" t="s">
        <v>362</v>
      </c>
      <c r="C190" s="10" t="s">
        <v>363</v>
      </c>
      <c r="D190" s="13" t="s">
        <v>376</v>
      </c>
      <c r="E190" s="70">
        <v>89050.25</v>
      </c>
      <c r="F190" s="13" t="s">
        <v>364</v>
      </c>
      <c r="G190" s="769">
        <v>91598</v>
      </c>
      <c r="H190" s="70">
        <f t="shared" si="11"/>
        <v>2547.75</v>
      </c>
      <c r="I190" s="70">
        <f t="shared" si="12"/>
        <v>10191</v>
      </c>
      <c r="J190" s="186"/>
    </row>
    <row r="191" spans="1:10" ht="20.100000000000001" customHeight="1" x14ac:dyDescent="0.2">
      <c r="A191" s="25">
        <v>56</v>
      </c>
      <c r="B191" s="16" t="s">
        <v>365</v>
      </c>
      <c r="C191" s="10" t="s">
        <v>363</v>
      </c>
      <c r="D191" s="13" t="s">
        <v>368</v>
      </c>
      <c r="E191" s="70">
        <v>83955</v>
      </c>
      <c r="F191" s="13" t="s">
        <v>366</v>
      </c>
      <c r="G191" s="769">
        <v>86502.5</v>
      </c>
      <c r="H191" s="70">
        <f t="shared" si="11"/>
        <v>2547.5</v>
      </c>
      <c r="I191" s="70">
        <f t="shared" si="12"/>
        <v>10190</v>
      </c>
      <c r="J191" s="186"/>
    </row>
    <row r="192" spans="1:10" ht="20.100000000000001" customHeight="1" x14ac:dyDescent="0.2">
      <c r="A192" s="25">
        <v>57</v>
      </c>
      <c r="B192" s="16" t="s">
        <v>367</v>
      </c>
      <c r="C192" s="10" t="s">
        <v>344</v>
      </c>
      <c r="D192" s="13" t="s">
        <v>351</v>
      </c>
      <c r="E192" s="70">
        <v>152814.16666666701</v>
      </c>
      <c r="F192" s="70">
        <v>0</v>
      </c>
      <c r="G192" s="70">
        <v>0</v>
      </c>
      <c r="H192" s="70">
        <v>0</v>
      </c>
      <c r="I192" s="70">
        <f t="shared" si="12"/>
        <v>0</v>
      </c>
      <c r="J192" s="186"/>
    </row>
    <row r="193" spans="1:10" ht="20.100000000000001" customHeight="1" x14ac:dyDescent="0.2">
      <c r="A193" s="25">
        <v>58</v>
      </c>
      <c r="B193" s="16" t="s">
        <v>369</v>
      </c>
      <c r="C193" s="10" t="s">
        <v>370</v>
      </c>
      <c r="D193" s="13" t="s">
        <v>568</v>
      </c>
      <c r="E193" s="70">
        <v>76540.75</v>
      </c>
      <c r="F193" s="13" t="s">
        <v>371</v>
      </c>
      <c r="G193" s="769">
        <v>78733.833333333299</v>
      </c>
      <c r="H193" s="70">
        <f t="shared" si="11"/>
        <v>2193.0833333332998</v>
      </c>
      <c r="I193" s="70">
        <f t="shared" si="12"/>
        <v>8772.3333333331993</v>
      </c>
      <c r="J193" s="102"/>
    </row>
    <row r="194" spans="1:10" ht="20.100000000000001" customHeight="1" x14ac:dyDescent="0.2">
      <c r="A194" s="25">
        <v>59</v>
      </c>
      <c r="B194" s="16" t="s">
        <v>372</v>
      </c>
      <c r="C194" s="10" t="s">
        <v>370</v>
      </c>
      <c r="D194" s="13" t="s">
        <v>568</v>
      </c>
      <c r="E194" s="70">
        <v>76540.75</v>
      </c>
      <c r="F194" s="13" t="s">
        <v>371</v>
      </c>
      <c r="G194" s="769">
        <v>78733.833333333299</v>
      </c>
      <c r="H194" s="70">
        <f t="shared" si="11"/>
        <v>2193.0833333332998</v>
      </c>
      <c r="I194" s="70">
        <f t="shared" si="12"/>
        <v>8772.3333333331993</v>
      </c>
      <c r="J194" s="102"/>
    </row>
    <row r="195" spans="1:10" ht="20.100000000000001" customHeight="1" x14ac:dyDescent="0.2">
      <c r="A195" s="25">
        <v>60</v>
      </c>
      <c r="B195" s="16" t="s">
        <v>373</v>
      </c>
      <c r="C195" s="10" t="s">
        <v>370</v>
      </c>
      <c r="D195" s="13" t="s">
        <v>568</v>
      </c>
      <c r="E195" s="70">
        <v>76540.75</v>
      </c>
      <c r="F195" s="13" t="s">
        <v>371</v>
      </c>
      <c r="G195" s="769">
        <v>78733.833333333299</v>
      </c>
      <c r="H195" s="70">
        <f t="shared" si="11"/>
        <v>2193.0833333332998</v>
      </c>
      <c r="I195" s="70">
        <f t="shared" si="12"/>
        <v>8772.3333333331993</v>
      </c>
      <c r="J195" s="102"/>
    </row>
    <row r="196" spans="1:10" ht="20.100000000000001" customHeight="1" x14ac:dyDescent="0.2">
      <c r="A196" s="25">
        <v>61</v>
      </c>
      <c r="B196" s="16" t="s">
        <v>374</v>
      </c>
      <c r="C196" s="10" t="s">
        <v>375</v>
      </c>
      <c r="D196" s="13" t="s">
        <v>366</v>
      </c>
      <c r="E196" s="70">
        <v>86502.5</v>
      </c>
      <c r="F196" s="13" t="s">
        <v>376</v>
      </c>
      <c r="G196" s="769">
        <v>89050.25</v>
      </c>
      <c r="H196" s="70">
        <f t="shared" si="11"/>
        <v>2547.75</v>
      </c>
      <c r="I196" s="70">
        <f t="shared" si="12"/>
        <v>10191</v>
      </c>
      <c r="J196" s="102"/>
    </row>
    <row r="197" spans="1:10" ht="20.100000000000001" customHeight="1" x14ac:dyDescent="0.2">
      <c r="A197" s="25">
        <v>62</v>
      </c>
      <c r="B197" s="16" t="s">
        <v>377</v>
      </c>
      <c r="C197" s="10" t="s">
        <v>375</v>
      </c>
      <c r="D197" s="13" t="s">
        <v>366</v>
      </c>
      <c r="E197" s="70">
        <v>86502.5</v>
      </c>
      <c r="F197" s="13" t="s">
        <v>376</v>
      </c>
      <c r="G197" s="769">
        <v>89050.25</v>
      </c>
      <c r="H197" s="70">
        <f t="shared" si="11"/>
        <v>2547.75</v>
      </c>
      <c r="I197" s="70">
        <f t="shared" si="12"/>
        <v>10191</v>
      </c>
      <c r="J197" s="102"/>
    </row>
    <row r="198" spans="1:10" ht="30.75" customHeight="1" x14ac:dyDescent="0.5">
      <c r="A198" s="25"/>
      <c r="B198" s="6" t="s">
        <v>111</v>
      </c>
      <c r="C198" s="26" t="s">
        <v>636</v>
      </c>
      <c r="D198" s="27"/>
      <c r="E198" s="78">
        <f>SUM(E138:E197)</f>
        <v>14439396.303333299</v>
      </c>
      <c r="F198" s="78"/>
      <c r="G198" s="78">
        <f>SUM(G138:G197)</f>
        <v>9108568.0833333395</v>
      </c>
      <c r="H198" s="78">
        <f>SUM(H138:H197)</f>
        <v>263170.58333333599</v>
      </c>
      <c r="I198" s="78">
        <f>SUM(I138:I197)</f>
        <v>1052682.33333334</v>
      </c>
      <c r="J198" s="78"/>
    </row>
    <row r="199" spans="1:10" ht="30" customHeight="1" x14ac:dyDescent="0.2">
      <c r="A199" s="2"/>
      <c r="B199" s="28" t="s">
        <v>379</v>
      </c>
      <c r="C199" s="29">
        <f>C38+C45+C56+C61+C71+C80+C93+C101+C111+C122+C135+C198</f>
        <v>155</v>
      </c>
      <c r="D199" s="30"/>
      <c r="E199" s="193">
        <f>E198+E135+E122+E116+E111+E101+E93+E80+E71+E61+E56+E45+E38</f>
        <v>60564372.390333302</v>
      </c>
      <c r="F199" s="193"/>
      <c r="G199" s="193">
        <f>G198+G135+G122+G116+G111+G101+G93+G80+G71+G61+G56+G45+G38</f>
        <v>34121322.416666701</v>
      </c>
      <c r="H199" s="193">
        <f>H198+H135+H122+H116+H111+H101+H93+H80+H71+H61+H56+H45+H38</f>
        <v>997064.83333333896</v>
      </c>
      <c r="I199" s="193">
        <f>I198+I135+I122+I116+I111+I101+I93+I80+I71+I61+I56+I45+I38</f>
        <v>4009861.9166666502</v>
      </c>
      <c r="J199" s="193"/>
    </row>
    <row r="200" spans="1:10" ht="38.25" customHeight="1" x14ac:dyDescent="0.2">
      <c r="B200" s="31"/>
      <c r="D200" s="32"/>
      <c r="E200" s="32"/>
      <c r="F200" s="32"/>
      <c r="G200" s="32"/>
      <c r="H200" s="32"/>
      <c r="I200" s="32"/>
      <c r="J200" s="32"/>
    </row>
    <row r="201" spans="1:10" ht="36.75" customHeight="1" x14ac:dyDescent="0.2">
      <c r="B201" s="31"/>
      <c r="C201" s="32"/>
      <c r="D201" s="32"/>
      <c r="E201" s="32"/>
      <c r="F201" s="32"/>
      <c r="G201" s="32"/>
      <c r="H201" s="32"/>
      <c r="I201" s="32"/>
      <c r="J201" s="32"/>
    </row>
  </sheetData>
  <mergeCells count="1">
    <mergeCell ref="A1:I1"/>
  </mergeCells>
  <pageMargins left="0.23622047244094499" right="0.23622047244094499" top="0.98425196850393704" bottom="0.98425196850393704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1"/>
  <sheetViews>
    <sheetView zoomScale="90" zoomScaleNormal="90" zoomScaleSheetLayoutView="50" workbookViewId="0">
      <pane xSplit="3" ySplit="7" topLeftCell="D8" activePane="bottomRight" state="frozen"/>
      <selection pane="bottomLeft"/>
      <selection pane="topRight"/>
      <selection pane="bottomRight" activeCell="H7" sqref="H7"/>
    </sheetView>
  </sheetViews>
  <sheetFormatPr defaultColWidth="9.16796875" defaultRowHeight="20.100000000000001" customHeight="1" x14ac:dyDescent="0.2"/>
  <cols>
    <col min="1" max="1" width="5.390625" style="1" customWidth="1"/>
    <col min="2" max="2" width="45.0390625" style="1" customWidth="1"/>
    <col min="3" max="3" width="49.0859375" style="1" customWidth="1"/>
    <col min="4" max="4" width="12.67578125" style="1" customWidth="1"/>
    <col min="5" max="5" width="20.765625" style="1" customWidth="1"/>
    <col min="6" max="6" width="13.6171875" style="1"/>
    <col min="7" max="16384" width="9.16796875" style="1"/>
  </cols>
  <sheetData>
    <row r="1" spans="1:5" ht="27" customHeight="1" x14ac:dyDescent="0.25">
      <c r="A1" s="202" t="s">
        <v>0</v>
      </c>
      <c r="B1" s="202"/>
      <c r="C1" s="202"/>
      <c r="D1" s="202"/>
    </row>
    <row r="2" spans="1:5" ht="33.75" customHeight="1" x14ac:dyDescent="0.25">
      <c r="A2" s="202" t="s">
        <v>637</v>
      </c>
      <c r="B2" s="223"/>
      <c r="C2" s="202"/>
      <c r="D2" s="202"/>
      <c r="E2" s="63"/>
    </row>
    <row r="3" spans="1:5" ht="9.75" customHeight="1" x14ac:dyDescent="0.2"/>
    <row r="4" spans="1:5" ht="49.5" customHeight="1" x14ac:dyDescent="0.2">
      <c r="A4" s="477"/>
      <c r="B4" s="674" t="s">
        <v>2</v>
      </c>
      <c r="C4" s="675" t="s">
        <v>3</v>
      </c>
      <c r="D4" s="676" t="s">
        <v>4</v>
      </c>
      <c r="E4" s="756" t="s">
        <v>638</v>
      </c>
    </row>
    <row r="5" spans="1:5" ht="17.25" customHeight="1" x14ac:dyDescent="0.2">
      <c r="C5" s="6"/>
      <c r="D5" s="6"/>
      <c r="E5" s="757" t="s">
        <v>20</v>
      </c>
    </row>
    <row r="6" spans="1:5" ht="20.100000000000001" customHeight="1" x14ac:dyDescent="0.2">
      <c r="A6" s="7" t="s">
        <v>21</v>
      </c>
      <c r="B6" s="6" t="s">
        <v>22</v>
      </c>
      <c r="C6" s="6"/>
      <c r="D6" s="6"/>
      <c r="E6" s="757"/>
    </row>
    <row r="7" spans="1:5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758">
        <v>648000</v>
      </c>
    </row>
    <row r="8" spans="1:5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758">
        <v>216000</v>
      </c>
    </row>
    <row r="9" spans="1:5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758">
        <v>216000</v>
      </c>
    </row>
    <row r="10" spans="1:5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758">
        <v>216000</v>
      </c>
    </row>
    <row r="11" spans="1:5" ht="20.100000000000001" customHeight="1" x14ac:dyDescent="0.2">
      <c r="A11" s="8">
        <v>5</v>
      </c>
      <c r="B11" s="9" t="s">
        <v>33</v>
      </c>
      <c r="C11" s="10" t="s">
        <v>34</v>
      </c>
      <c r="D11" s="13" t="s">
        <v>192</v>
      </c>
      <c r="E11" s="758">
        <v>216000</v>
      </c>
    </row>
    <row r="12" spans="1:5" ht="20.100000000000001" customHeight="1" x14ac:dyDescent="0.2">
      <c r="A12" s="8">
        <v>6</v>
      </c>
      <c r="B12" s="9" t="s">
        <v>36</v>
      </c>
      <c r="C12" s="2" t="s">
        <v>37</v>
      </c>
      <c r="D12" s="8" t="s">
        <v>38</v>
      </c>
      <c r="E12" s="758">
        <v>151200</v>
      </c>
    </row>
    <row r="13" spans="1:5" ht="20.100000000000001" customHeight="1" x14ac:dyDescent="0.2">
      <c r="A13" s="8">
        <v>7</v>
      </c>
      <c r="B13" s="9" t="s">
        <v>39</v>
      </c>
      <c r="C13" s="2" t="s">
        <v>40</v>
      </c>
      <c r="D13" s="13" t="s">
        <v>41</v>
      </c>
      <c r="E13" s="758">
        <v>108000</v>
      </c>
    </row>
    <row r="14" spans="1:5" ht="20.100000000000001" customHeight="1" x14ac:dyDescent="0.2">
      <c r="A14" s="8">
        <v>8</v>
      </c>
      <c r="B14" s="12" t="s">
        <v>42</v>
      </c>
      <c r="C14" s="15" t="s">
        <v>43</v>
      </c>
      <c r="D14" s="13" t="s">
        <v>38</v>
      </c>
      <c r="E14" s="758">
        <v>151200</v>
      </c>
    </row>
    <row r="15" spans="1:5" ht="20.100000000000001" customHeight="1" x14ac:dyDescent="0.2">
      <c r="A15" s="8">
        <v>9</v>
      </c>
      <c r="B15" s="9" t="s">
        <v>44</v>
      </c>
      <c r="C15" s="2" t="s">
        <v>45</v>
      </c>
      <c r="D15" s="8" t="s">
        <v>46</v>
      </c>
      <c r="E15" s="758">
        <v>108000</v>
      </c>
    </row>
    <row r="16" spans="1:5" ht="20.100000000000001" customHeight="1" x14ac:dyDescent="0.2">
      <c r="A16" s="8">
        <v>10</v>
      </c>
      <c r="B16" s="9" t="s">
        <v>47</v>
      </c>
      <c r="C16" s="2" t="s">
        <v>48</v>
      </c>
      <c r="D16" s="8" t="s">
        <v>49</v>
      </c>
      <c r="E16" s="758">
        <v>151200</v>
      </c>
    </row>
    <row r="17" spans="1:5" ht="20.100000000000001" customHeight="1" x14ac:dyDescent="0.2">
      <c r="A17" s="8">
        <v>11</v>
      </c>
      <c r="B17" s="9" t="s">
        <v>50</v>
      </c>
      <c r="C17" s="10" t="s">
        <v>51</v>
      </c>
      <c r="D17" s="13" t="s">
        <v>52</v>
      </c>
      <c r="E17" s="758">
        <v>108000</v>
      </c>
    </row>
    <row r="18" spans="1:5" ht="20.100000000000001" customHeight="1" x14ac:dyDescent="0.2">
      <c r="A18" s="8">
        <v>12</v>
      </c>
      <c r="B18" s="16" t="s">
        <v>53</v>
      </c>
      <c r="C18" s="2" t="s">
        <v>54</v>
      </c>
      <c r="D18" s="13" t="s">
        <v>55</v>
      </c>
      <c r="E18" s="758">
        <v>108000</v>
      </c>
    </row>
    <row r="19" spans="1:5" ht="20.100000000000001" customHeight="1" x14ac:dyDescent="0.2">
      <c r="A19" s="8">
        <v>13</v>
      </c>
      <c r="B19" s="16" t="s">
        <v>56</v>
      </c>
      <c r="C19" s="2" t="s">
        <v>57</v>
      </c>
      <c r="D19" s="13" t="s">
        <v>58</v>
      </c>
      <c r="E19" s="758">
        <v>108000</v>
      </c>
    </row>
    <row r="20" spans="1:5" ht="20.100000000000001" customHeight="1" x14ac:dyDescent="0.2">
      <c r="A20" s="8">
        <v>14</v>
      </c>
      <c r="B20" s="16" t="s">
        <v>59</v>
      </c>
      <c r="C20" s="2" t="s">
        <v>51</v>
      </c>
      <c r="D20" s="13" t="s">
        <v>58</v>
      </c>
      <c r="E20" s="758">
        <v>108000</v>
      </c>
    </row>
    <row r="21" spans="1:5" ht="20.100000000000001" customHeight="1" x14ac:dyDescent="0.2">
      <c r="A21" s="8">
        <v>15</v>
      </c>
      <c r="B21" s="9" t="s">
        <v>60</v>
      </c>
      <c r="C21" s="10" t="s">
        <v>61</v>
      </c>
      <c r="D21" s="13" t="s">
        <v>62</v>
      </c>
      <c r="E21" s="758">
        <v>81600</v>
      </c>
    </row>
    <row r="22" spans="1:5" ht="18.75" customHeight="1" x14ac:dyDescent="0.2">
      <c r="A22" s="8">
        <v>16</v>
      </c>
      <c r="B22" s="9" t="s">
        <v>63</v>
      </c>
      <c r="C22" s="10" t="s">
        <v>64</v>
      </c>
      <c r="D22" s="13" t="s">
        <v>65</v>
      </c>
      <c r="E22" s="758">
        <v>81600</v>
      </c>
    </row>
    <row r="23" spans="1:5" ht="20.100000000000001" customHeight="1" x14ac:dyDescent="0.2">
      <c r="A23" s="8">
        <v>17</v>
      </c>
      <c r="B23" s="12" t="s">
        <v>66</v>
      </c>
      <c r="C23" s="15" t="s">
        <v>67</v>
      </c>
      <c r="D23" s="8" t="s">
        <v>68</v>
      </c>
      <c r="E23" s="758">
        <v>81600</v>
      </c>
    </row>
    <row r="24" spans="1:5" ht="21.6" customHeight="1" x14ac:dyDescent="0.2">
      <c r="A24" s="8">
        <v>18</v>
      </c>
      <c r="B24" s="9" t="s">
        <v>69</v>
      </c>
      <c r="C24" s="15" t="s">
        <v>70</v>
      </c>
      <c r="D24" s="13" t="s">
        <v>68</v>
      </c>
      <c r="E24" s="758">
        <v>81600</v>
      </c>
    </row>
    <row r="25" spans="1:5" ht="20.100000000000001" customHeight="1" x14ac:dyDescent="0.2">
      <c r="A25" s="8">
        <v>19</v>
      </c>
      <c r="B25" s="12" t="s">
        <v>71</v>
      </c>
      <c r="C25" s="15" t="s">
        <v>72</v>
      </c>
      <c r="D25" s="8" t="s">
        <v>73</v>
      </c>
      <c r="E25" s="758">
        <v>81600</v>
      </c>
    </row>
    <row r="26" spans="1:5" ht="20.100000000000001" customHeight="1" x14ac:dyDescent="0.2">
      <c r="A26" s="8">
        <v>20</v>
      </c>
      <c r="B26" s="12" t="s">
        <v>74</v>
      </c>
      <c r="C26" s="15" t="s">
        <v>75</v>
      </c>
      <c r="D26" s="8" t="s">
        <v>76</v>
      </c>
      <c r="E26" s="758">
        <v>81600</v>
      </c>
    </row>
    <row r="27" spans="1:5" ht="18.75" customHeight="1" x14ac:dyDescent="0.2">
      <c r="A27" s="8">
        <v>21</v>
      </c>
      <c r="B27" s="2" t="s">
        <v>77</v>
      </c>
      <c r="C27" s="2" t="s">
        <v>78</v>
      </c>
      <c r="D27" s="8" t="s">
        <v>79</v>
      </c>
      <c r="E27" s="758">
        <v>64800</v>
      </c>
    </row>
    <row r="28" spans="1:5" ht="18.75" customHeight="1" x14ac:dyDescent="0.2">
      <c r="A28" s="8">
        <v>22</v>
      </c>
      <c r="B28" s="16" t="s">
        <v>80</v>
      </c>
      <c r="C28" s="10" t="s">
        <v>78</v>
      </c>
      <c r="D28" s="13" t="s">
        <v>79</v>
      </c>
      <c r="E28" s="758">
        <v>64800</v>
      </c>
    </row>
    <row r="29" spans="1:5" ht="20.100000000000001" customHeight="1" x14ac:dyDescent="0.2">
      <c r="A29" s="8">
        <v>23</v>
      </c>
      <c r="B29" s="9" t="s">
        <v>81</v>
      </c>
      <c r="C29" s="15" t="s">
        <v>67</v>
      </c>
      <c r="D29" s="8" t="s">
        <v>79</v>
      </c>
      <c r="E29" s="758">
        <v>64800</v>
      </c>
    </row>
    <row r="30" spans="1:5" ht="18.75" customHeight="1" x14ac:dyDescent="0.2">
      <c r="A30" s="8">
        <v>24</v>
      </c>
      <c r="B30" s="16" t="s">
        <v>82</v>
      </c>
      <c r="C30" s="10" t="s">
        <v>83</v>
      </c>
      <c r="D30" s="13" t="s">
        <v>84</v>
      </c>
      <c r="E30" s="758">
        <v>64800</v>
      </c>
    </row>
    <row r="31" spans="1:5" ht="18.75" customHeight="1" x14ac:dyDescent="0.2">
      <c r="A31" s="8">
        <v>25</v>
      </c>
      <c r="B31" s="16" t="s">
        <v>85</v>
      </c>
      <c r="C31" s="2" t="s">
        <v>86</v>
      </c>
      <c r="D31" s="8" t="s">
        <v>87</v>
      </c>
      <c r="E31" s="758">
        <v>64800</v>
      </c>
    </row>
    <row r="32" spans="1:5" ht="18.75" customHeight="1" x14ac:dyDescent="0.2">
      <c r="A32" s="8">
        <v>26</v>
      </c>
      <c r="B32" s="16" t="s">
        <v>88</v>
      </c>
      <c r="C32" s="2" t="s">
        <v>86</v>
      </c>
      <c r="D32" s="8" t="s">
        <v>87</v>
      </c>
      <c r="E32" s="758">
        <v>64800</v>
      </c>
    </row>
    <row r="33" spans="1:5" ht="18.75" customHeight="1" x14ac:dyDescent="0.2">
      <c r="A33" s="8">
        <v>27</v>
      </c>
      <c r="B33" s="16" t="s">
        <v>89</v>
      </c>
      <c r="C33" s="15" t="s">
        <v>90</v>
      </c>
      <c r="D33" s="13" t="s">
        <v>79</v>
      </c>
      <c r="E33" s="758">
        <v>64800</v>
      </c>
    </row>
    <row r="34" spans="1:5" ht="18.75" customHeight="1" x14ac:dyDescent="0.2">
      <c r="A34" s="8">
        <v>28</v>
      </c>
      <c r="B34" s="16" t="s">
        <v>91</v>
      </c>
      <c r="C34" s="2" t="s">
        <v>78</v>
      </c>
      <c r="D34" s="8" t="s">
        <v>87</v>
      </c>
      <c r="E34" s="758">
        <v>64800</v>
      </c>
    </row>
    <row r="35" spans="1:5" ht="18.75" customHeight="1" x14ac:dyDescent="0.2">
      <c r="A35" s="8">
        <v>29</v>
      </c>
      <c r="B35" s="16" t="s">
        <v>92</v>
      </c>
      <c r="C35" s="2" t="s">
        <v>93</v>
      </c>
      <c r="D35" s="8" t="s">
        <v>87</v>
      </c>
      <c r="E35" s="758">
        <v>64800</v>
      </c>
    </row>
    <row r="36" spans="1:5" ht="18.75" customHeight="1" x14ac:dyDescent="0.2">
      <c r="A36" s="8">
        <v>30</v>
      </c>
      <c r="B36" s="16" t="s">
        <v>100</v>
      </c>
      <c r="C36" s="10" t="s">
        <v>101</v>
      </c>
      <c r="D36" s="13" t="s">
        <v>102</v>
      </c>
      <c r="E36" s="758">
        <v>64800</v>
      </c>
    </row>
    <row r="37" spans="1:5" ht="18.75" customHeight="1" x14ac:dyDescent="0.2">
      <c r="A37" s="8">
        <v>31</v>
      </c>
      <c r="B37" s="16" t="s">
        <v>103</v>
      </c>
      <c r="C37" s="10" t="s">
        <v>104</v>
      </c>
      <c r="D37" s="13" t="s">
        <v>105</v>
      </c>
      <c r="E37" s="758">
        <v>64800</v>
      </c>
    </row>
    <row r="38" spans="1:5" ht="26.25" customHeight="1" x14ac:dyDescent="0.2">
      <c r="A38" s="8"/>
      <c r="B38" s="18" t="s">
        <v>111</v>
      </c>
      <c r="C38" s="19">
        <v>31</v>
      </c>
      <c r="D38" s="13"/>
      <c r="E38" s="759">
        <f>SUM(E7:E37)</f>
        <v>3816000</v>
      </c>
    </row>
    <row r="39" spans="1:5" ht="18.75" customHeight="1" x14ac:dyDescent="0.2">
      <c r="A39" s="8"/>
      <c r="B39" s="20"/>
      <c r="C39" s="2"/>
      <c r="D39" s="13"/>
      <c r="E39" s="759"/>
    </row>
    <row r="40" spans="1:5" ht="18.75" customHeight="1" x14ac:dyDescent="0.2">
      <c r="A40" s="8"/>
      <c r="B40" s="18" t="s">
        <v>112</v>
      </c>
      <c r="C40" s="2"/>
      <c r="D40" s="13"/>
      <c r="E40" s="758"/>
    </row>
    <row r="41" spans="1:5" ht="18.75" customHeight="1" x14ac:dyDescent="0.2">
      <c r="A41" s="8">
        <v>1</v>
      </c>
      <c r="B41" s="16" t="s">
        <v>113</v>
      </c>
      <c r="C41" s="2" t="s">
        <v>114</v>
      </c>
      <c r="D41" s="8" t="s">
        <v>115</v>
      </c>
      <c r="E41" s="758">
        <f>270000*1.2</f>
        <v>324000</v>
      </c>
    </row>
    <row r="42" spans="1:5" ht="18.75" customHeight="1" x14ac:dyDescent="0.2">
      <c r="A42" s="8">
        <v>2</v>
      </c>
      <c r="B42" s="16" t="s">
        <v>116</v>
      </c>
      <c r="C42" s="2" t="s">
        <v>117</v>
      </c>
      <c r="D42" s="8" t="s">
        <v>76</v>
      </c>
      <c r="E42" s="758">
        <f>68000*1.2</f>
        <v>81600</v>
      </c>
    </row>
    <row r="43" spans="1:5" ht="18.75" customHeight="1" x14ac:dyDescent="0.2">
      <c r="A43" s="8">
        <v>3</v>
      </c>
      <c r="B43" s="9" t="s">
        <v>118</v>
      </c>
      <c r="C43" s="2" t="s">
        <v>117</v>
      </c>
      <c r="D43" s="13" t="s">
        <v>119</v>
      </c>
      <c r="E43" s="758">
        <f>68000*1.2</f>
        <v>81600</v>
      </c>
    </row>
    <row r="44" spans="1:5" ht="18.75" customHeight="1" x14ac:dyDescent="0.2">
      <c r="A44" s="8">
        <v>4</v>
      </c>
      <c r="B44" s="9" t="s">
        <v>121</v>
      </c>
      <c r="C44" s="2" t="s">
        <v>122</v>
      </c>
      <c r="D44" s="13" t="s">
        <v>87</v>
      </c>
      <c r="E44" s="760">
        <f>54000*1.2</f>
        <v>64800</v>
      </c>
    </row>
    <row r="45" spans="1:5" ht="19.5" customHeight="1" x14ac:dyDescent="0.2">
      <c r="A45" s="8"/>
      <c r="B45" s="12"/>
      <c r="C45" s="19">
        <v>4</v>
      </c>
      <c r="D45" s="8"/>
      <c r="E45" s="759">
        <f>SUM(E41:E44)</f>
        <v>552000</v>
      </c>
    </row>
    <row r="46" spans="1:5" ht="20.100000000000001" customHeight="1" x14ac:dyDescent="0.2">
      <c r="A46" s="8"/>
      <c r="B46" s="12"/>
      <c r="C46" s="2"/>
      <c r="D46" s="8"/>
      <c r="E46" s="759"/>
    </row>
    <row r="47" spans="1:5" ht="20.100000000000001" customHeight="1" x14ac:dyDescent="0.2">
      <c r="A47" s="8"/>
      <c r="B47" s="21" t="s">
        <v>125</v>
      </c>
      <c r="C47" s="3"/>
      <c r="D47" s="22"/>
      <c r="E47" s="759"/>
    </row>
    <row r="48" spans="1:5" ht="20.100000000000001" customHeight="1" x14ac:dyDescent="0.2">
      <c r="A48" s="8">
        <v>1</v>
      </c>
      <c r="B48" s="9" t="s">
        <v>126</v>
      </c>
      <c r="C48" s="2" t="s">
        <v>127</v>
      </c>
      <c r="D48" s="8" t="s">
        <v>154</v>
      </c>
      <c r="E48" s="758">
        <v>216000</v>
      </c>
    </row>
    <row r="49" spans="1:5" ht="20.100000000000001" customHeight="1" x14ac:dyDescent="0.2">
      <c r="A49" s="8">
        <v>2</v>
      </c>
      <c r="B49" s="9" t="s">
        <v>129</v>
      </c>
      <c r="C49" s="2" t="s">
        <v>130</v>
      </c>
      <c r="D49" s="8" t="s">
        <v>131</v>
      </c>
      <c r="E49" s="758">
        <v>151200</v>
      </c>
    </row>
    <row r="50" spans="1:5" ht="20.100000000000001" customHeight="1" x14ac:dyDescent="0.2">
      <c r="A50" s="8">
        <v>3</v>
      </c>
      <c r="B50" s="9" t="s">
        <v>132</v>
      </c>
      <c r="C50" s="2" t="s">
        <v>130</v>
      </c>
      <c r="D50" s="8" t="s">
        <v>131</v>
      </c>
      <c r="E50" s="758">
        <v>151200</v>
      </c>
    </row>
    <row r="51" spans="1:5" ht="20.100000000000001" customHeight="1" x14ac:dyDescent="0.2">
      <c r="A51" s="8">
        <v>4</v>
      </c>
      <c r="B51" s="9" t="s">
        <v>133</v>
      </c>
      <c r="C51" s="2" t="s">
        <v>130</v>
      </c>
      <c r="D51" s="8" t="s">
        <v>38</v>
      </c>
      <c r="E51" s="758">
        <v>151200</v>
      </c>
    </row>
    <row r="52" spans="1:5" ht="20.100000000000001" customHeight="1" x14ac:dyDescent="0.2">
      <c r="A52" s="8">
        <v>5</v>
      </c>
      <c r="B52" s="12" t="s">
        <v>134</v>
      </c>
      <c r="C52" s="2" t="s">
        <v>130</v>
      </c>
      <c r="D52" s="8" t="s">
        <v>49</v>
      </c>
      <c r="E52" s="758">
        <v>151200</v>
      </c>
    </row>
    <row r="53" spans="1:5" ht="20.100000000000001" customHeight="1" x14ac:dyDescent="0.2">
      <c r="A53" s="8">
        <v>6</v>
      </c>
      <c r="B53" s="9" t="s">
        <v>138</v>
      </c>
      <c r="C53" s="2" t="s">
        <v>139</v>
      </c>
      <c r="D53" s="8" t="s">
        <v>119</v>
      </c>
      <c r="E53" s="758">
        <v>81600</v>
      </c>
    </row>
    <row r="54" spans="1:5" ht="20.100000000000001" customHeight="1" x14ac:dyDescent="0.2">
      <c r="A54" s="8">
        <v>7</v>
      </c>
      <c r="B54" s="9" t="s">
        <v>142</v>
      </c>
      <c r="C54" s="2" t="s">
        <v>139</v>
      </c>
      <c r="D54" s="8" t="s">
        <v>84</v>
      </c>
      <c r="E54" s="758">
        <v>64800</v>
      </c>
    </row>
    <row r="55" spans="1:5" ht="20.100000000000001" customHeight="1" x14ac:dyDescent="0.2">
      <c r="A55" s="8">
        <v>8</v>
      </c>
      <c r="B55" s="9" t="s">
        <v>143</v>
      </c>
      <c r="C55" s="2" t="s">
        <v>139</v>
      </c>
      <c r="D55" s="8" t="s">
        <v>84</v>
      </c>
      <c r="E55" s="758">
        <v>64800</v>
      </c>
    </row>
    <row r="56" spans="1:5" ht="25.5" customHeight="1" x14ac:dyDescent="0.5">
      <c r="A56" s="8"/>
      <c r="B56" s="18" t="s">
        <v>111</v>
      </c>
      <c r="C56" s="19">
        <v>8</v>
      </c>
      <c r="D56" s="19"/>
      <c r="E56" s="761">
        <f>SUM(E48:E55)</f>
        <v>1032000</v>
      </c>
    </row>
    <row r="57" spans="1:5" ht="20.100000000000001" customHeight="1" x14ac:dyDescent="0.2">
      <c r="A57" s="8"/>
      <c r="B57" s="20"/>
      <c r="C57" s="19"/>
      <c r="D57" s="19"/>
      <c r="E57" s="762"/>
    </row>
    <row r="58" spans="1:5" ht="20.100000000000001" customHeight="1" x14ac:dyDescent="0.2">
      <c r="A58" s="8"/>
      <c r="B58" s="18" t="s">
        <v>145</v>
      </c>
      <c r="C58" s="19"/>
      <c r="D58" s="19"/>
      <c r="E58" s="762"/>
    </row>
    <row r="59" spans="1:5" ht="20.100000000000001" customHeight="1" x14ac:dyDescent="0.2">
      <c r="A59" s="8">
        <v>1</v>
      </c>
      <c r="B59" s="9" t="s">
        <v>146</v>
      </c>
      <c r="C59" s="10" t="s">
        <v>147</v>
      </c>
      <c r="D59" s="13" t="s">
        <v>115</v>
      </c>
      <c r="E59" s="758">
        <v>324000</v>
      </c>
    </row>
    <row r="60" spans="1:5" ht="20.100000000000001" customHeight="1" x14ac:dyDescent="0.2">
      <c r="A60" s="8">
        <v>2</v>
      </c>
      <c r="B60" s="9" t="s">
        <v>148</v>
      </c>
      <c r="C60" s="10" t="s">
        <v>149</v>
      </c>
      <c r="D60" s="13" t="s">
        <v>150</v>
      </c>
      <c r="E60" s="758">
        <v>151200</v>
      </c>
    </row>
    <row r="61" spans="1:5" ht="20.100000000000001" customHeight="1" x14ac:dyDescent="0.5">
      <c r="A61" s="8"/>
      <c r="B61" s="18" t="s">
        <v>111</v>
      </c>
      <c r="C61" s="19">
        <v>2</v>
      </c>
      <c r="D61" s="19"/>
      <c r="E61" s="761">
        <f>SUM(E59:E60)</f>
        <v>475200</v>
      </c>
    </row>
    <row r="62" spans="1:5" ht="20.100000000000001" customHeight="1" x14ac:dyDescent="0.2">
      <c r="A62" s="8"/>
      <c r="B62" s="18"/>
      <c r="C62" s="19"/>
      <c r="D62" s="19"/>
      <c r="E62" s="762"/>
    </row>
    <row r="63" spans="1:5" ht="20.100000000000001" customHeight="1" x14ac:dyDescent="0.2">
      <c r="A63" s="8"/>
      <c r="B63" s="18" t="s">
        <v>151</v>
      </c>
      <c r="C63" s="19"/>
      <c r="D63" s="19"/>
      <c r="E63" s="762"/>
    </row>
    <row r="64" spans="1:5" ht="20.100000000000001" customHeight="1" x14ac:dyDescent="0.2">
      <c r="A64" s="8">
        <v>1</v>
      </c>
      <c r="B64" s="12" t="s">
        <v>152</v>
      </c>
      <c r="C64" s="2" t="s">
        <v>153</v>
      </c>
      <c r="D64" s="8" t="s">
        <v>154</v>
      </c>
      <c r="E64" s="758">
        <v>216000</v>
      </c>
    </row>
    <row r="65" spans="1:5" ht="20.100000000000001" customHeight="1" x14ac:dyDescent="0.2">
      <c r="A65" s="8">
        <v>2</v>
      </c>
      <c r="B65" s="9" t="s">
        <v>155</v>
      </c>
      <c r="C65" s="2" t="s">
        <v>156</v>
      </c>
      <c r="D65" s="8" t="s">
        <v>46</v>
      </c>
      <c r="E65" s="758">
        <v>108000</v>
      </c>
    </row>
    <row r="66" spans="1:5" ht="20.100000000000001" customHeight="1" x14ac:dyDescent="0.2">
      <c r="A66" s="8">
        <v>3</v>
      </c>
      <c r="B66" s="9" t="s">
        <v>161</v>
      </c>
      <c r="C66" s="2" t="s">
        <v>139</v>
      </c>
      <c r="D66" s="8" t="s">
        <v>162</v>
      </c>
      <c r="E66" s="758">
        <v>81600</v>
      </c>
    </row>
    <row r="67" spans="1:5" ht="20.100000000000001" customHeight="1" x14ac:dyDescent="0.2">
      <c r="A67" s="8">
        <v>4</v>
      </c>
      <c r="B67" s="9" t="s">
        <v>163</v>
      </c>
      <c r="C67" s="15" t="s">
        <v>70</v>
      </c>
      <c r="D67" s="8" t="s">
        <v>162</v>
      </c>
      <c r="E67" s="758">
        <v>81600</v>
      </c>
    </row>
    <row r="68" spans="1:5" ht="20.100000000000001" customHeight="1" x14ac:dyDescent="0.2">
      <c r="A68" s="8">
        <v>5</v>
      </c>
      <c r="B68" s="9" t="s">
        <v>164</v>
      </c>
      <c r="C68" s="15" t="s">
        <v>70</v>
      </c>
      <c r="D68" s="8" t="s">
        <v>162</v>
      </c>
      <c r="E68" s="758">
        <v>81600</v>
      </c>
    </row>
    <row r="69" spans="1:5" ht="20.100000000000001" customHeight="1" x14ac:dyDescent="0.2">
      <c r="A69" s="8">
        <v>6</v>
      </c>
      <c r="B69" s="9" t="s">
        <v>165</v>
      </c>
      <c r="C69" s="2" t="s">
        <v>166</v>
      </c>
      <c r="D69" s="8" t="s">
        <v>65</v>
      </c>
      <c r="E69" s="758">
        <v>81600</v>
      </c>
    </row>
    <row r="70" spans="1:5" ht="21.6" customHeight="1" x14ac:dyDescent="0.2">
      <c r="A70" s="8">
        <v>7</v>
      </c>
      <c r="B70" s="9" t="s">
        <v>168</v>
      </c>
      <c r="C70" s="2" t="s">
        <v>139</v>
      </c>
      <c r="D70" s="8" t="s">
        <v>119</v>
      </c>
      <c r="E70" s="758">
        <v>81600</v>
      </c>
    </row>
    <row r="71" spans="1:5" ht="27" customHeight="1" x14ac:dyDescent="0.5">
      <c r="A71" s="8"/>
      <c r="B71" s="18" t="s">
        <v>111</v>
      </c>
      <c r="C71" s="19">
        <v>7</v>
      </c>
      <c r="D71" s="19"/>
      <c r="E71" s="761">
        <f>SUM(E64:E70)</f>
        <v>732000</v>
      </c>
    </row>
    <row r="72" spans="1:5" ht="20.100000000000001" customHeight="1" x14ac:dyDescent="0.2">
      <c r="A72" s="8"/>
      <c r="B72" s="20"/>
      <c r="C72" s="19"/>
      <c r="D72" s="19"/>
      <c r="E72" s="762"/>
    </row>
    <row r="73" spans="1:5" ht="20.100000000000001" customHeight="1" x14ac:dyDescent="0.2">
      <c r="A73" s="8"/>
      <c r="B73" s="18" t="s">
        <v>169</v>
      </c>
      <c r="C73" s="19"/>
      <c r="D73" s="19"/>
      <c r="E73" s="762"/>
    </row>
    <row r="74" spans="1:5" ht="20.100000000000001" customHeight="1" x14ac:dyDescent="0.2">
      <c r="A74" s="8">
        <v>1</v>
      </c>
      <c r="B74" s="9" t="s">
        <v>170</v>
      </c>
      <c r="C74" s="2" t="s">
        <v>171</v>
      </c>
      <c r="D74" s="8" t="s">
        <v>115</v>
      </c>
      <c r="E74" s="758">
        <v>324000</v>
      </c>
    </row>
    <row r="75" spans="1:5" ht="20.100000000000001" customHeight="1" x14ac:dyDescent="0.2">
      <c r="A75" s="8">
        <v>2</v>
      </c>
      <c r="B75" s="9" t="s">
        <v>172</v>
      </c>
      <c r="C75" s="2" t="s">
        <v>173</v>
      </c>
      <c r="D75" s="8" t="s">
        <v>49</v>
      </c>
      <c r="E75" s="758">
        <v>151200</v>
      </c>
    </row>
    <row r="76" spans="1:5" ht="20.100000000000001" customHeight="1" x14ac:dyDescent="0.2">
      <c r="A76" s="8">
        <v>3</v>
      </c>
      <c r="B76" s="9" t="s">
        <v>174</v>
      </c>
      <c r="C76" s="2" t="s">
        <v>175</v>
      </c>
      <c r="D76" s="13" t="s">
        <v>176</v>
      </c>
      <c r="E76" s="758">
        <v>108000</v>
      </c>
    </row>
    <row r="77" spans="1:5" ht="20.100000000000001" customHeight="1" x14ac:dyDescent="0.2">
      <c r="A77" s="8">
        <v>4</v>
      </c>
      <c r="B77" s="9" t="s">
        <v>181</v>
      </c>
      <c r="C77" s="2" t="s">
        <v>182</v>
      </c>
      <c r="D77" s="8" t="s">
        <v>68</v>
      </c>
      <c r="E77" s="758">
        <v>81600</v>
      </c>
    </row>
    <row r="78" spans="1:5" ht="20.100000000000001" customHeight="1" x14ac:dyDescent="0.2">
      <c r="A78" s="8">
        <v>5</v>
      </c>
      <c r="B78" s="9" t="s">
        <v>183</v>
      </c>
      <c r="C78" s="2" t="s">
        <v>184</v>
      </c>
      <c r="D78" s="8" t="s">
        <v>87</v>
      </c>
      <c r="E78" s="758">
        <v>64800</v>
      </c>
    </row>
    <row r="79" spans="1:5" ht="20.100000000000001" customHeight="1" x14ac:dyDescent="0.2">
      <c r="A79" s="8">
        <v>6</v>
      </c>
      <c r="B79" s="9" t="s">
        <v>185</v>
      </c>
      <c r="C79" s="2" t="s">
        <v>186</v>
      </c>
      <c r="D79" s="8" t="s">
        <v>102</v>
      </c>
      <c r="E79" s="758">
        <v>64800</v>
      </c>
    </row>
    <row r="80" spans="1:5" ht="20.100000000000001" customHeight="1" x14ac:dyDescent="0.5">
      <c r="A80" s="8"/>
      <c r="B80" s="18" t="s">
        <v>111</v>
      </c>
      <c r="C80" s="19">
        <v>6</v>
      </c>
      <c r="D80" s="19"/>
      <c r="E80" s="761">
        <f>SUM(E74:E79)</f>
        <v>794400</v>
      </c>
    </row>
    <row r="81" spans="1:5" ht="20.100000000000001" customHeight="1" x14ac:dyDescent="0.2">
      <c r="A81" s="8"/>
      <c r="B81" s="18"/>
      <c r="C81" s="19"/>
      <c r="D81" s="19"/>
      <c r="E81" s="762"/>
    </row>
    <row r="82" spans="1:5" ht="20.100000000000001" customHeight="1" x14ac:dyDescent="0.2">
      <c r="A82" s="8"/>
      <c r="B82" s="18" t="s">
        <v>187</v>
      </c>
      <c r="C82" s="23"/>
      <c r="D82" s="19"/>
      <c r="E82" s="762"/>
    </row>
    <row r="83" spans="1:5" ht="20.100000000000001" customHeight="1" x14ac:dyDescent="0.2">
      <c r="A83" s="8">
        <v>1</v>
      </c>
      <c r="B83" s="9" t="s">
        <v>188</v>
      </c>
      <c r="C83" s="2" t="s">
        <v>130</v>
      </c>
      <c r="D83" s="8" t="s">
        <v>128</v>
      </c>
      <c r="E83" s="758">
        <v>324000</v>
      </c>
    </row>
    <row r="84" spans="1:5" ht="20.100000000000001" customHeight="1" x14ac:dyDescent="0.2">
      <c r="A84" s="8">
        <v>2</v>
      </c>
      <c r="B84" s="9" t="s">
        <v>190</v>
      </c>
      <c r="C84" s="2" t="s">
        <v>191</v>
      </c>
      <c r="D84" s="8" t="s">
        <v>192</v>
      </c>
      <c r="E84" s="758">
        <v>216000</v>
      </c>
    </row>
    <row r="85" spans="1:5" ht="20.100000000000001" customHeight="1" x14ac:dyDescent="0.2">
      <c r="A85" s="8">
        <v>3</v>
      </c>
      <c r="B85" s="9" t="s">
        <v>193</v>
      </c>
      <c r="C85" s="2" t="s">
        <v>130</v>
      </c>
      <c r="D85" s="8" t="s">
        <v>38</v>
      </c>
      <c r="E85" s="758">
        <v>151200</v>
      </c>
    </row>
    <row r="86" spans="1:5" ht="21.6" customHeight="1" x14ac:dyDescent="0.2">
      <c r="A86" s="8">
        <v>4</v>
      </c>
      <c r="B86" s="9" t="s">
        <v>194</v>
      </c>
      <c r="C86" s="2" t="s">
        <v>156</v>
      </c>
      <c r="D86" s="13" t="s">
        <v>46</v>
      </c>
      <c r="E86" s="758">
        <v>108000</v>
      </c>
    </row>
    <row r="87" spans="1:5" ht="21.6" customHeight="1" x14ac:dyDescent="0.2">
      <c r="A87" s="8">
        <v>5</v>
      </c>
      <c r="B87" s="9" t="s">
        <v>195</v>
      </c>
      <c r="C87" s="2" t="s">
        <v>156</v>
      </c>
      <c r="D87" s="13" t="s">
        <v>46</v>
      </c>
      <c r="E87" s="758">
        <v>108000</v>
      </c>
    </row>
    <row r="88" spans="1:5" ht="21.6" customHeight="1" x14ac:dyDescent="0.2">
      <c r="A88" s="8">
        <v>6</v>
      </c>
      <c r="B88" s="9" t="s">
        <v>196</v>
      </c>
      <c r="C88" s="10" t="s">
        <v>156</v>
      </c>
      <c r="D88" s="13" t="s">
        <v>197</v>
      </c>
      <c r="E88" s="758">
        <v>108000</v>
      </c>
    </row>
    <row r="89" spans="1:5" ht="21.6" customHeight="1" x14ac:dyDescent="0.2">
      <c r="A89" s="8">
        <v>7</v>
      </c>
      <c r="B89" s="9" t="s">
        <v>198</v>
      </c>
      <c r="C89" s="15" t="s">
        <v>70</v>
      </c>
      <c r="D89" s="13" t="s">
        <v>162</v>
      </c>
      <c r="E89" s="758">
        <v>81600</v>
      </c>
    </row>
    <row r="90" spans="1:5" ht="21.6" customHeight="1" x14ac:dyDescent="0.2">
      <c r="A90" s="8">
        <v>8</v>
      </c>
      <c r="B90" s="9" t="s">
        <v>199</v>
      </c>
      <c r="C90" s="15" t="s">
        <v>158</v>
      </c>
      <c r="D90" s="13" t="s">
        <v>200</v>
      </c>
      <c r="E90" s="758">
        <v>108000</v>
      </c>
    </row>
    <row r="91" spans="1:5" ht="21.6" customHeight="1" x14ac:dyDescent="0.2">
      <c r="A91" s="8">
        <v>9</v>
      </c>
      <c r="B91" s="9" t="s">
        <v>202</v>
      </c>
      <c r="C91" s="2" t="s">
        <v>203</v>
      </c>
      <c r="D91" s="8" t="s">
        <v>119</v>
      </c>
      <c r="E91" s="763">
        <v>81600</v>
      </c>
    </row>
    <row r="92" spans="1:5" ht="21.6" customHeight="1" x14ac:dyDescent="0.2">
      <c r="A92" s="8">
        <v>10</v>
      </c>
      <c r="B92" s="9" t="s">
        <v>204</v>
      </c>
      <c r="C92" s="15" t="s">
        <v>205</v>
      </c>
      <c r="D92" s="13" t="s">
        <v>206</v>
      </c>
      <c r="E92" s="763">
        <v>64800</v>
      </c>
    </row>
    <row r="93" spans="1:5" ht="20.100000000000001" customHeight="1" x14ac:dyDescent="0.5">
      <c r="A93" s="8"/>
      <c r="B93" s="18" t="s">
        <v>111</v>
      </c>
      <c r="C93" s="19">
        <v>10</v>
      </c>
      <c r="D93" s="19"/>
      <c r="E93" s="761">
        <f>SUM(E83:E92)</f>
        <v>1351200</v>
      </c>
    </row>
    <row r="94" spans="1:5" ht="20.100000000000001" customHeight="1" x14ac:dyDescent="0.2">
      <c r="A94" s="8"/>
      <c r="B94" s="20"/>
      <c r="C94" s="19"/>
      <c r="D94" s="19"/>
      <c r="E94" s="762"/>
    </row>
    <row r="95" spans="1:5" ht="20.100000000000001" customHeight="1" x14ac:dyDescent="0.2">
      <c r="A95" s="8"/>
      <c r="B95" s="18" t="s">
        <v>207</v>
      </c>
      <c r="C95" s="19"/>
      <c r="D95" s="19"/>
      <c r="E95" s="762"/>
    </row>
    <row r="96" spans="1:5" ht="20.100000000000001" customHeight="1" x14ac:dyDescent="0.2">
      <c r="A96" s="8">
        <v>1</v>
      </c>
      <c r="B96" s="12" t="s">
        <v>208</v>
      </c>
      <c r="C96" s="2" t="s">
        <v>209</v>
      </c>
      <c r="D96" s="14" t="s">
        <v>210</v>
      </c>
      <c r="E96" s="758">
        <v>324000</v>
      </c>
    </row>
    <row r="97" spans="1:5" ht="20.100000000000001" customHeight="1" x14ac:dyDescent="0.2">
      <c r="A97" s="8">
        <v>2</v>
      </c>
      <c r="B97" s="9" t="s">
        <v>211</v>
      </c>
      <c r="C97" s="2" t="s">
        <v>212</v>
      </c>
      <c r="D97" s="13" t="s">
        <v>176</v>
      </c>
      <c r="E97" s="758">
        <v>108000</v>
      </c>
    </row>
    <row r="98" spans="1:5" ht="20.100000000000001" customHeight="1" x14ac:dyDescent="0.2">
      <c r="A98" s="8">
        <v>3</v>
      </c>
      <c r="B98" s="9" t="s">
        <v>213</v>
      </c>
      <c r="C98" s="10" t="s">
        <v>214</v>
      </c>
      <c r="D98" s="13" t="s">
        <v>200</v>
      </c>
      <c r="E98" s="758">
        <v>108000</v>
      </c>
    </row>
    <row r="99" spans="1:5" ht="20.100000000000001" customHeight="1" x14ac:dyDescent="0.2">
      <c r="A99" s="8">
        <v>4</v>
      </c>
      <c r="B99" s="9" t="s">
        <v>217</v>
      </c>
      <c r="C99" s="2" t="s">
        <v>218</v>
      </c>
      <c r="D99" s="13" t="s">
        <v>65</v>
      </c>
      <c r="E99" s="758">
        <v>81600</v>
      </c>
    </row>
    <row r="100" spans="1:5" ht="20.100000000000001" customHeight="1" x14ac:dyDescent="0.2">
      <c r="A100" s="8">
        <v>5</v>
      </c>
      <c r="B100" s="9" t="s">
        <v>219</v>
      </c>
      <c r="C100" s="2" t="s">
        <v>220</v>
      </c>
      <c r="D100" s="13" t="s">
        <v>119</v>
      </c>
      <c r="E100" s="763">
        <v>81600</v>
      </c>
    </row>
    <row r="101" spans="1:5" ht="20.100000000000001" customHeight="1" x14ac:dyDescent="0.5">
      <c r="A101" s="2"/>
      <c r="B101" s="18" t="s">
        <v>111</v>
      </c>
      <c r="C101" s="19">
        <v>5</v>
      </c>
      <c r="D101" s="24"/>
      <c r="E101" s="761">
        <f>SUM(E96:E100)</f>
        <v>703200</v>
      </c>
    </row>
    <row r="102" spans="1:5" ht="20.100000000000001" customHeight="1" x14ac:dyDescent="0.2">
      <c r="A102" s="2"/>
      <c r="B102" s="20"/>
      <c r="C102" s="19"/>
      <c r="D102" s="24"/>
      <c r="E102" s="762"/>
    </row>
    <row r="103" spans="1:5" ht="20.100000000000001" customHeight="1" x14ac:dyDescent="0.2">
      <c r="A103" s="2"/>
      <c r="B103" s="18" t="s">
        <v>221</v>
      </c>
      <c r="C103" s="2"/>
      <c r="D103" s="2"/>
      <c r="E103" s="764"/>
    </row>
    <row r="104" spans="1:5" ht="20.100000000000001" customHeight="1" x14ac:dyDescent="0.2">
      <c r="A104" s="2">
        <v>1</v>
      </c>
      <c r="B104" s="9" t="s">
        <v>222</v>
      </c>
      <c r="C104" s="10" t="s">
        <v>223</v>
      </c>
      <c r="D104" s="13" t="s">
        <v>115</v>
      </c>
      <c r="E104" s="758">
        <v>324000</v>
      </c>
    </row>
    <row r="105" spans="1:5" ht="20.100000000000001" customHeight="1" x14ac:dyDescent="0.2">
      <c r="A105" s="2">
        <v>2</v>
      </c>
      <c r="B105" s="9" t="s">
        <v>224</v>
      </c>
      <c r="C105" s="2" t="s">
        <v>225</v>
      </c>
      <c r="D105" s="14" t="s">
        <v>154</v>
      </c>
      <c r="E105" s="758">
        <v>216000</v>
      </c>
    </row>
    <row r="106" spans="1:5" ht="20.100000000000001" customHeight="1" x14ac:dyDescent="0.2">
      <c r="A106" s="2">
        <v>3</v>
      </c>
      <c r="B106" s="9" t="s">
        <v>226</v>
      </c>
      <c r="C106" s="2" t="s">
        <v>227</v>
      </c>
      <c r="D106" s="8" t="s">
        <v>52</v>
      </c>
      <c r="E106" s="758">
        <v>108000</v>
      </c>
    </row>
    <row r="107" spans="1:5" ht="20.100000000000001" customHeight="1" x14ac:dyDescent="0.2">
      <c r="A107" s="2">
        <v>4</v>
      </c>
      <c r="B107" s="9" t="s">
        <v>228</v>
      </c>
      <c r="C107" s="2" t="s">
        <v>227</v>
      </c>
      <c r="D107" s="8" t="s">
        <v>52</v>
      </c>
      <c r="E107" s="758">
        <v>108000</v>
      </c>
    </row>
    <row r="108" spans="1:5" ht="20.100000000000001" customHeight="1" x14ac:dyDescent="0.2">
      <c r="A108" s="2">
        <v>5</v>
      </c>
      <c r="B108" s="9" t="s">
        <v>230</v>
      </c>
      <c r="C108" s="2" t="s">
        <v>231</v>
      </c>
      <c r="D108" s="13" t="s">
        <v>232</v>
      </c>
      <c r="E108" s="763">
        <v>64800</v>
      </c>
    </row>
    <row r="109" spans="1:5" ht="20.100000000000001" customHeight="1" x14ac:dyDescent="0.2">
      <c r="A109" s="2">
        <v>6</v>
      </c>
      <c r="B109" s="16" t="s">
        <v>233</v>
      </c>
      <c r="C109" s="2" t="s">
        <v>231</v>
      </c>
      <c r="D109" s="8" t="s">
        <v>96</v>
      </c>
      <c r="E109" s="763">
        <v>64800</v>
      </c>
    </row>
    <row r="110" spans="1:5" ht="20.100000000000001" customHeight="1" x14ac:dyDescent="0.2">
      <c r="A110" s="2">
        <v>7</v>
      </c>
      <c r="B110" s="16" t="s">
        <v>234</v>
      </c>
      <c r="C110" s="2" t="s">
        <v>231</v>
      </c>
      <c r="D110" s="13" t="s">
        <v>206</v>
      </c>
      <c r="E110" s="763">
        <v>64800</v>
      </c>
    </row>
    <row r="111" spans="1:5" ht="25.5" customHeight="1" x14ac:dyDescent="0.5">
      <c r="A111" s="2"/>
      <c r="B111" s="18" t="s">
        <v>111</v>
      </c>
      <c r="C111" s="19">
        <v>7</v>
      </c>
      <c r="D111" s="2"/>
      <c r="E111" s="765">
        <f>SUM(E104:E110)</f>
        <v>950400</v>
      </c>
    </row>
    <row r="112" spans="1:5" ht="20.100000000000001" customHeight="1" x14ac:dyDescent="0.5">
      <c r="A112" s="2"/>
      <c r="B112" s="18"/>
      <c r="C112" s="19"/>
      <c r="D112" s="2"/>
      <c r="E112" s="765"/>
    </row>
    <row r="113" spans="1:5" ht="20.100000000000001" customHeight="1" x14ac:dyDescent="0.2">
      <c r="A113" s="8"/>
      <c r="B113" s="18" t="s">
        <v>235</v>
      </c>
      <c r="C113" s="19"/>
      <c r="D113" s="19"/>
      <c r="E113" s="762"/>
    </row>
    <row r="114" spans="1:5" ht="18.75" customHeight="1" x14ac:dyDescent="0.2">
      <c r="A114" s="8">
        <v>1</v>
      </c>
      <c r="B114" s="9" t="s">
        <v>236</v>
      </c>
      <c r="C114" s="2" t="s">
        <v>237</v>
      </c>
      <c r="D114" s="13" t="s">
        <v>65</v>
      </c>
      <c r="E114" s="758">
        <v>81600</v>
      </c>
    </row>
    <row r="115" spans="1:5" ht="18.75" customHeight="1" x14ac:dyDescent="0.2">
      <c r="A115" s="8">
        <v>2</v>
      </c>
      <c r="B115" s="9" t="s">
        <v>238</v>
      </c>
      <c r="C115" s="2" t="s">
        <v>70</v>
      </c>
      <c r="D115" s="13" t="s">
        <v>162</v>
      </c>
      <c r="E115" s="758">
        <v>81600</v>
      </c>
    </row>
    <row r="116" spans="1:5" ht="20.100000000000001" customHeight="1" x14ac:dyDescent="0.2">
      <c r="A116" s="8">
        <v>3</v>
      </c>
      <c r="B116" s="9" t="s">
        <v>177</v>
      </c>
      <c r="C116" s="10" t="s">
        <v>178</v>
      </c>
      <c r="D116" s="13" t="s">
        <v>159</v>
      </c>
      <c r="E116" s="758">
        <v>108000</v>
      </c>
    </row>
    <row r="117" spans="1:5" ht="24.75" customHeight="1" x14ac:dyDescent="0.5">
      <c r="A117" s="2"/>
      <c r="B117" s="18" t="s">
        <v>111</v>
      </c>
      <c r="C117" s="19">
        <v>3</v>
      </c>
      <c r="D117" s="24"/>
      <c r="E117" s="761">
        <f>SUM(E114:E116)</f>
        <v>271200</v>
      </c>
    </row>
    <row r="118" spans="1:5" ht="24.75" customHeight="1" x14ac:dyDescent="0.5">
      <c r="A118" s="2"/>
      <c r="B118" s="18"/>
      <c r="C118" s="19"/>
      <c r="D118" s="24"/>
      <c r="E118" s="761"/>
    </row>
    <row r="119" spans="1:5" ht="24.75" customHeight="1" x14ac:dyDescent="0.2">
      <c r="A119" s="8"/>
      <c r="B119" s="18" t="s">
        <v>243</v>
      </c>
      <c r="C119" s="19"/>
      <c r="D119" s="19"/>
      <c r="E119" s="762"/>
    </row>
    <row r="120" spans="1:5" ht="24.75" customHeight="1" x14ac:dyDescent="0.2">
      <c r="A120" s="8">
        <v>1</v>
      </c>
      <c r="B120" s="9" t="s">
        <v>246</v>
      </c>
      <c r="C120" s="2" t="s">
        <v>247</v>
      </c>
      <c r="D120" s="8" t="s">
        <v>108</v>
      </c>
      <c r="E120" s="758">
        <v>64800</v>
      </c>
    </row>
    <row r="121" spans="1:5" ht="24.75" customHeight="1" x14ac:dyDescent="0.2">
      <c r="A121" s="8">
        <v>2</v>
      </c>
      <c r="B121" s="9" t="s">
        <v>248</v>
      </c>
      <c r="C121" s="2" t="s">
        <v>249</v>
      </c>
      <c r="D121" s="8" t="s">
        <v>108</v>
      </c>
      <c r="E121" s="758">
        <v>64800</v>
      </c>
    </row>
    <row r="122" spans="1:5" ht="20.100000000000001" customHeight="1" x14ac:dyDescent="0.5">
      <c r="A122" s="2"/>
      <c r="B122" s="18" t="s">
        <v>111</v>
      </c>
      <c r="C122" s="19">
        <v>2</v>
      </c>
      <c r="D122" s="24"/>
      <c r="E122" s="761">
        <f>SUM(E120:E121)</f>
        <v>129600</v>
      </c>
    </row>
    <row r="123" spans="1:5" ht="20.100000000000001" customHeight="1" x14ac:dyDescent="0.5">
      <c r="A123" s="2"/>
      <c r="B123" s="18"/>
      <c r="C123" s="19"/>
      <c r="D123" s="24"/>
      <c r="E123" s="761"/>
    </row>
    <row r="124" spans="1:5" ht="20.100000000000001" customHeight="1" x14ac:dyDescent="0.2">
      <c r="A124" s="2"/>
      <c r="B124" s="18" t="s">
        <v>250</v>
      </c>
      <c r="C124" s="19"/>
      <c r="D124" s="19"/>
      <c r="E124" s="762"/>
    </row>
    <row r="125" spans="1:5" ht="20.100000000000001" customHeight="1" x14ac:dyDescent="0.2">
      <c r="A125" s="2">
        <v>1</v>
      </c>
      <c r="B125" s="9" t="s">
        <v>251</v>
      </c>
      <c r="C125" s="10" t="s">
        <v>252</v>
      </c>
      <c r="D125" s="13" t="s">
        <v>115</v>
      </c>
      <c r="E125" s="758">
        <v>324000</v>
      </c>
    </row>
    <row r="126" spans="1:5" ht="20.100000000000001" customHeight="1" x14ac:dyDescent="0.2">
      <c r="A126" s="2">
        <v>2</v>
      </c>
      <c r="B126" s="9" t="s">
        <v>253</v>
      </c>
      <c r="C126" s="10" t="s">
        <v>254</v>
      </c>
      <c r="D126" s="13" t="s">
        <v>154</v>
      </c>
      <c r="E126" s="758">
        <v>216000</v>
      </c>
    </row>
    <row r="127" spans="1:5" ht="20.100000000000001" customHeight="1" x14ac:dyDescent="0.2">
      <c r="A127" s="2">
        <v>3</v>
      </c>
      <c r="B127" s="12" t="s">
        <v>255</v>
      </c>
      <c r="C127" s="10" t="s">
        <v>256</v>
      </c>
      <c r="D127" s="13" t="s">
        <v>192</v>
      </c>
      <c r="E127" s="758">
        <v>216000</v>
      </c>
    </row>
    <row r="128" spans="1:5" ht="20.100000000000001" customHeight="1" x14ac:dyDescent="0.2">
      <c r="A128" s="2">
        <v>4</v>
      </c>
      <c r="B128" s="9" t="s">
        <v>257</v>
      </c>
      <c r="C128" s="10" t="s">
        <v>258</v>
      </c>
      <c r="D128" s="13" t="s">
        <v>41</v>
      </c>
      <c r="E128" s="758">
        <v>108000</v>
      </c>
    </row>
    <row r="129" spans="1:5" ht="20.100000000000001" customHeight="1" x14ac:dyDescent="0.2">
      <c r="A129" s="2">
        <v>5</v>
      </c>
      <c r="B129" s="9" t="s">
        <v>259</v>
      </c>
      <c r="C129" s="10" t="s">
        <v>489</v>
      </c>
      <c r="D129" s="13" t="s">
        <v>46</v>
      </c>
      <c r="E129" s="758">
        <v>108000</v>
      </c>
    </row>
    <row r="130" spans="1:5" ht="20.100000000000001" customHeight="1" x14ac:dyDescent="0.2">
      <c r="A130" s="2">
        <v>6</v>
      </c>
      <c r="B130" s="9" t="s">
        <v>260</v>
      </c>
      <c r="C130" s="10" t="s">
        <v>258</v>
      </c>
      <c r="D130" s="13" t="s">
        <v>176</v>
      </c>
      <c r="E130" s="758">
        <v>108000</v>
      </c>
    </row>
    <row r="131" spans="1:5" ht="20.100000000000001" customHeight="1" x14ac:dyDescent="0.2">
      <c r="A131" s="2">
        <v>7</v>
      </c>
      <c r="B131" s="9" t="s">
        <v>263</v>
      </c>
      <c r="C131" s="10" t="s">
        <v>264</v>
      </c>
      <c r="D131" s="8" t="s">
        <v>79</v>
      </c>
      <c r="E131" s="758">
        <v>64800</v>
      </c>
    </row>
    <row r="132" spans="1:5" ht="20.100000000000001" customHeight="1" x14ac:dyDescent="0.2">
      <c r="A132" s="2">
        <v>8</v>
      </c>
      <c r="B132" s="16" t="s">
        <v>265</v>
      </c>
      <c r="C132" s="10" t="s">
        <v>266</v>
      </c>
      <c r="D132" s="13" t="s">
        <v>102</v>
      </c>
      <c r="E132" s="758">
        <v>64800</v>
      </c>
    </row>
    <row r="133" spans="1:5" ht="20.100000000000001" customHeight="1" x14ac:dyDescent="0.2">
      <c r="A133" s="2">
        <v>9</v>
      </c>
      <c r="B133" s="16" t="s">
        <v>267</v>
      </c>
      <c r="C133" s="10" t="s">
        <v>262</v>
      </c>
      <c r="D133" s="13" t="s">
        <v>102</v>
      </c>
      <c r="E133" s="758">
        <v>64800</v>
      </c>
    </row>
    <row r="134" spans="1:5" ht="20.100000000000001" customHeight="1" x14ac:dyDescent="0.2">
      <c r="A134" s="2">
        <v>10</v>
      </c>
      <c r="B134" s="16" t="s">
        <v>268</v>
      </c>
      <c r="C134" s="10" t="s">
        <v>266</v>
      </c>
      <c r="D134" s="13" t="s">
        <v>105</v>
      </c>
      <c r="E134" s="758">
        <v>64800</v>
      </c>
    </row>
    <row r="135" spans="1:5" ht="28.5" customHeight="1" x14ac:dyDescent="0.2">
      <c r="A135" s="2"/>
      <c r="B135" s="18" t="s">
        <v>111</v>
      </c>
      <c r="C135" s="24" t="s">
        <v>490</v>
      </c>
      <c r="D135" s="13"/>
      <c r="E135" s="762">
        <f>SUM(E125:E134)</f>
        <v>1339200</v>
      </c>
    </row>
    <row r="136" spans="1:5" ht="20.100000000000001" customHeight="1" x14ac:dyDescent="0.2">
      <c r="A136" s="2"/>
      <c r="B136" s="20"/>
      <c r="C136" s="24"/>
      <c r="D136" s="13"/>
      <c r="E136" s="762"/>
    </row>
    <row r="137" spans="1:5" ht="20.100000000000001" customHeight="1" x14ac:dyDescent="0.2">
      <c r="A137" s="2"/>
      <c r="B137" s="18" t="s">
        <v>270</v>
      </c>
      <c r="C137" s="10"/>
      <c r="D137" s="13"/>
      <c r="E137" s="758"/>
    </row>
    <row r="138" spans="1:5" ht="20.100000000000001" customHeight="1" x14ac:dyDescent="0.2">
      <c r="A138" s="25">
        <v>1</v>
      </c>
      <c r="B138" s="12" t="s">
        <v>271</v>
      </c>
      <c r="C138" s="2" t="s">
        <v>272</v>
      </c>
      <c r="D138" s="8" t="s">
        <v>273</v>
      </c>
      <c r="E138" s="758">
        <v>324000</v>
      </c>
    </row>
    <row r="139" spans="1:5" ht="20.100000000000001" customHeight="1" x14ac:dyDescent="0.2">
      <c r="A139" s="25">
        <v>2</v>
      </c>
      <c r="B139" s="12" t="s">
        <v>274</v>
      </c>
      <c r="C139" s="2" t="s">
        <v>275</v>
      </c>
      <c r="D139" s="14" t="s">
        <v>154</v>
      </c>
      <c r="E139" s="758">
        <v>216000</v>
      </c>
    </row>
    <row r="140" spans="1:5" ht="20.100000000000001" customHeight="1" x14ac:dyDescent="0.2">
      <c r="A140" s="25">
        <v>3</v>
      </c>
      <c r="B140" s="9" t="s">
        <v>276</v>
      </c>
      <c r="C140" s="10" t="s">
        <v>277</v>
      </c>
      <c r="D140" s="13" t="s">
        <v>49</v>
      </c>
      <c r="E140" s="758">
        <v>151200</v>
      </c>
    </row>
    <row r="141" spans="1:5" ht="20.100000000000001" customHeight="1" x14ac:dyDescent="0.2">
      <c r="A141" s="25">
        <v>4</v>
      </c>
      <c r="B141" s="9" t="s">
        <v>278</v>
      </c>
      <c r="C141" s="2" t="s">
        <v>279</v>
      </c>
      <c r="D141" s="13" t="s">
        <v>49</v>
      </c>
      <c r="E141" s="758">
        <v>151200</v>
      </c>
    </row>
    <row r="142" spans="1:5" ht="20.100000000000001" customHeight="1" x14ac:dyDescent="0.2">
      <c r="A142" s="25">
        <v>5</v>
      </c>
      <c r="B142" s="9" t="s">
        <v>280</v>
      </c>
      <c r="C142" s="2" t="s">
        <v>279</v>
      </c>
      <c r="D142" s="13" t="s">
        <v>49</v>
      </c>
      <c r="E142" s="758">
        <v>151200</v>
      </c>
    </row>
    <row r="143" spans="1:5" ht="20.100000000000001" customHeight="1" x14ac:dyDescent="0.2">
      <c r="A143" s="25">
        <v>6</v>
      </c>
      <c r="B143" s="9" t="s">
        <v>281</v>
      </c>
      <c r="C143" s="10" t="s">
        <v>214</v>
      </c>
      <c r="D143" s="13" t="s">
        <v>159</v>
      </c>
      <c r="E143" s="758">
        <v>108000</v>
      </c>
    </row>
    <row r="144" spans="1:5" ht="20.100000000000001" customHeight="1" x14ac:dyDescent="0.2">
      <c r="A144" s="25">
        <v>7</v>
      </c>
      <c r="B144" s="9" t="s">
        <v>282</v>
      </c>
      <c r="C144" s="2" t="s">
        <v>491</v>
      </c>
      <c r="D144" s="13" t="s">
        <v>159</v>
      </c>
      <c r="E144" s="758">
        <v>108000</v>
      </c>
    </row>
    <row r="145" spans="1:5" ht="20.100000000000001" customHeight="1" x14ac:dyDescent="0.2">
      <c r="A145" s="25">
        <v>8</v>
      </c>
      <c r="B145" s="9" t="s">
        <v>284</v>
      </c>
      <c r="C145" s="10" t="s">
        <v>285</v>
      </c>
      <c r="D145" s="13" t="s">
        <v>65</v>
      </c>
      <c r="E145" s="758">
        <v>81600</v>
      </c>
    </row>
    <row r="146" spans="1:5" ht="20.100000000000001" customHeight="1" x14ac:dyDescent="0.2">
      <c r="A146" s="25">
        <v>9</v>
      </c>
      <c r="B146" s="9" t="s">
        <v>286</v>
      </c>
      <c r="C146" s="10" t="s">
        <v>287</v>
      </c>
      <c r="D146" s="13" t="s">
        <v>162</v>
      </c>
      <c r="E146" s="758">
        <v>81600</v>
      </c>
    </row>
    <row r="147" spans="1:5" ht="20.100000000000001" customHeight="1" x14ac:dyDescent="0.2">
      <c r="A147" s="25">
        <v>10</v>
      </c>
      <c r="B147" s="16" t="s">
        <v>288</v>
      </c>
      <c r="C147" s="2" t="s">
        <v>289</v>
      </c>
      <c r="D147" s="13" t="s">
        <v>68</v>
      </c>
      <c r="E147" s="758">
        <v>81600</v>
      </c>
    </row>
    <row r="148" spans="1:5" ht="20.100000000000001" customHeight="1" x14ac:dyDescent="0.2">
      <c r="A148" s="25">
        <v>11</v>
      </c>
      <c r="B148" s="9" t="s">
        <v>290</v>
      </c>
      <c r="C148" s="2" t="s">
        <v>289</v>
      </c>
      <c r="D148" s="13" t="s">
        <v>137</v>
      </c>
      <c r="E148" s="758">
        <v>81600</v>
      </c>
    </row>
    <row r="149" spans="1:5" ht="20.100000000000001" customHeight="1" x14ac:dyDescent="0.2">
      <c r="A149" s="25">
        <v>12</v>
      </c>
      <c r="B149" s="9" t="s">
        <v>291</v>
      </c>
      <c r="C149" s="2" t="s">
        <v>289</v>
      </c>
      <c r="D149" s="13" t="s">
        <v>137</v>
      </c>
      <c r="E149" s="758">
        <v>81600</v>
      </c>
    </row>
    <row r="150" spans="1:5" ht="20.100000000000001" customHeight="1" x14ac:dyDescent="0.2">
      <c r="A150" s="25">
        <v>13</v>
      </c>
      <c r="B150" s="9" t="s">
        <v>293</v>
      </c>
      <c r="C150" s="2" t="s">
        <v>289</v>
      </c>
      <c r="D150" s="13" t="s">
        <v>68</v>
      </c>
      <c r="E150" s="758">
        <v>81600</v>
      </c>
    </row>
    <row r="151" spans="1:5" ht="20.100000000000001" customHeight="1" x14ac:dyDescent="0.2">
      <c r="A151" s="25">
        <v>14</v>
      </c>
      <c r="B151" s="9" t="s">
        <v>294</v>
      </c>
      <c r="C151" s="10" t="s">
        <v>295</v>
      </c>
      <c r="D151" s="13" t="s">
        <v>119</v>
      </c>
      <c r="E151" s="758">
        <v>81600</v>
      </c>
    </row>
    <row r="152" spans="1:5" ht="20.100000000000001" customHeight="1" x14ac:dyDescent="0.2">
      <c r="A152" s="25">
        <v>15</v>
      </c>
      <c r="B152" s="9" t="s">
        <v>296</v>
      </c>
      <c r="C152" s="10" t="s">
        <v>297</v>
      </c>
      <c r="D152" s="8" t="s">
        <v>84</v>
      </c>
      <c r="E152" s="758">
        <v>64800</v>
      </c>
    </row>
    <row r="153" spans="1:5" ht="20.100000000000001" customHeight="1" x14ac:dyDescent="0.2">
      <c r="A153" s="25">
        <v>16</v>
      </c>
      <c r="B153" s="9" t="s">
        <v>298</v>
      </c>
      <c r="C153" s="10" t="s">
        <v>299</v>
      </c>
      <c r="D153" s="13" t="s">
        <v>300</v>
      </c>
      <c r="E153" s="763">
        <v>81600</v>
      </c>
    </row>
    <row r="154" spans="1:5" ht="20.100000000000001" customHeight="1" x14ac:dyDescent="0.2">
      <c r="A154" s="25">
        <v>17</v>
      </c>
      <c r="B154" s="9" t="s">
        <v>301</v>
      </c>
      <c r="C154" s="10" t="s">
        <v>302</v>
      </c>
      <c r="D154" s="13" t="s">
        <v>79</v>
      </c>
      <c r="E154" s="763">
        <v>64800</v>
      </c>
    </row>
    <row r="155" spans="1:5" ht="20.100000000000001" customHeight="1" x14ac:dyDescent="0.2">
      <c r="A155" s="25">
        <v>18</v>
      </c>
      <c r="B155" s="9" t="s">
        <v>303</v>
      </c>
      <c r="C155" s="10" t="s">
        <v>304</v>
      </c>
      <c r="D155" s="13" t="s">
        <v>300</v>
      </c>
      <c r="E155" s="763">
        <v>81600</v>
      </c>
    </row>
    <row r="156" spans="1:5" ht="20.100000000000001" customHeight="1" x14ac:dyDescent="0.2">
      <c r="A156" s="25">
        <v>19</v>
      </c>
      <c r="B156" s="9" t="s">
        <v>305</v>
      </c>
      <c r="C156" s="10" t="s">
        <v>306</v>
      </c>
      <c r="D156" s="13" t="s">
        <v>79</v>
      </c>
      <c r="E156" s="763">
        <v>64800</v>
      </c>
    </row>
    <row r="157" spans="1:5" ht="20.100000000000001" customHeight="1" x14ac:dyDescent="0.2">
      <c r="A157" s="25">
        <v>20</v>
      </c>
      <c r="B157" s="16" t="s">
        <v>307</v>
      </c>
      <c r="C157" s="10" t="s">
        <v>308</v>
      </c>
      <c r="D157" s="13" t="s">
        <v>87</v>
      </c>
      <c r="E157" s="763">
        <v>64800</v>
      </c>
    </row>
    <row r="158" spans="1:5" ht="20.100000000000001" customHeight="1" x14ac:dyDescent="0.2">
      <c r="A158" s="25">
        <v>21</v>
      </c>
      <c r="B158" s="16" t="s">
        <v>309</v>
      </c>
      <c r="C158" s="10" t="s">
        <v>308</v>
      </c>
      <c r="D158" s="13" t="s">
        <v>87</v>
      </c>
      <c r="E158" s="763">
        <v>64800</v>
      </c>
    </row>
    <row r="159" spans="1:5" ht="20.100000000000001" customHeight="1" x14ac:dyDescent="0.2">
      <c r="A159" s="25">
        <v>22</v>
      </c>
      <c r="B159" s="16" t="s">
        <v>312</v>
      </c>
      <c r="C159" s="10" t="s">
        <v>313</v>
      </c>
      <c r="D159" s="13" t="s">
        <v>102</v>
      </c>
      <c r="E159" s="758">
        <v>64800</v>
      </c>
    </row>
    <row r="160" spans="1:5" ht="20.100000000000001" customHeight="1" x14ac:dyDescent="0.2">
      <c r="A160" s="25">
        <v>23</v>
      </c>
      <c r="B160" s="16" t="s">
        <v>314</v>
      </c>
      <c r="C160" s="10" t="s">
        <v>315</v>
      </c>
      <c r="D160" s="13" t="s">
        <v>102</v>
      </c>
      <c r="E160" s="758">
        <v>64800</v>
      </c>
    </row>
    <row r="161" spans="1:5" ht="20.100000000000001" customHeight="1" x14ac:dyDescent="0.2">
      <c r="A161" s="25">
        <v>24</v>
      </c>
      <c r="B161" s="16" t="s">
        <v>316</v>
      </c>
      <c r="C161" s="10" t="s">
        <v>317</v>
      </c>
      <c r="D161" s="13" t="s">
        <v>102</v>
      </c>
      <c r="E161" s="758">
        <v>64800</v>
      </c>
    </row>
    <row r="162" spans="1:5" ht="20.100000000000001" customHeight="1" x14ac:dyDescent="0.2">
      <c r="A162" s="25">
        <v>25</v>
      </c>
      <c r="B162" s="16" t="s">
        <v>318</v>
      </c>
      <c r="C162" s="10" t="s">
        <v>319</v>
      </c>
      <c r="D162" s="13" t="s">
        <v>206</v>
      </c>
      <c r="E162" s="758">
        <v>64800</v>
      </c>
    </row>
    <row r="163" spans="1:5" ht="20.100000000000001" customHeight="1" x14ac:dyDescent="0.2">
      <c r="A163" s="25">
        <v>26</v>
      </c>
      <c r="B163" s="16" t="s">
        <v>320</v>
      </c>
      <c r="C163" s="10" t="s">
        <v>315</v>
      </c>
      <c r="D163" s="13" t="s">
        <v>102</v>
      </c>
      <c r="E163" s="758">
        <v>64800</v>
      </c>
    </row>
    <row r="164" spans="1:5" ht="20.100000000000001" customHeight="1" x14ac:dyDescent="0.2">
      <c r="A164" s="25">
        <v>27</v>
      </c>
      <c r="B164" s="16" t="s">
        <v>321</v>
      </c>
      <c r="C164" s="10" t="s">
        <v>322</v>
      </c>
      <c r="D164" s="13" t="s">
        <v>105</v>
      </c>
      <c r="E164" s="760">
        <v>64800</v>
      </c>
    </row>
    <row r="165" spans="1:5" ht="20.100000000000001" customHeight="1" x14ac:dyDescent="0.2">
      <c r="A165" s="25">
        <v>28</v>
      </c>
      <c r="B165" s="16" t="s">
        <v>323</v>
      </c>
      <c r="C165" s="10" t="s">
        <v>322</v>
      </c>
      <c r="D165" s="13" t="s">
        <v>105</v>
      </c>
      <c r="E165" s="760">
        <v>64800</v>
      </c>
    </row>
    <row r="166" spans="1:5" ht="20.100000000000001" customHeight="1" x14ac:dyDescent="0.2">
      <c r="A166" s="25">
        <v>29</v>
      </c>
      <c r="B166" s="9" t="s">
        <v>329</v>
      </c>
      <c r="C166" s="10" t="s">
        <v>330</v>
      </c>
      <c r="D166" s="13" t="s">
        <v>331</v>
      </c>
      <c r="E166" s="760">
        <v>54000</v>
      </c>
    </row>
    <row r="167" spans="1:5" ht="20.100000000000001" customHeight="1" x14ac:dyDescent="0.2">
      <c r="A167" s="25">
        <v>30</v>
      </c>
      <c r="B167" s="9" t="s">
        <v>332</v>
      </c>
      <c r="C167" s="10" t="s">
        <v>330</v>
      </c>
      <c r="D167" s="13" t="s">
        <v>331</v>
      </c>
      <c r="E167" s="760">
        <v>54000</v>
      </c>
    </row>
    <row r="168" spans="1:5" ht="20.100000000000001" customHeight="1" x14ac:dyDescent="0.2">
      <c r="A168" s="25">
        <v>31</v>
      </c>
      <c r="B168" s="9" t="s">
        <v>333</v>
      </c>
      <c r="C168" s="10" t="s">
        <v>330</v>
      </c>
      <c r="D168" s="13" t="s">
        <v>331</v>
      </c>
      <c r="E168" s="760">
        <v>54000</v>
      </c>
    </row>
    <row r="169" spans="1:5" ht="20.100000000000001" customHeight="1" x14ac:dyDescent="0.2">
      <c r="A169" s="25">
        <v>32</v>
      </c>
      <c r="B169" s="9" t="s">
        <v>334</v>
      </c>
      <c r="C169" s="10" t="s">
        <v>330</v>
      </c>
      <c r="D169" s="13" t="s">
        <v>331</v>
      </c>
      <c r="E169" s="760">
        <v>54000</v>
      </c>
    </row>
    <row r="170" spans="1:5" ht="20.100000000000001" customHeight="1" x14ac:dyDescent="0.2">
      <c r="A170" s="25">
        <v>33</v>
      </c>
      <c r="B170" s="9" t="s">
        <v>335</v>
      </c>
      <c r="C170" s="10" t="s">
        <v>330</v>
      </c>
      <c r="D170" s="13" t="s">
        <v>331</v>
      </c>
      <c r="E170" s="760">
        <v>54000</v>
      </c>
    </row>
    <row r="171" spans="1:5" ht="20.100000000000001" customHeight="1" x14ac:dyDescent="0.2">
      <c r="A171" s="25">
        <v>34</v>
      </c>
      <c r="B171" s="9" t="s">
        <v>336</v>
      </c>
      <c r="C171" s="10" t="s">
        <v>330</v>
      </c>
      <c r="D171" s="13" t="s">
        <v>337</v>
      </c>
      <c r="E171" s="760">
        <v>54000</v>
      </c>
    </row>
    <row r="172" spans="1:5" ht="20.100000000000001" customHeight="1" x14ac:dyDescent="0.2">
      <c r="A172" s="25">
        <v>35</v>
      </c>
      <c r="B172" s="9" t="s">
        <v>338</v>
      </c>
      <c r="C172" s="10" t="s">
        <v>330</v>
      </c>
      <c r="D172" s="13" t="s">
        <v>337</v>
      </c>
      <c r="E172" s="760">
        <v>54000</v>
      </c>
    </row>
    <row r="173" spans="1:5" ht="20.100000000000001" customHeight="1" x14ac:dyDescent="0.2">
      <c r="A173" s="25">
        <v>36</v>
      </c>
      <c r="B173" s="12" t="s">
        <v>339</v>
      </c>
      <c r="C173" s="10" t="s">
        <v>330</v>
      </c>
      <c r="D173" s="13" t="s">
        <v>337</v>
      </c>
      <c r="E173" s="760">
        <v>54000</v>
      </c>
    </row>
    <row r="174" spans="1:5" ht="20.100000000000001" customHeight="1" x14ac:dyDescent="0.2">
      <c r="A174" s="25">
        <v>37</v>
      </c>
      <c r="B174" s="9" t="s">
        <v>340</v>
      </c>
      <c r="C174" s="10" t="s">
        <v>330</v>
      </c>
      <c r="D174" s="13" t="s">
        <v>337</v>
      </c>
      <c r="E174" s="760">
        <v>54000</v>
      </c>
    </row>
    <row r="175" spans="1:5" ht="20.100000000000001" customHeight="1" x14ac:dyDescent="0.2">
      <c r="A175" s="25">
        <v>38</v>
      </c>
      <c r="B175" s="16" t="s">
        <v>341</v>
      </c>
      <c r="C175" s="10" t="s">
        <v>330</v>
      </c>
      <c r="D175" s="13" t="s">
        <v>337</v>
      </c>
      <c r="E175" s="760">
        <v>54000</v>
      </c>
    </row>
    <row r="176" spans="1:5" ht="20.100000000000001" customHeight="1" x14ac:dyDescent="0.2">
      <c r="A176" s="25">
        <v>39</v>
      </c>
      <c r="B176" s="16" t="s">
        <v>342</v>
      </c>
      <c r="C176" s="10" t="s">
        <v>330</v>
      </c>
      <c r="D176" s="13" t="s">
        <v>337</v>
      </c>
      <c r="E176" s="760">
        <v>54000</v>
      </c>
    </row>
    <row r="177" spans="1:6" ht="20.100000000000001" customHeight="1" x14ac:dyDescent="0.2">
      <c r="A177" s="25">
        <v>40</v>
      </c>
      <c r="B177" s="9" t="s">
        <v>343</v>
      </c>
      <c r="C177" s="10" t="s">
        <v>344</v>
      </c>
      <c r="D177" s="13" t="s">
        <v>345</v>
      </c>
      <c r="E177" s="760">
        <v>54000</v>
      </c>
    </row>
    <row r="178" spans="1:6" ht="20.100000000000001" customHeight="1" x14ac:dyDescent="0.2">
      <c r="A178" s="25">
        <v>41</v>
      </c>
      <c r="B178" s="9" t="s">
        <v>346</v>
      </c>
      <c r="C178" s="10" t="s">
        <v>344</v>
      </c>
      <c r="D178" s="13" t="s">
        <v>345</v>
      </c>
      <c r="E178" s="760">
        <v>54000</v>
      </c>
    </row>
    <row r="179" spans="1:6" ht="20.100000000000001" customHeight="1" x14ac:dyDescent="0.2">
      <c r="A179" s="25">
        <v>42</v>
      </c>
      <c r="B179" s="16" t="s">
        <v>347</v>
      </c>
      <c r="C179" s="10" t="s">
        <v>344</v>
      </c>
      <c r="D179" s="13" t="s">
        <v>348</v>
      </c>
      <c r="E179" s="760">
        <v>54000</v>
      </c>
    </row>
    <row r="180" spans="1:6" ht="20.100000000000001" customHeight="1" x14ac:dyDescent="0.2">
      <c r="A180" s="25">
        <v>43</v>
      </c>
      <c r="B180" s="9" t="s">
        <v>349</v>
      </c>
      <c r="C180" s="10" t="s">
        <v>350</v>
      </c>
      <c r="D180" s="13" t="s">
        <v>351</v>
      </c>
      <c r="E180" s="760">
        <v>54000</v>
      </c>
    </row>
    <row r="181" spans="1:6" ht="20.100000000000001" customHeight="1" x14ac:dyDescent="0.2">
      <c r="A181" s="25">
        <v>44</v>
      </c>
      <c r="B181" s="9" t="s">
        <v>352</v>
      </c>
      <c r="C181" s="10" t="s">
        <v>353</v>
      </c>
      <c r="D181" s="13" t="s">
        <v>492</v>
      </c>
      <c r="E181" s="758">
        <v>43200</v>
      </c>
      <c r="F181" s="11"/>
    </row>
    <row r="182" spans="1:6" ht="20.100000000000001" customHeight="1" x14ac:dyDescent="0.2">
      <c r="A182" s="25">
        <v>45</v>
      </c>
      <c r="B182" s="9" t="s">
        <v>355</v>
      </c>
      <c r="C182" s="10" t="s">
        <v>353</v>
      </c>
      <c r="D182" s="13" t="s">
        <v>492</v>
      </c>
      <c r="E182" s="758">
        <v>43200</v>
      </c>
    </row>
    <row r="183" spans="1:6" ht="20.100000000000001" customHeight="1" x14ac:dyDescent="0.2">
      <c r="A183" s="25">
        <v>46</v>
      </c>
      <c r="B183" s="9" t="s">
        <v>356</v>
      </c>
      <c r="C183" s="10" t="s">
        <v>353</v>
      </c>
      <c r="D183" s="13" t="s">
        <v>492</v>
      </c>
      <c r="E183" s="758">
        <v>43200</v>
      </c>
    </row>
    <row r="184" spans="1:6" ht="20.100000000000001" customHeight="1" x14ac:dyDescent="0.2">
      <c r="A184" s="25">
        <v>47</v>
      </c>
      <c r="B184" s="9" t="s">
        <v>357</v>
      </c>
      <c r="C184" s="10" t="s">
        <v>353</v>
      </c>
      <c r="D184" s="13" t="s">
        <v>492</v>
      </c>
      <c r="E184" s="758">
        <v>43200</v>
      </c>
    </row>
    <row r="185" spans="1:6" ht="20.100000000000001" customHeight="1" x14ac:dyDescent="0.2">
      <c r="A185" s="25">
        <v>48</v>
      </c>
      <c r="B185" s="9" t="s">
        <v>358</v>
      </c>
      <c r="C185" s="10" t="s">
        <v>353</v>
      </c>
      <c r="D185" s="13" t="s">
        <v>492</v>
      </c>
      <c r="E185" s="758">
        <v>43200</v>
      </c>
    </row>
    <row r="186" spans="1:6" ht="20.100000000000001" customHeight="1" x14ac:dyDescent="0.2">
      <c r="A186" s="25">
        <v>49</v>
      </c>
      <c r="B186" s="16" t="s">
        <v>359</v>
      </c>
      <c r="C186" s="10" t="s">
        <v>353</v>
      </c>
      <c r="D186" s="13" t="s">
        <v>492</v>
      </c>
      <c r="E186" s="758">
        <v>43200</v>
      </c>
    </row>
    <row r="187" spans="1:6" ht="20.100000000000001" customHeight="1" x14ac:dyDescent="0.2">
      <c r="A187" s="25">
        <v>50</v>
      </c>
      <c r="B187" s="16" t="s">
        <v>360</v>
      </c>
      <c r="C187" s="10" t="s">
        <v>353</v>
      </c>
      <c r="D187" s="13" t="s">
        <v>492</v>
      </c>
      <c r="E187" s="758">
        <v>43200</v>
      </c>
    </row>
    <row r="188" spans="1:6" ht="20.100000000000001" customHeight="1" x14ac:dyDescent="0.2">
      <c r="A188" s="25">
        <v>51</v>
      </c>
      <c r="B188" s="9" t="s">
        <v>493</v>
      </c>
      <c r="C188" s="10" t="s">
        <v>350</v>
      </c>
      <c r="D188" s="13" t="s">
        <v>492</v>
      </c>
      <c r="E188" s="758">
        <v>43200</v>
      </c>
    </row>
    <row r="189" spans="1:6" ht="20.100000000000001" customHeight="1" x14ac:dyDescent="0.2">
      <c r="A189" s="25">
        <v>52</v>
      </c>
      <c r="B189" s="9" t="s">
        <v>361</v>
      </c>
      <c r="C189" s="10" t="s">
        <v>350</v>
      </c>
      <c r="D189" s="13" t="s">
        <v>492</v>
      </c>
      <c r="E189" s="758">
        <v>43200</v>
      </c>
    </row>
    <row r="190" spans="1:6" ht="20.100000000000001" customHeight="1" x14ac:dyDescent="0.2">
      <c r="A190" s="25">
        <v>53</v>
      </c>
      <c r="B190" s="16" t="s">
        <v>362</v>
      </c>
      <c r="C190" s="10" t="s">
        <v>363</v>
      </c>
      <c r="D190" s="13" t="s">
        <v>364</v>
      </c>
      <c r="E190" s="758">
        <v>43200</v>
      </c>
    </row>
    <row r="191" spans="1:6" ht="20.100000000000001" customHeight="1" x14ac:dyDescent="0.2">
      <c r="A191" s="25">
        <v>54</v>
      </c>
      <c r="B191" s="16" t="s">
        <v>365</v>
      </c>
      <c r="C191" s="10" t="s">
        <v>363</v>
      </c>
      <c r="D191" s="13" t="s">
        <v>366</v>
      </c>
      <c r="E191" s="758">
        <v>43200</v>
      </c>
    </row>
    <row r="192" spans="1:6" ht="20.100000000000001" customHeight="1" x14ac:dyDescent="0.2">
      <c r="A192" s="25">
        <v>55</v>
      </c>
      <c r="B192" s="16" t="s">
        <v>367</v>
      </c>
      <c r="C192" s="10" t="s">
        <v>344</v>
      </c>
      <c r="D192" s="13" t="s">
        <v>351</v>
      </c>
      <c r="E192" s="758">
        <v>43200</v>
      </c>
    </row>
    <row r="193" spans="1:5" ht="20.100000000000001" customHeight="1" x14ac:dyDescent="0.2">
      <c r="A193" s="25">
        <v>56</v>
      </c>
      <c r="B193" s="16" t="s">
        <v>369</v>
      </c>
      <c r="C193" s="10" t="s">
        <v>370</v>
      </c>
      <c r="D193" s="13" t="s">
        <v>371</v>
      </c>
      <c r="E193" s="758">
        <v>43200</v>
      </c>
    </row>
    <row r="194" spans="1:5" ht="20.100000000000001" customHeight="1" x14ac:dyDescent="0.2">
      <c r="A194" s="25">
        <v>57</v>
      </c>
      <c r="B194" s="16" t="s">
        <v>372</v>
      </c>
      <c r="C194" s="10" t="s">
        <v>370</v>
      </c>
      <c r="D194" s="13" t="s">
        <v>371</v>
      </c>
      <c r="E194" s="758">
        <v>43200</v>
      </c>
    </row>
    <row r="195" spans="1:5" ht="20.100000000000001" customHeight="1" x14ac:dyDescent="0.2">
      <c r="A195" s="25">
        <v>58</v>
      </c>
      <c r="B195" s="16" t="s">
        <v>373</v>
      </c>
      <c r="C195" s="10" t="s">
        <v>370</v>
      </c>
      <c r="D195" s="13" t="s">
        <v>371</v>
      </c>
      <c r="E195" s="758">
        <v>43200</v>
      </c>
    </row>
    <row r="196" spans="1:5" ht="20.100000000000001" customHeight="1" x14ac:dyDescent="0.2">
      <c r="A196" s="25">
        <v>59</v>
      </c>
      <c r="B196" s="16" t="s">
        <v>374</v>
      </c>
      <c r="C196" s="10" t="s">
        <v>375</v>
      </c>
      <c r="D196" s="13" t="s">
        <v>376</v>
      </c>
      <c r="E196" s="758">
        <v>43200</v>
      </c>
    </row>
    <row r="197" spans="1:5" ht="20.100000000000001" customHeight="1" x14ac:dyDescent="0.2">
      <c r="A197" s="25">
        <v>60</v>
      </c>
      <c r="B197" s="16" t="s">
        <v>377</v>
      </c>
      <c r="C197" s="10" t="s">
        <v>375</v>
      </c>
      <c r="D197" s="13" t="s">
        <v>376</v>
      </c>
      <c r="E197" s="758">
        <v>43200</v>
      </c>
    </row>
    <row r="198" spans="1:5" ht="30.75" customHeight="1" x14ac:dyDescent="0.5">
      <c r="A198" s="25"/>
      <c r="B198" s="6" t="s">
        <v>111</v>
      </c>
      <c r="C198" s="26" t="s">
        <v>494</v>
      </c>
      <c r="D198" s="27"/>
      <c r="E198" s="761">
        <f>SUM(E138:E197)</f>
        <v>4266000</v>
      </c>
    </row>
    <row r="199" spans="1:5" ht="30" customHeight="1" x14ac:dyDescent="0.25">
      <c r="A199" s="2"/>
      <c r="B199" s="28" t="s">
        <v>379</v>
      </c>
      <c r="C199" s="29">
        <f>C38+C45+C56+C61+C71+C80+C93+C101+C111+C122+C135+C198</f>
        <v>152</v>
      </c>
      <c r="D199" s="30"/>
      <c r="E199" s="766">
        <f>E198+E135+E122+E117+E111+E101+E93+E80+E71+E61+E56+E45+E38</f>
        <v>16412400</v>
      </c>
    </row>
    <row r="200" spans="1:5" ht="38.25" customHeight="1" x14ac:dyDescent="0.2">
      <c r="B200" s="31"/>
      <c r="D200" s="32"/>
      <c r="E200" s="32"/>
    </row>
    <row r="201" spans="1:5" ht="36.75" customHeight="1" x14ac:dyDescent="0.2">
      <c r="B201" s="31"/>
      <c r="C201" s="32"/>
      <c r="D201" s="32"/>
      <c r="E201" s="32"/>
    </row>
  </sheetData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45" max="4" man="1"/>
    <brk id="80" max="4" man="1"/>
    <brk id="118" max="4" man="1"/>
    <brk id="160" max="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"/>
  <sheetViews>
    <sheetView workbookViewId="0">
      <selection activeCell="D9" sqref="D9"/>
    </sheetView>
  </sheetViews>
  <sheetFormatPr defaultColWidth="8.76171875" defaultRowHeight="12.75" x14ac:dyDescent="0.15"/>
  <cols>
    <col min="1" max="1" width="6.875" customWidth="1"/>
    <col min="2" max="2" width="28.9921875" customWidth="1"/>
    <col min="3" max="3" width="14.6953125"/>
  </cols>
  <sheetData>
    <row r="1" spans="1:3" ht="20.100000000000001" customHeight="1" x14ac:dyDescent="0.15">
      <c r="A1" s="956" t="s">
        <v>639</v>
      </c>
      <c r="B1" s="956"/>
      <c r="C1" s="956"/>
    </row>
    <row r="2" spans="1:3" ht="23.1" customHeight="1" x14ac:dyDescent="0.15">
      <c r="A2" s="672">
        <v>1</v>
      </c>
      <c r="B2" s="672" t="s">
        <v>640</v>
      </c>
      <c r="C2" s="564">
        <f>'Welfare June 25'!E199</f>
        <v>16412400</v>
      </c>
    </row>
    <row r="3" spans="1:3" ht="23.1" customHeight="1" x14ac:dyDescent="0.15">
      <c r="A3" s="672">
        <v>2</v>
      </c>
      <c r="B3" s="672" t="s">
        <v>641</v>
      </c>
      <c r="C3" s="564">
        <f>'[5]Sallah 2025'!$E$58</f>
        <v>1790400</v>
      </c>
    </row>
    <row r="4" spans="1:3" ht="23.1" customHeight="1" x14ac:dyDescent="0.15">
      <c r="A4" s="672">
        <v>3</v>
      </c>
      <c r="B4" s="672" t="s">
        <v>642</v>
      </c>
      <c r="C4" s="564">
        <f>'[6]Contract Welfare'!$E$21</f>
        <v>2030400</v>
      </c>
    </row>
    <row r="5" spans="1:3" ht="23.1" customHeight="1" x14ac:dyDescent="0.15">
      <c r="A5" s="672">
        <v>4</v>
      </c>
      <c r="B5" s="672" t="s">
        <v>643</v>
      </c>
      <c r="C5" s="564">
        <f>'[6]New Contr Welfare'!$E$42</f>
        <v>2947200</v>
      </c>
    </row>
    <row r="6" spans="1:3" ht="23.1" customHeight="1" x14ac:dyDescent="0.15">
      <c r="A6" s="672">
        <v>5</v>
      </c>
      <c r="B6" s="672" t="s">
        <v>644</v>
      </c>
      <c r="C6" s="564">
        <f>'[6]CASUAL, SABB &amp; NYSC Welfare'!$D$82</f>
        <v>3412803</v>
      </c>
    </row>
    <row r="7" spans="1:3" ht="23.1" customHeight="1" x14ac:dyDescent="0.15">
      <c r="A7" s="672">
        <v>6</v>
      </c>
      <c r="B7" s="672" t="s">
        <v>645</v>
      </c>
      <c r="C7" s="564">
        <f>'[6]CONSULTANTS Welfare'!$D$23</f>
        <v>1533600</v>
      </c>
    </row>
    <row r="8" spans="1:3" ht="23.1" customHeight="1" x14ac:dyDescent="0.15">
      <c r="A8" s="672">
        <v>7</v>
      </c>
      <c r="B8" s="672" t="s">
        <v>646</v>
      </c>
      <c r="C8" s="564">
        <f>'[7]Revised Version'!$E$167</f>
        <v>2844000</v>
      </c>
    </row>
    <row r="9" spans="1:3" ht="23.1" customHeight="1" x14ac:dyDescent="0.15">
      <c r="A9" s="672"/>
      <c r="B9" s="230" t="s">
        <v>647</v>
      </c>
      <c r="C9" s="673">
        <f>SUM(C2:C8)</f>
        <v>30970803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G22" sqref="G22"/>
    </sheetView>
  </sheetViews>
  <sheetFormatPr defaultColWidth="8.76171875" defaultRowHeight="12.75" x14ac:dyDescent="0.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97"/>
  <sheetViews>
    <sheetView topLeftCell="A4" workbookViewId="0">
      <selection activeCell="G11" sqref="G11:G198"/>
    </sheetView>
  </sheetViews>
  <sheetFormatPr defaultColWidth="9.16796875" defaultRowHeight="12.75" x14ac:dyDescent="0.15"/>
  <cols>
    <col min="1" max="1" width="6.875" style="259" customWidth="1"/>
    <col min="2" max="2" width="39.1054687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259" customWidth="1"/>
    <col min="27" max="27" width="16.31640625" style="259" customWidth="1"/>
    <col min="28" max="28" width="14.6953125" style="259" customWidth="1"/>
    <col min="29" max="29" width="27.375" style="259" customWidth="1"/>
    <col min="30" max="16384" width="9.16796875" style="259"/>
  </cols>
  <sheetData>
    <row r="1" spans="1:31" ht="13.5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t="13.5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t="13.5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" x14ac:dyDescent="0.2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1.5" x14ac:dyDescent="0.2">
      <c r="A6" s="421">
        <v>3</v>
      </c>
      <c r="B6" s="9" t="s">
        <v>23</v>
      </c>
      <c r="C6" s="422"/>
      <c r="D6" s="423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4"/>
      <c r="T6" s="424"/>
      <c r="U6" s="424"/>
      <c r="V6" s="424"/>
      <c r="W6" s="431"/>
      <c r="X6" s="424"/>
      <c r="Y6" s="424"/>
      <c r="Z6" s="424"/>
      <c r="AA6" s="436"/>
      <c r="AB6" s="436"/>
      <c r="AC6" s="436"/>
      <c r="AD6" s="436"/>
      <c r="AE6" s="436"/>
    </row>
    <row r="7" spans="1:31" ht="18" x14ac:dyDescent="0.15">
      <c r="A7" s="421">
        <v>4</v>
      </c>
      <c r="B7" s="9" t="s">
        <v>26</v>
      </c>
      <c r="C7" s="422"/>
      <c r="D7" s="423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4"/>
      <c r="T7" s="424"/>
      <c r="U7" s="424"/>
      <c r="V7" s="424"/>
      <c r="W7" s="431"/>
      <c r="X7" s="424"/>
      <c r="Y7" s="424"/>
      <c r="Z7" s="424"/>
      <c r="AA7" s="436"/>
      <c r="AB7" s="436"/>
      <c r="AC7" s="436"/>
      <c r="AD7" s="436"/>
      <c r="AE7" s="436"/>
    </row>
    <row r="8" spans="1:31" ht="18" x14ac:dyDescent="0.15">
      <c r="A8" s="421">
        <v>5</v>
      </c>
      <c r="B8" s="12" t="s">
        <v>29</v>
      </c>
      <c r="C8" s="422"/>
      <c r="D8" s="423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31"/>
      <c r="X8" s="424"/>
      <c r="Y8" s="424"/>
      <c r="Z8" s="424"/>
      <c r="AA8" s="436"/>
      <c r="AB8" s="436"/>
      <c r="AC8" s="436"/>
      <c r="AD8" s="436"/>
      <c r="AE8" s="436"/>
    </row>
    <row r="9" spans="1:31" ht="18" x14ac:dyDescent="0.15">
      <c r="A9" s="421">
        <v>6</v>
      </c>
      <c r="B9" s="9" t="s">
        <v>31</v>
      </c>
      <c r="C9" s="422"/>
      <c r="D9" s="423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31"/>
      <c r="X9" s="424"/>
      <c r="Y9" s="424"/>
      <c r="Z9" s="424"/>
      <c r="AA9" s="436"/>
      <c r="AB9" s="436"/>
      <c r="AC9" s="436"/>
      <c r="AD9" s="436"/>
      <c r="AE9" s="436"/>
    </row>
    <row r="10" spans="1:31" ht="18" x14ac:dyDescent="0.15">
      <c r="A10" s="421">
        <v>7</v>
      </c>
      <c r="B10" s="9" t="s">
        <v>33</v>
      </c>
      <c r="C10" s="422"/>
      <c r="D10" s="423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31"/>
      <c r="X10" s="424"/>
      <c r="Y10" s="424"/>
      <c r="Z10" s="424"/>
      <c r="AA10" s="436"/>
      <c r="AB10" s="436"/>
      <c r="AC10" s="436"/>
      <c r="AD10" s="436"/>
      <c r="AE10" s="436"/>
    </row>
    <row r="11" spans="1:31" ht="18" x14ac:dyDescent="0.15">
      <c r="A11" s="421">
        <v>8</v>
      </c>
      <c r="B11" s="9" t="s">
        <v>36</v>
      </c>
      <c r="C11" s="422">
        <v>77115</v>
      </c>
      <c r="D11" s="423">
        <v>12</v>
      </c>
      <c r="E11" s="424">
        <f t="shared" ref="E6:E36" si="0">C11*D11</f>
        <v>925380</v>
      </c>
      <c r="F11" s="424"/>
      <c r="G11" s="424"/>
      <c r="H11" s="424"/>
      <c r="I11" s="424">
        <f t="shared" ref="I6:I36" si="1">E11-F11-G11-H11</f>
        <v>925380</v>
      </c>
      <c r="J11" s="424">
        <v>200000</v>
      </c>
      <c r="K11" s="424">
        <v>0.2</v>
      </c>
      <c r="L11" s="424">
        <f t="shared" ref="L6:L36" si="2">I11*K11</f>
        <v>185076</v>
      </c>
      <c r="M11" s="424">
        <f t="shared" ref="M6:M36" si="3">J11+L11</f>
        <v>385076</v>
      </c>
      <c r="N11" s="424">
        <f t="shared" ref="N6:N36" si="4">F11+G11+H11+M11</f>
        <v>385076</v>
      </c>
      <c r="O11" s="424"/>
      <c r="P11" s="424">
        <f>IF(O11&lt;300000,0.07*O11,21000)</f>
        <v>0</v>
      </c>
      <c r="Q11" s="424">
        <f t="shared" ref="Q6:Q36" si="5">IF((O11-300000)&lt;0,0,IF((O11-300000)&lt;300000,0.11*(O11-300000),33000))</f>
        <v>0</v>
      </c>
      <c r="R11" s="424">
        <f t="shared" ref="R6:R36" si="6">IF((O11-600000)&lt;0,0,IF((O11-600000)&lt;500000,0.15*(O11-600000),75000))</f>
        <v>0</v>
      </c>
      <c r="S11" s="424">
        <f t="shared" ref="S6:S36" si="7">IF((O11-1100000)&lt;0,0,IF((O11-1100000)&lt;500000,0.19*(O11-1100000),95000))</f>
        <v>0</v>
      </c>
      <c r="T11" s="424">
        <f t="shared" ref="T6:T36" si="8">IF((O11-1600000)&lt;0,0,IF((O11-1600000)&lt;1600000,0.21*(O11-1600000),336000))</f>
        <v>0</v>
      </c>
      <c r="U11" s="424"/>
      <c r="V11" s="424">
        <f t="shared" ref="V6:V36" si="9">P11+Q11+R11+S11+T11+U11</f>
        <v>0</v>
      </c>
      <c r="W11" s="431">
        <v>12</v>
      </c>
      <c r="X11" s="424">
        <f t="shared" ref="X6:X36" si="10">V11/W11</f>
        <v>0</v>
      </c>
      <c r="Y11" s="424"/>
      <c r="Z11" s="424">
        <f t="shared" ref="Z6:Z36" si="11">X11</f>
        <v>0</v>
      </c>
      <c r="AA11" s="436">
        <v>101827.951418667</v>
      </c>
      <c r="AB11" s="436">
        <f t="shared" ref="AB6:AB32" si="12">Z11-AA11</f>
        <v>-101827.951418667</v>
      </c>
      <c r="AC11" s="436"/>
      <c r="AD11" s="436"/>
      <c r="AE11" s="436"/>
    </row>
    <row r="12" spans="1:31" ht="18" x14ac:dyDescent="0.15">
      <c r="A12" s="421">
        <v>9</v>
      </c>
      <c r="B12" s="9" t="s">
        <v>39</v>
      </c>
      <c r="C12" s="422"/>
      <c r="D12" s="423"/>
      <c r="E12" s="424"/>
      <c r="F12" s="424"/>
      <c r="G12" s="424"/>
      <c r="H12" s="424"/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31"/>
      <c r="X12" s="424"/>
      <c r="Y12" s="424"/>
      <c r="Z12" s="424"/>
      <c r="AA12" s="436"/>
      <c r="AB12" s="436"/>
      <c r="AC12" s="436"/>
      <c r="AD12" s="436"/>
      <c r="AE12" s="436"/>
    </row>
    <row r="13" spans="1:31" ht="18" x14ac:dyDescent="0.15">
      <c r="A13" s="421">
        <v>10</v>
      </c>
      <c r="B13" s="12" t="s">
        <v>42</v>
      </c>
      <c r="C13" s="422">
        <v>77115</v>
      </c>
      <c r="D13" s="423">
        <v>12</v>
      </c>
      <c r="E13" s="424">
        <f t="shared" si="0"/>
        <v>925380</v>
      </c>
      <c r="F13" s="424"/>
      <c r="G13" s="424"/>
      <c r="H13" s="424"/>
      <c r="I13" s="424">
        <f t="shared" si="1"/>
        <v>925380</v>
      </c>
      <c r="J13" s="424">
        <v>200000</v>
      </c>
      <c r="K13" s="424">
        <v>0.2</v>
      </c>
      <c r="L13" s="424">
        <f t="shared" si="2"/>
        <v>185076</v>
      </c>
      <c r="M13" s="424">
        <f t="shared" si="3"/>
        <v>385076</v>
      </c>
      <c r="N13" s="424">
        <f t="shared" si="4"/>
        <v>385076</v>
      </c>
      <c r="O13" s="424"/>
      <c r="P13" s="424">
        <f>IF(O13&lt;300000,0.07*O13,21000)</f>
        <v>0</v>
      </c>
      <c r="Q13" s="424">
        <f t="shared" si="5"/>
        <v>0</v>
      </c>
      <c r="R13" s="424">
        <f t="shared" si="6"/>
        <v>0</v>
      </c>
      <c r="S13" s="424">
        <f t="shared" si="7"/>
        <v>0</v>
      </c>
      <c r="T13" s="424">
        <f t="shared" si="8"/>
        <v>0</v>
      </c>
      <c r="U13" s="424"/>
      <c r="V13" s="424">
        <f t="shared" si="9"/>
        <v>0</v>
      </c>
      <c r="W13" s="431">
        <v>12</v>
      </c>
      <c r="X13" s="424">
        <f t="shared" si="10"/>
        <v>0</v>
      </c>
      <c r="Y13" s="424"/>
      <c r="Z13" s="424">
        <f t="shared" si="11"/>
        <v>0</v>
      </c>
      <c r="AA13" s="436">
        <v>94625.782058666693</v>
      </c>
      <c r="AB13" s="436">
        <f t="shared" si="12"/>
        <v>-94625.782058666693</v>
      </c>
      <c r="AC13" s="436"/>
      <c r="AD13" s="436"/>
      <c r="AE13" s="436"/>
    </row>
    <row r="14" spans="1:31" ht="18" x14ac:dyDescent="0.15">
      <c r="A14" s="421">
        <v>11</v>
      </c>
      <c r="B14" s="9" t="s">
        <v>44</v>
      </c>
      <c r="C14" s="422">
        <v>55503</v>
      </c>
      <c r="D14" s="423">
        <v>12</v>
      </c>
      <c r="E14" s="424">
        <f t="shared" si="0"/>
        <v>666036</v>
      </c>
      <c r="F14" s="424"/>
      <c r="G14" s="424"/>
      <c r="H14" s="424"/>
      <c r="I14" s="424">
        <f t="shared" si="1"/>
        <v>666036</v>
      </c>
      <c r="J14" s="424">
        <v>200000</v>
      </c>
      <c r="K14" s="424">
        <v>0.2</v>
      </c>
      <c r="L14" s="424">
        <f t="shared" si="2"/>
        <v>133207.20000000001</v>
      </c>
      <c r="M14" s="424">
        <f t="shared" si="3"/>
        <v>333207.2</v>
      </c>
      <c r="N14" s="424">
        <f t="shared" si="4"/>
        <v>333207.2</v>
      </c>
      <c r="O14" s="424"/>
      <c r="P14" s="424"/>
      <c r="Q14" s="424">
        <f t="shared" si="5"/>
        <v>0</v>
      </c>
      <c r="R14" s="424">
        <f t="shared" si="6"/>
        <v>0</v>
      </c>
      <c r="S14" s="424">
        <f t="shared" si="7"/>
        <v>0</v>
      </c>
      <c r="T14" s="424">
        <f t="shared" si="8"/>
        <v>0</v>
      </c>
      <c r="U14" s="424"/>
      <c r="V14" s="424">
        <f t="shared" si="9"/>
        <v>0</v>
      </c>
      <c r="W14" s="431">
        <v>12</v>
      </c>
      <c r="X14" s="424">
        <f t="shared" si="10"/>
        <v>0</v>
      </c>
      <c r="Y14" s="424"/>
      <c r="Z14" s="424">
        <f t="shared" si="11"/>
        <v>0</v>
      </c>
      <c r="AA14" s="436">
        <v>44846.6165886667</v>
      </c>
      <c r="AB14" s="436">
        <f t="shared" si="12"/>
        <v>-44846.6165886667</v>
      </c>
      <c r="AC14" s="436"/>
      <c r="AD14" s="436"/>
      <c r="AE14" s="436"/>
    </row>
    <row r="15" spans="1:31" ht="18" x14ac:dyDescent="0.15">
      <c r="A15" s="421">
        <v>12</v>
      </c>
      <c r="B15" s="9" t="s">
        <v>47</v>
      </c>
      <c r="C15" s="422"/>
      <c r="D15" s="423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31"/>
      <c r="X15" s="424"/>
      <c r="Y15" s="424"/>
      <c r="Z15" s="424"/>
      <c r="AA15" s="436"/>
      <c r="AB15" s="436"/>
      <c r="AC15" s="436"/>
      <c r="AD15" s="436"/>
      <c r="AE15" s="436"/>
    </row>
    <row r="16" spans="1:31" ht="18" x14ac:dyDescent="0.15">
      <c r="A16" s="421">
        <v>13</v>
      </c>
      <c r="B16" s="9" t="s">
        <v>50</v>
      </c>
      <c r="C16" s="422">
        <v>51556</v>
      </c>
      <c r="D16" s="423">
        <v>12</v>
      </c>
      <c r="E16" s="424">
        <f t="shared" si="0"/>
        <v>618672</v>
      </c>
      <c r="F16" s="424"/>
      <c r="G16" s="424"/>
      <c r="H16" s="424"/>
      <c r="I16" s="424">
        <f t="shared" si="1"/>
        <v>618672</v>
      </c>
      <c r="J16" s="424">
        <v>200000</v>
      </c>
      <c r="K16" s="424">
        <v>0.2</v>
      </c>
      <c r="L16" s="424">
        <f t="shared" si="2"/>
        <v>123734.39999999999</v>
      </c>
      <c r="M16" s="424">
        <f t="shared" si="3"/>
        <v>323734.40000000002</v>
      </c>
      <c r="N16" s="424">
        <f t="shared" si="4"/>
        <v>323734.40000000002</v>
      </c>
      <c r="O16" s="424"/>
      <c r="P16" s="424"/>
      <c r="Q16" s="424">
        <f t="shared" si="5"/>
        <v>0</v>
      </c>
      <c r="R16" s="424">
        <f t="shared" si="6"/>
        <v>0</v>
      </c>
      <c r="S16" s="424">
        <f t="shared" si="7"/>
        <v>0</v>
      </c>
      <c r="T16" s="424">
        <f t="shared" si="8"/>
        <v>0</v>
      </c>
      <c r="U16" s="424"/>
      <c r="V16" s="424">
        <f t="shared" si="9"/>
        <v>0</v>
      </c>
      <c r="W16" s="431">
        <v>12</v>
      </c>
      <c r="X16" s="424">
        <f t="shared" si="10"/>
        <v>0</v>
      </c>
      <c r="Y16" s="424"/>
      <c r="Z16" s="424">
        <f t="shared" si="11"/>
        <v>0</v>
      </c>
      <c r="AA16" s="436">
        <v>46666.666666666701</v>
      </c>
      <c r="AB16" s="436">
        <f t="shared" si="12"/>
        <v>-46666.666666666701</v>
      </c>
      <c r="AC16" s="436"/>
      <c r="AD16" s="436"/>
      <c r="AE16" s="436"/>
    </row>
    <row r="17" spans="1:31" ht="18" x14ac:dyDescent="0.15">
      <c r="A17" s="421">
        <v>14</v>
      </c>
      <c r="B17" s="16" t="s">
        <v>53</v>
      </c>
      <c r="C17" s="422">
        <v>51556</v>
      </c>
      <c r="D17" s="423">
        <v>12</v>
      </c>
      <c r="E17" s="424">
        <f t="shared" si="0"/>
        <v>618672</v>
      </c>
      <c r="F17" s="424"/>
      <c r="G17" s="424"/>
      <c r="H17" s="424"/>
      <c r="I17" s="424">
        <f t="shared" si="1"/>
        <v>618672</v>
      </c>
      <c r="J17" s="424">
        <v>200000</v>
      </c>
      <c r="K17" s="424">
        <v>0.2</v>
      </c>
      <c r="L17" s="424">
        <f t="shared" si="2"/>
        <v>123734.39999999999</v>
      </c>
      <c r="M17" s="424">
        <f t="shared" si="3"/>
        <v>323734.40000000002</v>
      </c>
      <c r="N17" s="424">
        <f t="shared" si="4"/>
        <v>323734.40000000002</v>
      </c>
      <c r="O17" s="424"/>
      <c r="P17" s="424"/>
      <c r="Q17" s="424">
        <f t="shared" si="5"/>
        <v>0</v>
      </c>
      <c r="R17" s="424">
        <f t="shared" si="6"/>
        <v>0</v>
      </c>
      <c r="S17" s="424">
        <f t="shared" si="7"/>
        <v>0</v>
      </c>
      <c r="T17" s="424">
        <f t="shared" si="8"/>
        <v>0</v>
      </c>
      <c r="U17" s="424"/>
      <c r="V17" s="424">
        <f t="shared" si="9"/>
        <v>0</v>
      </c>
      <c r="W17" s="431">
        <v>12</v>
      </c>
      <c r="X17" s="424">
        <f t="shared" si="10"/>
        <v>0</v>
      </c>
      <c r="Y17" s="424"/>
      <c r="Z17" s="424">
        <f t="shared" si="11"/>
        <v>0</v>
      </c>
      <c r="AA17" s="436">
        <v>42046.063686666697</v>
      </c>
      <c r="AB17" s="436">
        <f t="shared" si="12"/>
        <v>-42046.063686666697</v>
      </c>
      <c r="AC17" s="436"/>
      <c r="AD17" s="436"/>
      <c r="AE17" s="436"/>
    </row>
    <row r="18" spans="1:31" ht="18" x14ac:dyDescent="0.15">
      <c r="A18" s="421">
        <v>15</v>
      </c>
      <c r="B18" s="16" t="s">
        <v>56</v>
      </c>
      <c r="C18" s="422">
        <v>51556.333333332099</v>
      </c>
      <c r="D18" s="423">
        <v>12</v>
      </c>
      <c r="E18" s="424">
        <f t="shared" si="0"/>
        <v>618675.99999998498</v>
      </c>
      <c r="F18" s="424"/>
      <c r="G18" s="424"/>
      <c r="H18" s="424"/>
      <c r="I18" s="424">
        <f t="shared" si="1"/>
        <v>618675.99999998498</v>
      </c>
      <c r="J18" s="424">
        <v>200000</v>
      </c>
      <c r="K18" s="424">
        <v>0.2</v>
      </c>
      <c r="L18" s="424">
        <f t="shared" si="2"/>
        <v>123735.199999997</v>
      </c>
      <c r="M18" s="424">
        <f t="shared" si="3"/>
        <v>323735.19999999698</v>
      </c>
      <c r="N18" s="424">
        <f t="shared" si="4"/>
        <v>323735.19999999698</v>
      </c>
      <c r="O18" s="424"/>
      <c r="P18" s="424"/>
      <c r="Q18" s="424">
        <f t="shared" si="5"/>
        <v>0</v>
      </c>
      <c r="R18" s="424">
        <f t="shared" si="6"/>
        <v>0</v>
      </c>
      <c r="S18" s="424">
        <f t="shared" si="7"/>
        <v>0</v>
      </c>
      <c r="T18" s="424">
        <f t="shared" si="8"/>
        <v>0</v>
      </c>
      <c r="U18" s="424"/>
      <c r="V18" s="424">
        <f t="shared" si="9"/>
        <v>0</v>
      </c>
      <c r="W18" s="431">
        <v>12</v>
      </c>
      <c r="X18" s="424">
        <f t="shared" si="10"/>
        <v>0</v>
      </c>
      <c r="Y18" s="424"/>
      <c r="Z18" s="424">
        <f t="shared" si="11"/>
        <v>0</v>
      </c>
      <c r="AA18" s="436">
        <v>46666.666666666701</v>
      </c>
      <c r="AB18" s="436">
        <f t="shared" si="12"/>
        <v>-46666.666666666701</v>
      </c>
      <c r="AC18" s="436"/>
      <c r="AD18" s="436"/>
      <c r="AE18" s="436"/>
    </row>
    <row r="19" spans="1:31" ht="18" x14ac:dyDescent="0.15">
      <c r="A19" s="421">
        <v>16</v>
      </c>
      <c r="B19" s="16" t="s">
        <v>59</v>
      </c>
      <c r="C19" s="422">
        <v>51556.333333332099</v>
      </c>
      <c r="D19" s="423">
        <v>12</v>
      </c>
      <c r="E19" s="424">
        <f t="shared" si="0"/>
        <v>618675.99999998498</v>
      </c>
      <c r="F19" s="424"/>
      <c r="G19" s="424"/>
      <c r="H19" s="424"/>
      <c r="I19" s="424">
        <f t="shared" si="1"/>
        <v>618675.99999998498</v>
      </c>
      <c r="J19" s="424">
        <v>200000</v>
      </c>
      <c r="K19" s="424">
        <v>0.2</v>
      </c>
      <c r="L19" s="424">
        <f t="shared" si="2"/>
        <v>123735.199999997</v>
      </c>
      <c r="M19" s="424">
        <f t="shared" si="3"/>
        <v>323735.19999999698</v>
      </c>
      <c r="N19" s="424">
        <f t="shared" si="4"/>
        <v>323735.19999999698</v>
      </c>
      <c r="O19" s="424"/>
      <c r="P19" s="424"/>
      <c r="Q19" s="424">
        <f t="shared" si="5"/>
        <v>0</v>
      </c>
      <c r="R19" s="424">
        <f t="shared" si="6"/>
        <v>0</v>
      </c>
      <c r="S19" s="424">
        <f t="shared" si="7"/>
        <v>0</v>
      </c>
      <c r="T19" s="424">
        <f t="shared" si="8"/>
        <v>0</v>
      </c>
      <c r="U19" s="424"/>
      <c r="V19" s="424">
        <f t="shared" si="9"/>
        <v>0</v>
      </c>
      <c r="W19" s="431">
        <v>12</v>
      </c>
      <c r="X19" s="424">
        <f t="shared" si="10"/>
        <v>0</v>
      </c>
      <c r="Y19" s="424"/>
      <c r="Z19" s="424">
        <f t="shared" si="11"/>
        <v>0</v>
      </c>
      <c r="AA19" s="436">
        <v>46666.666666666701</v>
      </c>
      <c r="AB19" s="436">
        <f t="shared" si="12"/>
        <v>-46666.666666666701</v>
      </c>
      <c r="AC19" s="436"/>
      <c r="AD19" s="436"/>
      <c r="AE19" s="436"/>
    </row>
    <row r="20" spans="1:31" ht="18" x14ac:dyDescent="0.15">
      <c r="A20" s="421">
        <v>17</v>
      </c>
      <c r="B20" s="9" t="s">
        <v>60</v>
      </c>
      <c r="C20" s="422">
        <v>48766</v>
      </c>
      <c r="D20" s="423">
        <v>12</v>
      </c>
      <c r="E20" s="424">
        <f t="shared" si="0"/>
        <v>585192</v>
      </c>
      <c r="F20" s="424"/>
      <c r="G20" s="424"/>
      <c r="H20" s="424"/>
      <c r="I20" s="424">
        <f t="shared" si="1"/>
        <v>585192</v>
      </c>
      <c r="J20" s="424">
        <v>200000</v>
      </c>
      <c r="K20" s="424">
        <v>0.2</v>
      </c>
      <c r="L20" s="424">
        <f t="shared" si="2"/>
        <v>117038.39999999999</v>
      </c>
      <c r="M20" s="424">
        <f t="shared" si="3"/>
        <v>317038.40000000002</v>
      </c>
      <c r="N20" s="424">
        <f t="shared" si="4"/>
        <v>317038.40000000002</v>
      </c>
      <c r="O20" s="424"/>
      <c r="P20" s="424"/>
      <c r="Q20" s="424">
        <f t="shared" si="5"/>
        <v>0</v>
      </c>
      <c r="R20" s="424">
        <f t="shared" si="6"/>
        <v>0</v>
      </c>
      <c r="S20" s="424">
        <f t="shared" si="7"/>
        <v>0</v>
      </c>
      <c r="T20" s="424">
        <f t="shared" si="8"/>
        <v>0</v>
      </c>
      <c r="U20" s="424"/>
      <c r="V20" s="424">
        <f t="shared" si="9"/>
        <v>0</v>
      </c>
      <c r="W20" s="431">
        <v>12</v>
      </c>
      <c r="X20" s="424">
        <f t="shared" si="10"/>
        <v>0</v>
      </c>
      <c r="Y20" s="424"/>
      <c r="Z20" s="424">
        <f t="shared" si="11"/>
        <v>0</v>
      </c>
      <c r="AA20" s="436">
        <v>52497.770378666602</v>
      </c>
      <c r="AB20" s="436">
        <f t="shared" si="12"/>
        <v>-52497.770378666602</v>
      </c>
      <c r="AC20" s="436"/>
      <c r="AD20" s="436"/>
      <c r="AE20" s="436"/>
    </row>
    <row r="21" spans="1:31" ht="18" x14ac:dyDescent="0.15">
      <c r="A21" s="421">
        <v>18</v>
      </c>
      <c r="B21" s="9" t="s">
        <v>63</v>
      </c>
      <c r="C21" s="422">
        <v>48765.333333332099</v>
      </c>
      <c r="D21" s="423">
        <v>12</v>
      </c>
      <c r="E21" s="424">
        <f t="shared" si="0"/>
        <v>585183.99999998498</v>
      </c>
      <c r="F21" s="424"/>
      <c r="G21" s="424"/>
      <c r="H21" s="424"/>
      <c r="I21" s="424">
        <f t="shared" si="1"/>
        <v>585183.99999998498</v>
      </c>
      <c r="J21" s="424">
        <v>200000</v>
      </c>
      <c r="K21" s="424">
        <v>0.2</v>
      </c>
      <c r="L21" s="424">
        <f t="shared" si="2"/>
        <v>117036.79999999701</v>
      </c>
      <c r="M21" s="424">
        <f t="shared" si="3"/>
        <v>317036.79999999702</v>
      </c>
      <c r="N21" s="424">
        <f t="shared" si="4"/>
        <v>317036.79999999702</v>
      </c>
      <c r="O21" s="424"/>
      <c r="P21" s="424"/>
      <c r="Q21" s="424">
        <f t="shared" si="5"/>
        <v>0</v>
      </c>
      <c r="R21" s="424">
        <f t="shared" si="6"/>
        <v>0</v>
      </c>
      <c r="S21" s="424">
        <f t="shared" si="7"/>
        <v>0</v>
      </c>
      <c r="T21" s="424">
        <f t="shared" si="8"/>
        <v>0</v>
      </c>
      <c r="U21" s="424"/>
      <c r="V21" s="424">
        <f t="shared" si="9"/>
        <v>0</v>
      </c>
      <c r="W21" s="431">
        <v>12</v>
      </c>
      <c r="X21" s="424">
        <f t="shared" si="10"/>
        <v>0</v>
      </c>
      <c r="Y21" s="424"/>
      <c r="Z21" s="424">
        <f t="shared" si="11"/>
        <v>0</v>
      </c>
      <c r="AA21" s="436">
        <v>46666.666666666701</v>
      </c>
      <c r="AB21" s="436">
        <f t="shared" si="12"/>
        <v>-46666.666666666701</v>
      </c>
      <c r="AC21" s="436"/>
      <c r="AD21" s="436"/>
      <c r="AE21" s="436"/>
    </row>
    <row r="22" spans="1:31" ht="18" x14ac:dyDescent="0.15">
      <c r="A22" s="421">
        <v>19</v>
      </c>
      <c r="B22" s="12" t="s">
        <v>66</v>
      </c>
      <c r="C22" s="422">
        <v>48766</v>
      </c>
      <c r="D22" s="423">
        <v>12</v>
      </c>
      <c r="E22" s="424">
        <f t="shared" si="0"/>
        <v>585192</v>
      </c>
      <c r="F22" s="424"/>
      <c r="G22" s="424"/>
      <c r="H22" s="424"/>
      <c r="I22" s="424">
        <f t="shared" si="1"/>
        <v>585192</v>
      </c>
      <c r="J22" s="424">
        <v>200000</v>
      </c>
      <c r="K22" s="424">
        <v>0.2</v>
      </c>
      <c r="L22" s="424">
        <f t="shared" si="2"/>
        <v>117038.39999999999</v>
      </c>
      <c r="M22" s="424">
        <f t="shared" si="3"/>
        <v>317038.40000000002</v>
      </c>
      <c r="N22" s="424">
        <f t="shared" si="4"/>
        <v>317038.40000000002</v>
      </c>
      <c r="O22" s="424"/>
      <c r="P22" s="424"/>
      <c r="Q22" s="424">
        <f t="shared" si="5"/>
        <v>0</v>
      </c>
      <c r="R22" s="424">
        <f t="shared" si="6"/>
        <v>0</v>
      </c>
      <c r="S22" s="424">
        <f t="shared" si="7"/>
        <v>0</v>
      </c>
      <c r="T22" s="424">
        <f t="shared" si="8"/>
        <v>0</v>
      </c>
      <c r="U22" s="424"/>
      <c r="V22" s="424">
        <f t="shared" si="9"/>
        <v>0</v>
      </c>
      <c r="W22" s="431">
        <v>12</v>
      </c>
      <c r="X22" s="424">
        <f t="shared" si="10"/>
        <v>0</v>
      </c>
      <c r="Y22" s="424"/>
      <c r="Z22" s="424">
        <f t="shared" si="11"/>
        <v>0</v>
      </c>
      <c r="AA22" s="436">
        <v>46666.666666666701</v>
      </c>
      <c r="AB22" s="436">
        <f t="shared" si="12"/>
        <v>-46666.666666666701</v>
      </c>
      <c r="AC22" s="436"/>
      <c r="AD22" s="436"/>
      <c r="AE22" s="436"/>
    </row>
    <row r="23" spans="1:31" ht="18" x14ac:dyDescent="0.15">
      <c r="A23" s="421">
        <v>20</v>
      </c>
      <c r="B23" s="9" t="s">
        <v>69</v>
      </c>
      <c r="C23" s="422">
        <v>48766</v>
      </c>
      <c r="D23" s="423">
        <v>12</v>
      </c>
      <c r="E23" s="424">
        <f t="shared" si="0"/>
        <v>585192</v>
      </c>
      <c r="F23" s="424"/>
      <c r="G23" s="424"/>
      <c r="H23" s="424"/>
      <c r="I23" s="424">
        <f t="shared" si="1"/>
        <v>585192</v>
      </c>
      <c r="J23" s="424">
        <v>200000</v>
      </c>
      <c r="K23" s="424">
        <v>0.2</v>
      </c>
      <c r="L23" s="424">
        <f t="shared" si="2"/>
        <v>117038.39999999999</v>
      </c>
      <c r="M23" s="424">
        <f t="shared" si="3"/>
        <v>317038.40000000002</v>
      </c>
      <c r="N23" s="424">
        <f t="shared" si="4"/>
        <v>317038.40000000002</v>
      </c>
      <c r="O23" s="424"/>
      <c r="P23" s="424">
        <f>IF(O23&lt;300000,0.07*O23,21000)</f>
        <v>0</v>
      </c>
      <c r="Q23" s="424">
        <f t="shared" si="5"/>
        <v>0</v>
      </c>
      <c r="R23" s="424">
        <f t="shared" si="6"/>
        <v>0</v>
      </c>
      <c r="S23" s="424">
        <f t="shared" si="7"/>
        <v>0</v>
      </c>
      <c r="T23" s="424">
        <f t="shared" si="8"/>
        <v>0</v>
      </c>
      <c r="U23" s="424"/>
      <c r="V23" s="424">
        <f t="shared" si="9"/>
        <v>0</v>
      </c>
      <c r="W23" s="431">
        <v>12</v>
      </c>
      <c r="X23" s="424">
        <f t="shared" si="10"/>
        <v>0</v>
      </c>
      <c r="Y23" s="424"/>
      <c r="Z23" s="424">
        <f t="shared" si="11"/>
        <v>0</v>
      </c>
      <c r="AA23" s="436">
        <v>42371.815728666697</v>
      </c>
      <c r="AB23" s="436">
        <f t="shared" si="12"/>
        <v>-42371.815728666697</v>
      </c>
      <c r="AC23" s="436"/>
      <c r="AD23" s="436"/>
      <c r="AE23" s="436"/>
    </row>
    <row r="24" spans="1:31" ht="18" x14ac:dyDescent="0.15">
      <c r="A24" s="421">
        <v>21</v>
      </c>
      <c r="B24" s="12" t="s">
        <v>71</v>
      </c>
      <c r="C24" s="422">
        <v>31743.666666664201</v>
      </c>
      <c r="D24" s="423">
        <v>12</v>
      </c>
      <c r="E24" s="424">
        <f t="shared" si="0"/>
        <v>380923.99999997002</v>
      </c>
      <c r="F24" s="424"/>
      <c r="G24" s="424"/>
      <c r="H24" s="424"/>
      <c r="I24" s="424">
        <f t="shared" si="1"/>
        <v>380923.99999997002</v>
      </c>
      <c r="J24" s="424">
        <v>200000</v>
      </c>
      <c r="K24" s="424">
        <v>0.2</v>
      </c>
      <c r="L24" s="424">
        <f t="shared" si="2"/>
        <v>76184.799999993993</v>
      </c>
      <c r="M24" s="424">
        <f t="shared" si="3"/>
        <v>276184.79999999399</v>
      </c>
      <c r="N24" s="424">
        <f t="shared" si="4"/>
        <v>276184.79999999399</v>
      </c>
      <c r="O24" s="424"/>
      <c r="P24" s="424"/>
      <c r="Q24" s="424">
        <f t="shared" si="5"/>
        <v>0</v>
      </c>
      <c r="R24" s="424">
        <f t="shared" si="6"/>
        <v>0</v>
      </c>
      <c r="S24" s="424">
        <f t="shared" si="7"/>
        <v>0</v>
      </c>
      <c r="T24" s="424">
        <f t="shared" si="8"/>
        <v>0</v>
      </c>
      <c r="U24" s="424"/>
      <c r="V24" s="424">
        <f t="shared" si="9"/>
        <v>0</v>
      </c>
      <c r="W24" s="431">
        <v>12</v>
      </c>
      <c r="X24" s="424">
        <f t="shared" si="10"/>
        <v>0</v>
      </c>
      <c r="Y24" s="424"/>
      <c r="Z24" s="424">
        <f t="shared" si="11"/>
        <v>0</v>
      </c>
      <c r="AA24" s="436">
        <v>23036.012346666699</v>
      </c>
      <c r="AB24" s="436">
        <f t="shared" si="12"/>
        <v>-23036.012346666699</v>
      </c>
      <c r="AC24" s="436"/>
      <c r="AD24" s="436"/>
      <c r="AE24" s="436"/>
    </row>
    <row r="25" spans="1:31" ht="18" x14ac:dyDescent="0.15">
      <c r="A25" s="421">
        <v>22</v>
      </c>
      <c r="B25" s="12" t="s">
        <v>74</v>
      </c>
      <c r="C25" s="422">
        <v>31743.666666664201</v>
      </c>
      <c r="D25" s="423">
        <v>12</v>
      </c>
      <c r="E25" s="424">
        <f t="shared" si="0"/>
        <v>380923.99999997002</v>
      </c>
      <c r="F25" s="424"/>
      <c r="G25" s="424"/>
      <c r="H25" s="424"/>
      <c r="I25" s="424">
        <f t="shared" si="1"/>
        <v>380923.99999997002</v>
      </c>
      <c r="J25" s="424">
        <v>200000</v>
      </c>
      <c r="K25" s="424">
        <v>0.2</v>
      </c>
      <c r="L25" s="424">
        <f t="shared" si="2"/>
        <v>76184.799999993993</v>
      </c>
      <c r="M25" s="424">
        <f t="shared" si="3"/>
        <v>276184.79999999399</v>
      </c>
      <c r="N25" s="424">
        <f t="shared" si="4"/>
        <v>276184.79999999399</v>
      </c>
      <c r="O25" s="424"/>
      <c r="P25" s="424"/>
      <c r="Q25" s="424">
        <f t="shared" si="5"/>
        <v>0</v>
      </c>
      <c r="R25" s="424">
        <f t="shared" si="6"/>
        <v>0</v>
      </c>
      <c r="S25" s="424">
        <f t="shared" si="7"/>
        <v>0</v>
      </c>
      <c r="T25" s="424">
        <f t="shared" si="8"/>
        <v>0</v>
      </c>
      <c r="U25" s="424"/>
      <c r="V25" s="424">
        <f t="shared" si="9"/>
        <v>0</v>
      </c>
      <c r="W25" s="431">
        <v>12</v>
      </c>
      <c r="X25" s="424">
        <f t="shared" si="10"/>
        <v>0</v>
      </c>
      <c r="Y25" s="424"/>
      <c r="Z25" s="424">
        <f t="shared" si="11"/>
        <v>0</v>
      </c>
      <c r="AA25" s="436">
        <v>23036.012346666699</v>
      </c>
      <c r="AB25" s="436">
        <f t="shared" si="12"/>
        <v>-23036.012346666699</v>
      </c>
      <c r="AC25" s="436"/>
      <c r="AD25" s="436"/>
      <c r="AE25" s="436"/>
    </row>
    <row r="26" spans="1:31" ht="18" x14ac:dyDescent="0.2">
      <c r="A26" s="421">
        <v>23</v>
      </c>
      <c r="B26" s="2" t="s">
        <v>77</v>
      </c>
      <c r="C26" s="422">
        <v>29265.333333332099</v>
      </c>
      <c r="D26" s="423">
        <v>12</v>
      </c>
      <c r="E26" s="424">
        <f t="shared" si="0"/>
        <v>351183.99999998498</v>
      </c>
      <c r="F26" s="424"/>
      <c r="G26" s="424"/>
      <c r="H26" s="424"/>
      <c r="I26" s="424">
        <f t="shared" si="1"/>
        <v>351183.99999998498</v>
      </c>
      <c r="J26" s="424">
        <v>200000</v>
      </c>
      <c r="K26" s="424">
        <v>0.2</v>
      </c>
      <c r="L26" s="424">
        <f t="shared" si="2"/>
        <v>70236.799999997005</v>
      </c>
      <c r="M26" s="424">
        <f t="shared" si="3"/>
        <v>270236.79999999702</v>
      </c>
      <c r="N26" s="424">
        <f t="shared" si="4"/>
        <v>270236.79999999702</v>
      </c>
      <c r="O26" s="424"/>
      <c r="P26" s="424"/>
      <c r="Q26" s="424">
        <f t="shared" si="5"/>
        <v>0</v>
      </c>
      <c r="R26" s="424">
        <f t="shared" si="6"/>
        <v>0</v>
      </c>
      <c r="S26" s="424">
        <f t="shared" si="7"/>
        <v>0</v>
      </c>
      <c r="T26" s="424">
        <f t="shared" si="8"/>
        <v>0</v>
      </c>
      <c r="U26" s="424"/>
      <c r="V26" s="424">
        <f t="shared" si="9"/>
        <v>0</v>
      </c>
      <c r="W26" s="431">
        <v>12</v>
      </c>
      <c r="X26" s="424">
        <f t="shared" si="10"/>
        <v>0</v>
      </c>
      <c r="Y26" s="424"/>
      <c r="Z26" s="424">
        <f t="shared" si="11"/>
        <v>0</v>
      </c>
      <c r="AA26" s="436">
        <v>29756.012346666699</v>
      </c>
      <c r="AB26" s="436">
        <f t="shared" si="12"/>
        <v>-29756.012346666699</v>
      </c>
      <c r="AC26" s="436"/>
      <c r="AD26" s="436"/>
      <c r="AE26" s="436"/>
    </row>
    <row r="27" spans="1:31" ht="18" x14ac:dyDescent="0.15">
      <c r="A27" s="421">
        <v>24</v>
      </c>
      <c r="B27" s="16" t="s">
        <v>80</v>
      </c>
      <c r="C27" s="422">
        <v>29265.333333332099</v>
      </c>
      <c r="D27" s="423">
        <v>12</v>
      </c>
      <c r="E27" s="424">
        <f t="shared" si="0"/>
        <v>351183.99999998498</v>
      </c>
      <c r="F27" s="424"/>
      <c r="G27" s="424"/>
      <c r="H27" s="424"/>
      <c r="I27" s="424">
        <f t="shared" si="1"/>
        <v>351183.99999998498</v>
      </c>
      <c r="J27" s="424">
        <v>200000</v>
      </c>
      <c r="K27" s="424">
        <v>0.2</v>
      </c>
      <c r="L27" s="424">
        <f t="shared" si="2"/>
        <v>70236.799999997005</v>
      </c>
      <c r="M27" s="424">
        <f t="shared" si="3"/>
        <v>270236.79999999702</v>
      </c>
      <c r="N27" s="424">
        <f t="shared" si="4"/>
        <v>270236.79999999702</v>
      </c>
      <c r="O27" s="424"/>
      <c r="P27" s="424"/>
      <c r="Q27" s="424">
        <f t="shared" si="5"/>
        <v>0</v>
      </c>
      <c r="R27" s="424">
        <f t="shared" si="6"/>
        <v>0</v>
      </c>
      <c r="S27" s="424">
        <f t="shared" si="7"/>
        <v>0</v>
      </c>
      <c r="T27" s="424">
        <f t="shared" si="8"/>
        <v>0</v>
      </c>
      <c r="U27" s="424"/>
      <c r="V27" s="424">
        <f t="shared" si="9"/>
        <v>0</v>
      </c>
      <c r="W27" s="431">
        <v>12</v>
      </c>
      <c r="X27" s="424">
        <f t="shared" si="10"/>
        <v>0</v>
      </c>
      <c r="Y27" s="424"/>
      <c r="Z27" s="424">
        <f t="shared" si="11"/>
        <v>0</v>
      </c>
      <c r="AA27" s="436">
        <v>22338.4826046667</v>
      </c>
      <c r="AB27" s="436">
        <f t="shared" si="12"/>
        <v>-22338.4826046667</v>
      </c>
      <c r="AC27" s="436"/>
      <c r="AD27" s="436"/>
      <c r="AE27" s="436"/>
    </row>
    <row r="28" spans="1:31" ht="18" x14ac:dyDescent="0.15">
      <c r="A28" s="421">
        <v>25</v>
      </c>
      <c r="B28" s="9" t="s">
        <v>81</v>
      </c>
      <c r="C28" s="422">
        <v>29265.333333332099</v>
      </c>
      <c r="D28" s="423">
        <v>12</v>
      </c>
      <c r="E28" s="424">
        <f t="shared" si="0"/>
        <v>351183.99999998498</v>
      </c>
      <c r="F28" s="424"/>
      <c r="G28" s="424"/>
      <c r="H28" s="424"/>
      <c r="I28" s="424">
        <f t="shared" si="1"/>
        <v>351183.99999998498</v>
      </c>
      <c r="J28" s="424">
        <v>200000</v>
      </c>
      <c r="K28" s="424">
        <v>0.2</v>
      </c>
      <c r="L28" s="424">
        <f t="shared" si="2"/>
        <v>70236.799999997005</v>
      </c>
      <c r="M28" s="424">
        <f t="shared" si="3"/>
        <v>270236.79999999702</v>
      </c>
      <c r="N28" s="424">
        <f t="shared" si="4"/>
        <v>270236.79999999702</v>
      </c>
      <c r="O28" s="424"/>
      <c r="P28" s="424"/>
      <c r="Q28" s="424">
        <f t="shared" si="5"/>
        <v>0</v>
      </c>
      <c r="R28" s="424">
        <f t="shared" si="6"/>
        <v>0</v>
      </c>
      <c r="S28" s="424">
        <f t="shared" si="7"/>
        <v>0</v>
      </c>
      <c r="T28" s="424">
        <f t="shared" si="8"/>
        <v>0</v>
      </c>
      <c r="U28" s="424"/>
      <c r="V28" s="424">
        <f t="shared" si="9"/>
        <v>0</v>
      </c>
      <c r="W28" s="431">
        <v>12</v>
      </c>
      <c r="X28" s="424">
        <f t="shared" si="10"/>
        <v>0</v>
      </c>
      <c r="Y28" s="424"/>
      <c r="Z28" s="424">
        <f t="shared" si="11"/>
        <v>0</v>
      </c>
      <c r="AA28" s="436">
        <v>21640.952862666702</v>
      </c>
      <c r="AB28" s="436">
        <f t="shared" si="12"/>
        <v>-21640.952862666702</v>
      </c>
      <c r="AC28" s="436"/>
      <c r="AD28" s="436"/>
      <c r="AE28" s="436"/>
    </row>
    <row r="29" spans="1:31" ht="18" x14ac:dyDescent="0.15">
      <c r="A29" s="421">
        <v>26</v>
      </c>
      <c r="B29" s="16" t="s">
        <v>82</v>
      </c>
      <c r="C29" s="422">
        <v>29265.333333335799</v>
      </c>
      <c r="D29" s="423">
        <v>12</v>
      </c>
      <c r="E29" s="424">
        <f t="shared" si="0"/>
        <v>351184.00000002998</v>
      </c>
      <c r="F29" s="424"/>
      <c r="G29" s="424"/>
      <c r="H29" s="424"/>
      <c r="I29" s="424">
        <f t="shared" si="1"/>
        <v>351184.00000002998</v>
      </c>
      <c r="J29" s="424">
        <v>200000</v>
      </c>
      <c r="K29" s="424">
        <v>0.2</v>
      </c>
      <c r="L29" s="424">
        <f t="shared" si="2"/>
        <v>70236.800000005998</v>
      </c>
      <c r="M29" s="424">
        <f t="shared" si="3"/>
        <v>270236.80000000598</v>
      </c>
      <c r="N29" s="424">
        <f t="shared" si="4"/>
        <v>270236.80000000598</v>
      </c>
      <c r="O29" s="424"/>
      <c r="P29" s="424"/>
      <c r="Q29" s="424">
        <f t="shared" si="5"/>
        <v>0</v>
      </c>
      <c r="R29" s="424">
        <f t="shared" si="6"/>
        <v>0</v>
      </c>
      <c r="S29" s="424">
        <f t="shared" si="7"/>
        <v>0</v>
      </c>
      <c r="T29" s="424">
        <f t="shared" si="8"/>
        <v>0</v>
      </c>
      <c r="U29" s="424"/>
      <c r="V29" s="424">
        <f t="shared" si="9"/>
        <v>0</v>
      </c>
      <c r="W29" s="431">
        <v>12</v>
      </c>
      <c r="X29" s="424">
        <f t="shared" si="10"/>
        <v>0</v>
      </c>
      <c r="Y29" s="424"/>
      <c r="Z29" s="424">
        <f t="shared" si="11"/>
        <v>0</v>
      </c>
      <c r="AA29" s="436">
        <v>21640.952862666702</v>
      </c>
      <c r="AB29" s="436">
        <f t="shared" si="12"/>
        <v>-21640.952862666702</v>
      </c>
      <c r="AC29" s="436"/>
      <c r="AD29" s="436"/>
      <c r="AE29" s="436"/>
    </row>
    <row r="30" spans="1:31" ht="18" x14ac:dyDescent="0.15">
      <c r="A30" s="421">
        <v>27</v>
      </c>
      <c r="B30" s="16" t="s">
        <v>85</v>
      </c>
      <c r="C30" s="422">
        <v>29265.333333332099</v>
      </c>
      <c r="D30" s="423">
        <v>12</v>
      </c>
      <c r="E30" s="424">
        <f t="shared" si="0"/>
        <v>351183.99999998498</v>
      </c>
      <c r="F30" s="424"/>
      <c r="G30" s="424"/>
      <c r="H30" s="424"/>
      <c r="I30" s="424">
        <f t="shared" si="1"/>
        <v>351183.99999998498</v>
      </c>
      <c r="J30" s="424">
        <v>200000</v>
      </c>
      <c r="K30" s="424">
        <v>0.2</v>
      </c>
      <c r="L30" s="424">
        <f t="shared" si="2"/>
        <v>70236.799999997005</v>
      </c>
      <c r="M30" s="424">
        <f t="shared" si="3"/>
        <v>270236.79999999702</v>
      </c>
      <c r="N30" s="424">
        <f t="shared" si="4"/>
        <v>270236.79999999702</v>
      </c>
      <c r="O30" s="424"/>
      <c r="P30" s="424"/>
      <c r="Q30" s="424">
        <f t="shared" si="5"/>
        <v>0</v>
      </c>
      <c r="R30" s="424">
        <f t="shared" si="6"/>
        <v>0</v>
      </c>
      <c r="S30" s="424">
        <f t="shared" si="7"/>
        <v>0</v>
      </c>
      <c r="T30" s="424">
        <f t="shared" si="8"/>
        <v>0</v>
      </c>
      <c r="U30" s="424"/>
      <c r="V30" s="424">
        <f t="shared" si="9"/>
        <v>0</v>
      </c>
      <c r="W30" s="431">
        <v>12</v>
      </c>
      <c r="X30" s="424">
        <f t="shared" si="10"/>
        <v>0</v>
      </c>
      <c r="Y30" s="424"/>
      <c r="Z30" s="424">
        <f t="shared" si="11"/>
        <v>0</v>
      </c>
      <c r="AA30" s="436">
        <v>22338.4826046667</v>
      </c>
      <c r="AB30" s="436">
        <f t="shared" si="12"/>
        <v>-22338.4826046667</v>
      </c>
      <c r="AC30" s="436"/>
      <c r="AD30" s="436"/>
      <c r="AE30" s="436"/>
    </row>
    <row r="31" spans="1:31" ht="31.5" x14ac:dyDescent="0.2">
      <c r="A31" s="421">
        <v>28</v>
      </c>
      <c r="B31" s="16" t="s">
        <v>88</v>
      </c>
      <c r="C31" s="422">
        <v>29265.333333332099</v>
      </c>
      <c r="D31" s="423">
        <v>12</v>
      </c>
      <c r="E31" s="424">
        <f t="shared" si="0"/>
        <v>351183.99999998498</v>
      </c>
      <c r="F31" s="424"/>
      <c r="G31" s="425"/>
      <c r="H31" s="424"/>
      <c r="I31" s="424">
        <f t="shared" si="1"/>
        <v>351183.99999998498</v>
      </c>
      <c r="J31" s="424">
        <v>200000</v>
      </c>
      <c r="K31" s="424">
        <v>0.2</v>
      </c>
      <c r="L31" s="424">
        <f t="shared" si="2"/>
        <v>70236.799999997005</v>
      </c>
      <c r="M31" s="424">
        <f t="shared" si="3"/>
        <v>270236.79999999702</v>
      </c>
      <c r="N31" s="424">
        <f t="shared" si="4"/>
        <v>270236.79999999702</v>
      </c>
      <c r="O31" s="424"/>
      <c r="P31" s="424"/>
      <c r="Q31" s="424">
        <f t="shared" si="5"/>
        <v>0</v>
      </c>
      <c r="R31" s="424">
        <f t="shared" si="6"/>
        <v>0</v>
      </c>
      <c r="S31" s="424">
        <f t="shared" si="7"/>
        <v>0</v>
      </c>
      <c r="T31" s="424">
        <f t="shared" si="8"/>
        <v>0</v>
      </c>
      <c r="U31" s="424"/>
      <c r="V31" s="424">
        <f t="shared" si="9"/>
        <v>0</v>
      </c>
      <c r="W31" s="431">
        <v>12</v>
      </c>
      <c r="X31" s="424">
        <f t="shared" si="10"/>
        <v>0</v>
      </c>
      <c r="Y31" s="424"/>
      <c r="Z31" s="424">
        <f t="shared" si="11"/>
        <v>0</v>
      </c>
      <c r="AA31" s="436">
        <v>17572.885002666699</v>
      </c>
      <c r="AB31" s="436">
        <f t="shared" si="12"/>
        <v>-17572.885002666699</v>
      </c>
      <c r="AC31" s="436"/>
      <c r="AD31" s="436"/>
      <c r="AE31" s="436"/>
    </row>
    <row r="32" spans="1:31" ht="18" x14ac:dyDescent="0.15">
      <c r="A32" s="421">
        <v>29</v>
      </c>
      <c r="B32" s="16" t="s">
        <v>89</v>
      </c>
      <c r="C32" s="422">
        <v>29265.333333332099</v>
      </c>
      <c r="D32" s="423">
        <v>12</v>
      </c>
      <c r="E32" s="424">
        <f t="shared" si="0"/>
        <v>351183.99999998498</v>
      </c>
      <c r="F32" s="424"/>
      <c r="G32" s="425"/>
      <c r="H32" s="424"/>
      <c r="I32" s="424">
        <f t="shared" si="1"/>
        <v>351183.99999998498</v>
      </c>
      <c r="J32" s="424">
        <v>200000</v>
      </c>
      <c r="K32" s="424">
        <v>0.2</v>
      </c>
      <c r="L32" s="424">
        <f t="shared" si="2"/>
        <v>70236.799999997005</v>
      </c>
      <c r="M32" s="424">
        <f t="shared" si="3"/>
        <v>270236.79999999702</v>
      </c>
      <c r="N32" s="424">
        <f t="shared" si="4"/>
        <v>270236.79999999702</v>
      </c>
      <c r="O32" s="424"/>
      <c r="P32" s="424"/>
      <c r="Q32" s="424">
        <f t="shared" si="5"/>
        <v>0</v>
      </c>
      <c r="R32" s="424">
        <f t="shared" si="6"/>
        <v>0</v>
      </c>
      <c r="S32" s="424">
        <f t="shared" si="7"/>
        <v>0</v>
      </c>
      <c r="T32" s="424">
        <f t="shared" si="8"/>
        <v>0</v>
      </c>
      <c r="U32" s="424"/>
      <c r="V32" s="424">
        <f t="shared" si="9"/>
        <v>0</v>
      </c>
      <c r="W32" s="431">
        <v>12</v>
      </c>
      <c r="X32" s="424">
        <f t="shared" si="10"/>
        <v>0</v>
      </c>
      <c r="Y32" s="424"/>
      <c r="Z32" s="424">
        <f t="shared" si="11"/>
        <v>0</v>
      </c>
      <c r="AA32" s="436">
        <v>16512.682190666699</v>
      </c>
      <c r="AB32" s="436">
        <f t="shared" si="12"/>
        <v>-16512.682190666699</v>
      </c>
      <c r="AC32" s="436"/>
      <c r="AD32" s="436"/>
      <c r="AE32" s="436"/>
    </row>
    <row r="33" spans="1:31" ht="31.5" x14ac:dyDescent="0.2">
      <c r="A33" s="421"/>
      <c r="B33" s="16" t="s">
        <v>91</v>
      </c>
      <c r="C33" s="422">
        <v>29265.333333332099</v>
      </c>
      <c r="D33" s="423">
        <v>12</v>
      </c>
      <c r="E33" s="424">
        <f t="shared" si="0"/>
        <v>351183.99999998498</v>
      </c>
      <c r="F33" s="424"/>
      <c r="G33" s="425"/>
      <c r="H33" s="424"/>
      <c r="I33" s="424">
        <f t="shared" si="1"/>
        <v>351183.99999998498</v>
      </c>
      <c r="J33" s="424">
        <v>200000</v>
      </c>
      <c r="K33" s="424">
        <v>0.2</v>
      </c>
      <c r="L33" s="424">
        <f t="shared" si="2"/>
        <v>70236.799999997005</v>
      </c>
      <c r="M33" s="424">
        <f t="shared" si="3"/>
        <v>270236.79999999702</v>
      </c>
      <c r="N33" s="424">
        <f t="shared" si="4"/>
        <v>270236.79999999702</v>
      </c>
      <c r="O33" s="424"/>
      <c r="P33" s="424"/>
      <c r="Q33" s="424">
        <f t="shared" si="5"/>
        <v>0</v>
      </c>
      <c r="R33" s="424">
        <f t="shared" si="6"/>
        <v>0</v>
      </c>
      <c r="S33" s="424">
        <f t="shared" si="7"/>
        <v>0</v>
      </c>
      <c r="T33" s="424">
        <f t="shared" si="8"/>
        <v>0</v>
      </c>
      <c r="U33" s="424"/>
      <c r="V33" s="424">
        <f t="shared" si="9"/>
        <v>0</v>
      </c>
      <c r="W33" s="431">
        <v>12</v>
      </c>
      <c r="X33" s="424">
        <f t="shared" si="10"/>
        <v>0</v>
      </c>
      <c r="Y33" s="424"/>
      <c r="Z33" s="424">
        <f t="shared" si="11"/>
        <v>0</v>
      </c>
      <c r="AA33" s="436"/>
      <c r="AB33" s="436"/>
      <c r="AC33" s="436"/>
      <c r="AD33" s="436"/>
      <c r="AE33" s="436"/>
    </row>
    <row r="34" spans="1:31" ht="18" x14ac:dyDescent="0.15">
      <c r="A34" s="421"/>
      <c r="B34" s="16" t="s">
        <v>92</v>
      </c>
      <c r="C34" s="422">
        <v>29265.333333332099</v>
      </c>
      <c r="D34" s="423">
        <v>12</v>
      </c>
      <c r="E34" s="424">
        <f t="shared" si="0"/>
        <v>351183.99999998498</v>
      </c>
      <c r="F34" s="424"/>
      <c r="G34" s="425"/>
      <c r="H34" s="424"/>
      <c r="I34" s="424">
        <f t="shared" si="1"/>
        <v>351183.99999998498</v>
      </c>
      <c r="J34" s="424">
        <v>200000</v>
      </c>
      <c r="K34" s="424">
        <v>0.2</v>
      </c>
      <c r="L34" s="424">
        <f t="shared" si="2"/>
        <v>70236.799999997005</v>
      </c>
      <c r="M34" s="424">
        <f t="shared" si="3"/>
        <v>270236.79999999702</v>
      </c>
      <c r="N34" s="424">
        <f t="shared" si="4"/>
        <v>270236.79999999702</v>
      </c>
      <c r="O34" s="424">
        <f>E34-N34</f>
        <v>80947.199999988094</v>
      </c>
      <c r="P34" s="424">
        <f>IF(O34&lt;300000,0.07*O34,21000)</f>
        <v>5666.3039999991697</v>
      </c>
      <c r="Q34" s="424">
        <f t="shared" si="5"/>
        <v>0</v>
      </c>
      <c r="R34" s="424">
        <f t="shared" si="6"/>
        <v>0</v>
      </c>
      <c r="S34" s="424">
        <f t="shared" si="7"/>
        <v>0</v>
      </c>
      <c r="T34" s="424">
        <f t="shared" si="8"/>
        <v>0</v>
      </c>
      <c r="U34" s="424"/>
      <c r="V34" s="424">
        <f t="shared" si="9"/>
        <v>5666.3039999991697</v>
      </c>
      <c r="W34" s="431">
        <v>12</v>
      </c>
      <c r="X34" s="424">
        <f t="shared" si="10"/>
        <v>472.19199999992998</v>
      </c>
      <c r="Y34" s="424"/>
      <c r="Z34" s="424">
        <f t="shared" si="11"/>
        <v>472.19199999992998</v>
      </c>
      <c r="AA34" s="436"/>
      <c r="AB34" s="436"/>
      <c r="AC34" s="436"/>
      <c r="AD34" s="436"/>
      <c r="AE34" s="436"/>
    </row>
    <row r="35" spans="1:31" ht="18" x14ac:dyDescent="0.15">
      <c r="A35" s="421">
        <v>31</v>
      </c>
      <c r="B35" s="16" t="s">
        <v>100</v>
      </c>
      <c r="C35" s="424">
        <v>24688.666666667999</v>
      </c>
      <c r="D35" s="423">
        <v>12</v>
      </c>
      <c r="E35" s="424">
        <f t="shared" si="0"/>
        <v>296264.00000001601</v>
      </c>
      <c r="F35" s="427"/>
      <c r="G35" s="425"/>
      <c r="H35" s="427"/>
      <c r="I35" s="424">
        <f t="shared" si="1"/>
        <v>296264.00000001601</v>
      </c>
      <c r="J35" s="424">
        <v>200000</v>
      </c>
      <c r="K35" s="424">
        <v>0.2</v>
      </c>
      <c r="L35" s="424">
        <f t="shared" si="2"/>
        <v>59252.800000003299</v>
      </c>
      <c r="M35" s="424">
        <f t="shared" si="3"/>
        <v>259252.80000000299</v>
      </c>
      <c r="N35" s="424">
        <f t="shared" si="4"/>
        <v>259252.80000000299</v>
      </c>
      <c r="O35" s="424">
        <f>E35-N35</f>
        <v>37011.200000013101</v>
      </c>
      <c r="P35" s="424">
        <f>IF(O35&lt;300000,0.07*O35,21000)</f>
        <v>2590.7840000009101</v>
      </c>
      <c r="Q35" s="424">
        <f t="shared" si="5"/>
        <v>0</v>
      </c>
      <c r="R35" s="424">
        <f t="shared" si="6"/>
        <v>0</v>
      </c>
      <c r="S35" s="424">
        <f t="shared" si="7"/>
        <v>0</v>
      </c>
      <c r="T35" s="424">
        <f t="shared" si="8"/>
        <v>0</v>
      </c>
      <c r="U35" s="424"/>
      <c r="V35" s="424">
        <f t="shared" si="9"/>
        <v>2590.7840000009101</v>
      </c>
      <c r="W35" s="431">
        <v>12</v>
      </c>
      <c r="X35" s="424">
        <f t="shared" si="10"/>
        <v>215.898666666743</v>
      </c>
      <c r="Y35" s="427"/>
      <c r="Z35" s="424">
        <f t="shared" si="11"/>
        <v>215.898666666743</v>
      </c>
      <c r="AA35" s="436"/>
      <c r="AB35" s="436"/>
      <c r="AC35" s="436"/>
      <c r="AD35" s="436"/>
      <c r="AE35" s="436"/>
    </row>
    <row r="36" spans="1:31" ht="31.5" x14ac:dyDescent="0.2">
      <c r="A36" s="421">
        <v>32</v>
      </c>
      <c r="B36" s="16" t="s">
        <v>103</v>
      </c>
      <c r="C36" s="424">
        <v>24688.666666667999</v>
      </c>
      <c r="D36" s="423">
        <v>12</v>
      </c>
      <c r="E36" s="424">
        <f t="shared" si="0"/>
        <v>296264.00000001601</v>
      </c>
      <c r="F36" s="427"/>
      <c r="G36" s="425"/>
      <c r="H36" s="427"/>
      <c r="I36" s="424">
        <f t="shared" si="1"/>
        <v>296264.00000001601</v>
      </c>
      <c r="J36" s="424">
        <v>200000</v>
      </c>
      <c r="K36" s="424">
        <v>0.2</v>
      </c>
      <c r="L36" s="424">
        <f t="shared" si="2"/>
        <v>59252.800000003299</v>
      </c>
      <c r="M36" s="424">
        <f t="shared" si="3"/>
        <v>259252.80000000299</v>
      </c>
      <c r="N36" s="424">
        <f t="shared" si="4"/>
        <v>259252.80000000299</v>
      </c>
      <c r="O36" s="424">
        <f>E36-N36</f>
        <v>37011.200000013101</v>
      </c>
      <c r="P36" s="424">
        <f>IF(O36&lt;300000,0.07*O36,21000)</f>
        <v>2590.7840000009101</v>
      </c>
      <c r="Q36" s="424">
        <f t="shared" si="5"/>
        <v>0</v>
      </c>
      <c r="R36" s="424">
        <f t="shared" si="6"/>
        <v>0</v>
      </c>
      <c r="S36" s="424">
        <f t="shared" si="7"/>
        <v>0</v>
      </c>
      <c r="T36" s="424">
        <f t="shared" si="8"/>
        <v>0</v>
      </c>
      <c r="U36" s="424"/>
      <c r="V36" s="424">
        <f t="shared" si="9"/>
        <v>2590.7840000009101</v>
      </c>
      <c r="W36" s="431">
        <v>12</v>
      </c>
      <c r="X36" s="424">
        <f t="shared" si="10"/>
        <v>215.898666666743</v>
      </c>
      <c r="Y36" s="427"/>
      <c r="Z36" s="424">
        <f t="shared" si="11"/>
        <v>215.898666666743</v>
      </c>
      <c r="AA36" s="436"/>
      <c r="AB36" s="436"/>
      <c r="AC36" s="436"/>
      <c r="AD36" s="436"/>
      <c r="AE36" s="436"/>
    </row>
    <row r="37" spans="1:31" ht="18" x14ac:dyDescent="0.15">
      <c r="A37" s="421"/>
      <c r="B37" s="18" t="s">
        <v>111</v>
      </c>
      <c r="C37" s="424">
        <v>987273.66666665301</v>
      </c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" x14ac:dyDescent="0.2">
      <c r="A38" s="421"/>
      <c r="B38" s="20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" x14ac:dyDescent="0.15">
      <c r="A39" s="421"/>
      <c r="B39" s="18" t="s">
        <v>112</v>
      </c>
      <c r="C39" s="422"/>
      <c r="D39" s="423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4"/>
      <c r="Z39" s="424"/>
      <c r="AA39" s="436"/>
      <c r="AB39" s="436"/>
      <c r="AC39" s="436"/>
      <c r="AD39" s="436"/>
      <c r="AE39" s="436"/>
    </row>
    <row r="40" spans="1:31" ht="18" x14ac:dyDescent="0.15">
      <c r="A40" s="421"/>
      <c r="B40" s="16" t="s">
        <v>113</v>
      </c>
      <c r="C40" s="422"/>
      <c r="D40" s="423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31"/>
      <c r="X40" s="424"/>
      <c r="Y40" s="424"/>
      <c r="Z40" s="424"/>
      <c r="AA40" s="436"/>
      <c r="AB40" s="436"/>
      <c r="AC40" s="436"/>
      <c r="AD40" s="436"/>
      <c r="AE40" s="436"/>
    </row>
    <row r="41" spans="1:31" ht="18" x14ac:dyDescent="0.15">
      <c r="A41" s="421">
        <v>33</v>
      </c>
      <c r="B41" s="16" t="s">
        <v>116</v>
      </c>
      <c r="C41" s="430">
        <v>31743.666666664201</v>
      </c>
      <c r="D41" s="423">
        <v>12</v>
      </c>
      <c r="E41" s="424">
        <f t="shared" ref="E39:E43" si="13">C41*D41</f>
        <v>380923.99999997002</v>
      </c>
      <c r="F41" s="424"/>
      <c r="G41" s="425"/>
      <c r="H41" s="424"/>
      <c r="I41" s="424">
        <f t="shared" ref="I39:I43" si="14">E41-F41-G41-H41</f>
        <v>380923.99999997002</v>
      </c>
      <c r="J41" s="424">
        <v>200000</v>
      </c>
      <c r="K41" s="424">
        <v>0.2</v>
      </c>
      <c r="L41" s="424">
        <f t="shared" ref="L39:L43" si="15">I41*K41</f>
        <v>76184.799999993993</v>
      </c>
      <c r="M41" s="424">
        <f t="shared" ref="M39:M43" si="16">J41+L41</f>
        <v>276184.79999999399</v>
      </c>
      <c r="N41" s="424">
        <f t="shared" ref="N39:N43" si="17">F41+G41+H41+M41</f>
        <v>276184.79999999399</v>
      </c>
      <c r="O41" s="424">
        <f t="shared" ref="O39:O43" si="18">E41-N41</f>
        <v>104739.199999976</v>
      </c>
      <c r="P41" s="424">
        <f t="shared" ref="P39:P43" si="19">IF(O41&lt;300000,0.07*O41,21000)</f>
        <v>7331.7439999983299</v>
      </c>
      <c r="Q41" s="424">
        <f t="shared" ref="Q39:Q43" si="20">IF((O41-300000)&lt;0,0,IF((O41-300000)&lt;300000,0.11*(O41-300000),33000))</f>
        <v>0</v>
      </c>
      <c r="R41" s="424">
        <f t="shared" ref="R39:R43" si="21">IF((O41-600000)&lt;0,0,IF((O41-600000)&lt;500000,0.15*(O41-600000),75000))</f>
        <v>0</v>
      </c>
      <c r="S41" s="424">
        <f t="shared" ref="S39:S43" si="22">IF((O41-1100000)&lt;0,0,IF((O41-1100000)&lt;500000,0.19*(O41-1100000),95000))</f>
        <v>0</v>
      </c>
      <c r="T41" s="424">
        <f t="shared" ref="T39:T43" si="23">IF((O41-1600000)&lt;0,0,IF((O41-1600000)&lt;1600000,0.21*(O41-1600000),336000))</f>
        <v>0</v>
      </c>
      <c r="U41" s="424"/>
      <c r="V41" s="424">
        <f t="shared" ref="V39:V43" si="24">P41+Q41+R41+S41+T41+U41</f>
        <v>7331.7439999983299</v>
      </c>
      <c r="W41" s="424">
        <v>12</v>
      </c>
      <c r="X41" s="424">
        <f t="shared" ref="X39:X43" si="25">V41/W41</f>
        <v>610.97866666652806</v>
      </c>
      <c r="Y41" s="424"/>
      <c r="Z41" s="424">
        <f t="shared" ref="Z39:Z43" si="26">X41</f>
        <v>610.97866666652806</v>
      </c>
      <c r="AA41" s="436">
        <v>26339.0784066667</v>
      </c>
      <c r="AB41" s="424">
        <f t="shared" ref="AB39:AB43" si="27">Z41-AA41</f>
        <v>-25728.099740000202</v>
      </c>
      <c r="AC41" s="436"/>
      <c r="AD41" s="436"/>
      <c r="AE41" s="436"/>
    </row>
    <row r="42" spans="1:31" ht="18" x14ac:dyDescent="0.15">
      <c r="A42" s="421">
        <v>33</v>
      </c>
      <c r="B42" s="9" t="s">
        <v>118</v>
      </c>
      <c r="C42" s="430">
        <v>31743.666666667901</v>
      </c>
      <c r="D42" s="423">
        <v>12</v>
      </c>
      <c r="E42" s="424">
        <f t="shared" si="13"/>
        <v>380924.00000001502</v>
      </c>
      <c r="F42" s="424"/>
      <c r="G42" s="425"/>
      <c r="H42" s="424"/>
      <c r="I42" s="424">
        <f t="shared" si="14"/>
        <v>380924.00000001502</v>
      </c>
      <c r="J42" s="424">
        <v>200000</v>
      </c>
      <c r="K42" s="424">
        <v>0.2</v>
      </c>
      <c r="L42" s="424">
        <f t="shared" si="15"/>
        <v>76184.800000003001</v>
      </c>
      <c r="M42" s="424">
        <f t="shared" si="16"/>
        <v>276184.80000000302</v>
      </c>
      <c r="N42" s="424">
        <f t="shared" si="17"/>
        <v>276184.80000000302</v>
      </c>
      <c r="O42" s="424">
        <f t="shared" si="18"/>
        <v>104739.200000012</v>
      </c>
      <c r="P42" s="424">
        <f t="shared" si="19"/>
        <v>7331.7440000008401</v>
      </c>
      <c r="Q42" s="424">
        <f t="shared" si="20"/>
        <v>0</v>
      </c>
      <c r="R42" s="424">
        <f t="shared" si="21"/>
        <v>0</v>
      </c>
      <c r="S42" s="424">
        <f t="shared" si="22"/>
        <v>0</v>
      </c>
      <c r="T42" s="424">
        <f t="shared" si="23"/>
        <v>0</v>
      </c>
      <c r="U42" s="424"/>
      <c r="V42" s="424">
        <f t="shared" si="24"/>
        <v>7331.7440000008401</v>
      </c>
      <c r="W42" s="424">
        <v>12</v>
      </c>
      <c r="X42" s="424">
        <f t="shared" si="25"/>
        <v>610.97866666673599</v>
      </c>
      <c r="Y42" s="424"/>
      <c r="Z42" s="424">
        <f t="shared" si="26"/>
        <v>610.97866666673599</v>
      </c>
      <c r="AA42" s="436">
        <v>26339.0784066667</v>
      </c>
      <c r="AB42" s="424">
        <f t="shared" si="27"/>
        <v>-25728.099740000001</v>
      </c>
      <c r="AC42" s="436"/>
      <c r="AD42" s="436"/>
      <c r="AE42" s="436"/>
    </row>
    <row r="43" spans="1:31" ht="18" x14ac:dyDescent="0.15">
      <c r="A43" s="421"/>
      <c r="B43" s="9" t="s">
        <v>121</v>
      </c>
      <c r="C43" s="430">
        <v>29265.333333332099</v>
      </c>
      <c r="D43" s="423">
        <v>12</v>
      </c>
      <c r="E43" s="424">
        <f t="shared" si="13"/>
        <v>351183.99999998498</v>
      </c>
      <c r="F43" s="424"/>
      <c r="G43" s="425"/>
      <c r="H43" s="424"/>
      <c r="I43" s="424">
        <f t="shared" si="14"/>
        <v>351183.99999998498</v>
      </c>
      <c r="J43" s="424">
        <v>200000</v>
      </c>
      <c r="K43" s="424">
        <v>0.2</v>
      </c>
      <c r="L43" s="424">
        <f t="shared" si="15"/>
        <v>70236.799999997005</v>
      </c>
      <c r="M43" s="424">
        <f t="shared" si="16"/>
        <v>270236.79999999702</v>
      </c>
      <c r="N43" s="424">
        <f t="shared" si="17"/>
        <v>270236.79999999702</v>
      </c>
      <c r="O43" s="424">
        <f t="shared" si="18"/>
        <v>80947.199999988094</v>
      </c>
      <c r="P43" s="424">
        <f t="shared" si="19"/>
        <v>5666.3039999991697</v>
      </c>
      <c r="Q43" s="424">
        <f t="shared" si="20"/>
        <v>0</v>
      </c>
      <c r="R43" s="424">
        <f t="shared" si="21"/>
        <v>0</v>
      </c>
      <c r="S43" s="424">
        <f t="shared" si="22"/>
        <v>0</v>
      </c>
      <c r="T43" s="424">
        <f t="shared" si="23"/>
        <v>0</v>
      </c>
      <c r="U43" s="424"/>
      <c r="V43" s="424">
        <f t="shared" si="24"/>
        <v>5666.3039999991697</v>
      </c>
      <c r="W43" s="424">
        <v>12</v>
      </c>
      <c r="X43" s="424">
        <f t="shared" si="25"/>
        <v>472.19199999992998</v>
      </c>
      <c r="Y43" s="424"/>
      <c r="Z43" s="424">
        <f t="shared" si="26"/>
        <v>472.19199999992998</v>
      </c>
      <c r="AA43" s="436">
        <v>26339.0784066667</v>
      </c>
      <c r="AB43" s="424">
        <f t="shared" si="27"/>
        <v>-25866.886406666799</v>
      </c>
      <c r="AC43" s="436"/>
      <c r="AD43" s="436"/>
      <c r="AE43" s="436"/>
    </row>
    <row r="44" spans="1:31" ht="18" x14ac:dyDescent="0.2">
      <c r="A44" s="421"/>
      <c r="B44" s="12"/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18" x14ac:dyDescent="0.2">
      <c r="A45" s="421">
        <v>35</v>
      </c>
      <c r="B45" s="12"/>
      <c r="C45" s="422"/>
      <c r="D45" s="423"/>
      <c r="E45" s="424"/>
      <c r="F45" s="424"/>
      <c r="G45" s="425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24">
        <f t="shared" ref="T45:T54" si="28">IF((O45-1600000)&lt;0,0,IF((O45-1600000)&lt;1600000,0.21*(O45-1600000),336000))</f>
        <v>0</v>
      </c>
      <c r="U45" s="424"/>
      <c r="V45" s="424">
        <f t="shared" ref="V45:V54" si="29">P45+Q45+R45+S45+T45+U45</f>
        <v>0</v>
      </c>
      <c r="W45" s="431">
        <v>12</v>
      </c>
      <c r="X45" s="424">
        <f t="shared" ref="X45:X54" si="30">V45/W45</f>
        <v>0</v>
      </c>
      <c r="Y45" s="424"/>
      <c r="Z45" s="424">
        <f t="shared" ref="Z45:Z54" si="31">X45</f>
        <v>0</v>
      </c>
      <c r="AA45" s="436">
        <v>180306.806858667</v>
      </c>
      <c r="AB45" s="436">
        <f t="shared" ref="AB45:AB54" si="32">Z45-AA45</f>
        <v>-180306.806858667</v>
      </c>
      <c r="AC45" s="436"/>
      <c r="AD45" s="436"/>
      <c r="AE45" s="436"/>
    </row>
    <row r="46" spans="1:31" ht="18" x14ac:dyDescent="0.15">
      <c r="A46" s="421">
        <v>36</v>
      </c>
      <c r="B46" s="21" t="s">
        <v>125</v>
      </c>
      <c r="C46" s="424"/>
      <c r="D46" s="423"/>
      <c r="E46" s="424"/>
      <c r="F46" s="427"/>
      <c r="G46" s="425"/>
      <c r="H46" s="427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>
        <f t="shared" si="28"/>
        <v>0</v>
      </c>
      <c r="U46" s="424"/>
      <c r="V46" s="424">
        <f t="shared" si="29"/>
        <v>0</v>
      </c>
      <c r="W46" s="431">
        <v>12</v>
      </c>
      <c r="X46" s="424">
        <f t="shared" si="30"/>
        <v>0</v>
      </c>
      <c r="Y46" s="427"/>
      <c r="Z46" s="424">
        <f t="shared" si="31"/>
        <v>0</v>
      </c>
      <c r="AA46" s="436">
        <v>79956.9391466667</v>
      </c>
      <c r="AB46" s="436">
        <f t="shared" si="32"/>
        <v>-79956.9391466667</v>
      </c>
      <c r="AC46" s="436"/>
      <c r="AD46" s="436"/>
      <c r="AE46" s="436"/>
    </row>
    <row r="47" spans="1:31" ht="18" x14ac:dyDescent="0.15">
      <c r="A47" s="421">
        <v>37</v>
      </c>
      <c r="B47" s="9" t="s">
        <v>126</v>
      </c>
      <c r="C47" s="424">
        <v>92678.333333335802</v>
      </c>
      <c r="D47" s="423">
        <v>12</v>
      </c>
      <c r="E47" s="424">
        <f t="shared" ref="E45:E54" si="33">C47*D47</f>
        <v>1112140.00000003</v>
      </c>
      <c r="F47" s="427"/>
      <c r="G47" s="425"/>
      <c r="H47" s="427"/>
      <c r="I47" s="424">
        <f t="shared" ref="I45:I54" si="34">E47-F47-G47-H47</f>
        <v>1112140.00000003</v>
      </c>
      <c r="J47" s="424">
        <v>200000</v>
      </c>
      <c r="K47" s="424">
        <v>0.2</v>
      </c>
      <c r="L47" s="424">
        <f t="shared" ref="L45:L54" si="35">I47*K47</f>
        <v>222428.000000006</v>
      </c>
      <c r="M47" s="424">
        <f t="shared" ref="M45:M54" si="36">J47+L47</f>
        <v>422428.000000006</v>
      </c>
      <c r="N47" s="424">
        <f t="shared" ref="N45:N54" si="37">F47+G47+H47+M47</f>
        <v>422428.000000006</v>
      </c>
      <c r="O47" s="424">
        <f t="shared" ref="O45:O54" si="38">E47-N47</f>
        <v>689712.00000002398</v>
      </c>
      <c r="P47" s="424">
        <f t="shared" ref="P45:P54" si="39">IF(O47&lt;300000,0.07*O47,21000)</f>
        <v>21000</v>
      </c>
      <c r="Q47" s="424">
        <f t="shared" ref="Q45:Q54" si="40">IF((O47-300000)&lt;0,0,IF((O47-300000)&lt;300000,0.11*(O47-300000),33000))</f>
        <v>33000</v>
      </c>
      <c r="R47" s="424">
        <f t="shared" ref="R45:R54" si="41">IF((O47-600000)&lt;0,0,IF((O47-600000)&lt;500000,0.15*(O47-600000),75000))</f>
        <v>13456.800000003601</v>
      </c>
      <c r="S47" s="424">
        <f t="shared" ref="S45:S54" si="42">IF((O47-1100000)&lt;0,0,IF((O47-1100000)&lt;500000,0.19*(O47-1100000),95000))</f>
        <v>0</v>
      </c>
      <c r="T47" s="424">
        <f t="shared" si="28"/>
        <v>0</v>
      </c>
      <c r="U47" s="424"/>
      <c r="V47" s="424">
        <f t="shared" si="29"/>
        <v>67456.800000003597</v>
      </c>
      <c r="W47" s="431">
        <v>12</v>
      </c>
      <c r="X47" s="424">
        <f t="shared" si="30"/>
        <v>5621.4000000002998</v>
      </c>
      <c r="Y47" s="427"/>
      <c r="Z47" s="424">
        <f t="shared" si="31"/>
        <v>5621.4000000002998</v>
      </c>
      <c r="AA47" s="436">
        <v>97273.513850666699</v>
      </c>
      <c r="AB47" s="436">
        <f t="shared" si="32"/>
        <v>-91652.113850666399</v>
      </c>
      <c r="AC47" s="436"/>
      <c r="AD47" s="436"/>
      <c r="AE47" s="436"/>
    </row>
    <row r="48" spans="1:31" ht="18" x14ac:dyDescent="0.15">
      <c r="A48" s="421">
        <v>38</v>
      </c>
      <c r="B48" s="9" t="s">
        <v>129</v>
      </c>
      <c r="C48" s="422"/>
      <c r="D48" s="423"/>
      <c r="E48" s="424"/>
      <c r="F48" s="424"/>
      <c r="G48" s="424"/>
      <c r="H48" s="424"/>
      <c r="I48" s="424"/>
      <c r="J48" s="424"/>
      <c r="K48" s="424"/>
      <c r="L48" s="424"/>
      <c r="M48" s="424"/>
      <c r="N48" s="424"/>
      <c r="O48" s="424"/>
      <c r="P48" s="424"/>
      <c r="Q48" s="424"/>
      <c r="R48" s="424"/>
      <c r="S48" s="424"/>
      <c r="T48" s="424"/>
      <c r="U48" s="424"/>
      <c r="V48" s="424"/>
      <c r="W48" s="431"/>
      <c r="X48" s="424"/>
      <c r="Y48" s="424"/>
      <c r="Z48" s="424"/>
      <c r="AA48" s="436">
        <v>79956.9391466667</v>
      </c>
      <c r="AB48" s="436">
        <f t="shared" si="32"/>
        <v>-79956.9391466667</v>
      </c>
      <c r="AC48" s="436"/>
      <c r="AD48" s="436"/>
      <c r="AE48" s="436"/>
    </row>
    <row r="49" spans="1:31" ht="18" x14ac:dyDescent="0.15">
      <c r="A49" s="421">
        <v>39</v>
      </c>
      <c r="B49" s="9" t="s">
        <v>132</v>
      </c>
      <c r="C49" s="422"/>
      <c r="D49" s="423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31"/>
      <c r="X49" s="424"/>
      <c r="Y49" s="424"/>
      <c r="Z49" s="424"/>
      <c r="AA49" s="436">
        <v>79796.103146666603</v>
      </c>
      <c r="AB49" s="436">
        <f t="shared" si="32"/>
        <v>-79796.103146666603</v>
      </c>
      <c r="AC49" s="436"/>
      <c r="AD49" s="436"/>
      <c r="AE49" s="436"/>
    </row>
    <row r="50" spans="1:31" ht="18" x14ac:dyDescent="0.15">
      <c r="A50" s="421">
        <v>40</v>
      </c>
      <c r="B50" s="9" t="s">
        <v>133</v>
      </c>
      <c r="C50" s="424">
        <v>77115</v>
      </c>
      <c r="D50" s="423">
        <v>12</v>
      </c>
      <c r="E50" s="424">
        <f t="shared" si="33"/>
        <v>925380</v>
      </c>
      <c r="F50" s="424"/>
      <c r="G50" s="425"/>
      <c r="H50" s="427"/>
      <c r="I50" s="424">
        <f t="shared" si="34"/>
        <v>925380</v>
      </c>
      <c r="J50" s="424">
        <v>200000</v>
      </c>
      <c r="K50" s="424">
        <v>0.2</v>
      </c>
      <c r="L50" s="424">
        <f t="shared" si="35"/>
        <v>185076</v>
      </c>
      <c r="M50" s="424">
        <f t="shared" si="36"/>
        <v>385076</v>
      </c>
      <c r="N50" s="424">
        <f t="shared" si="37"/>
        <v>385076</v>
      </c>
      <c r="O50" s="424">
        <f t="shared" si="38"/>
        <v>540304</v>
      </c>
      <c r="P50" s="424">
        <f t="shared" si="39"/>
        <v>21000</v>
      </c>
      <c r="Q50" s="424">
        <f t="shared" si="40"/>
        <v>26433.439999999999</v>
      </c>
      <c r="R50" s="424">
        <f t="shared" si="41"/>
        <v>0</v>
      </c>
      <c r="S50" s="424">
        <f t="shared" si="42"/>
        <v>0</v>
      </c>
      <c r="T50" s="424">
        <f t="shared" si="28"/>
        <v>0</v>
      </c>
      <c r="U50" s="424"/>
      <c r="V50" s="424">
        <f t="shared" si="29"/>
        <v>47433.440000000002</v>
      </c>
      <c r="W50" s="431">
        <v>12</v>
      </c>
      <c r="X50" s="424">
        <f t="shared" si="30"/>
        <v>3952.78666666667</v>
      </c>
      <c r="Y50" s="427"/>
      <c r="Z50" s="424">
        <f t="shared" si="31"/>
        <v>3952.78666666667</v>
      </c>
      <c r="AA50" s="436">
        <v>75572.915690666705</v>
      </c>
      <c r="AB50" s="436">
        <f t="shared" si="32"/>
        <v>-71620.129023999994</v>
      </c>
      <c r="AC50" s="436"/>
      <c r="AD50" s="436"/>
      <c r="AE50" s="436"/>
    </row>
    <row r="51" spans="1:31" ht="18" x14ac:dyDescent="0.15">
      <c r="A51" s="421">
        <v>41</v>
      </c>
      <c r="B51" s="12" t="s">
        <v>134</v>
      </c>
      <c r="C51" s="422"/>
      <c r="D51" s="423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4"/>
      <c r="Z51" s="424"/>
      <c r="AA51" s="436">
        <v>58026.609434666701</v>
      </c>
      <c r="AB51" s="436">
        <f t="shared" si="32"/>
        <v>-58026.609434666701</v>
      </c>
      <c r="AC51" s="436"/>
      <c r="AD51" s="436"/>
      <c r="AE51" s="436"/>
    </row>
    <row r="52" spans="1:31" ht="18" x14ac:dyDescent="0.15">
      <c r="A52" s="421">
        <v>42</v>
      </c>
      <c r="B52" s="9" t="s">
        <v>138</v>
      </c>
      <c r="C52" s="424">
        <v>31743.666666667901</v>
      </c>
      <c r="D52" s="423">
        <v>12</v>
      </c>
      <c r="E52" s="424">
        <f t="shared" si="33"/>
        <v>380924.00000001502</v>
      </c>
      <c r="F52" s="424"/>
      <c r="G52" s="425"/>
      <c r="H52" s="427"/>
      <c r="I52" s="424">
        <f t="shared" si="34"/>
        <v>380924.00000001502</v>
      </c>
      <c r="J52" s="424">
        <v>200000</v>
      </c>
      <c r="K52" s="424">
        <v>0.2</v>
      </c>
      <c r="L52" s="424">
        <f t="shared" si="35"/>
        <v>76184.800000003001</v>
      </c>
      <c r="M52" s="424">
        <f t="shared" si="36"/>
        <v>276184.80000000302</v>
      </c>
      <c r="N52" s="424">
        <f t="shared" si="37"/>
        <v>276184.80000000302</v>
      </c>
      <c r="O52" s="424">
        <f t="shared" si="38"/>
        <v>104739.200000012</v>
      </c>
      <c r="P52" s="424">
        <f t="shared" si="39"/>
        <v>7331.7440000008401</v>
      </c>
      <c r="Q52" s="424">
        <f t="shared" si="40"/>
        <v>0</v>
      </c>
      <c r="R52" s="424">
        <f t="shared" si="41"/>
        <v>0</v>
      </c>
      <c r="S52" s="424">
        <f t="shared" si="42"/>
        <v>0</v>
      </c>
      <c r="T52" s="424">
        <f t="shared" si="28"/>
        <v>0</v>
      </c>
      <c r="U52" s="424"/>
      <c r="V52" s="424">
        <f t="shared" si="29"/>
        <v>7331.7440000008401</v>
      </c>
      <c r="W52" s="431">
        <v>12</v>
      </c>
      <c r="X52" s="424">
        <f t="shared" si="30"/>
        <v>610.97866666673599</v>
      </c>
      <c r="Y52" s="427"/>
      <c r="Z52" s="424">
        <f t="shared" si="31"/>
        <v>610.97866666673599</v>
      </c>
      <c r="AA52" s="436">
        <v>33059.078406666697</v>
      </c>
      <c r="AB52" s="436">
        <f t="shared" si="32"/>
        <v>-32448.099740000001</v>
      </c>
      <c r="AC52" s="436"/>
      <c r="AD52" s="436"/>
      <c r="AE52" s="436"/>
    </row>
    <row r="53" spans="1:31" ht="18" x14ac:dyDescent="0.15">
      <c r="A53" s="421">
        <v>43</v>
      </c>
      <c r="B53" s="9" t="s">
        <v>142</v>
      </c>
      <c r="C53" s="424">
        <v>29265.333333335799</v>
      </c>
      <c r="D53" s="423">
        <v>12</v>
      </c>
      <c r="E53" s="424">
        <f t="shared" si="33"/>
        <v>351184.00000002998</v>
      </c>
      <c r="F53" s="424"/>
      <c r="G53" s="425"/>
      <c r="H53" s="427"/>
      <c r="I53" s="424">
        <f t="shared" si="34"/>
        <v>351184.00000002998</v>
      </c>
      <c r="J53" s="424">
        <v>200000</v>
      </c>
      <c r="K53" s="424">
        <v>0.2</v>
      </c>
      <c r="L53" s="424">
        <f t="shared" si="35"/>
        <v>70236.800000005998</v>
      </c>
      <c r="M53" s="424">
        <f t="shared" si="36"/>
        <v>270236.80000000598</v>
      </c>
      <c r="N53" s="424">
        <f t="shared" si="37"/>
        <v>270236.80000000598</v>
      </c>
      <c r="O53" s="424">
        <f t="shared" si="38"/>
        <v>80947.200000023804</v>
      </c>
      <c r="P53" s="424">
        <f t="shared" si="39"/>
        <v>5666.3040000016699</v>
      </c>
      <c r="Q53" s="424">
        <f t="shared" si="40"/>
        <v>0</v>
      </c>
      <c r="R53" s="424">
        <f t="shared" si="41"/>
        <v>0</v>
      </c>
      <c r="S53" s="424">
        <f t="shared" si="42"/>
        <v>0</v>
      </c>
      <c r="T53" s="424">
        <f t="shared" si="28"/>
        <v>0</v>
      </c>
      <c r="U53" s="424"/>
      <c r="V53" s="424">
        <f t="shared" si="29"/>
        <v>5666.3040000016699</v>
      </c>
      <c r="W53" s="431">
        <v>12</v>
      </c>
      <c r="X53" s="424">
        <f t="shared" si="30"/>
        <v>472.19200000013899</v>
      </c>
      <c r="Y53" s="427"/>
      <c r="Z53" s="424">
        <f t="shared" si="31"/>
        <v>472.19200000013899</v>
      </c>
      <c r="AA53" s="436">
        <v>29058.4826046667</v>
      </c>
      <c r="AB53" s="436">
        <f t="shared" si="32"/>
        <v>-28586.290604666599</v>
      </c>
      <c r="AC53" s="436"/>
      <c r="AD53" s="436"/>
      <c r="AE53" s="436"/>
    </row>
    <row r="54" spans="1:31" ht="18" x14ac:dyDescent="0.15">
      <c r="A54" s="421">
        <v>44</v>
      </c>
      <c r="B54" s="9" t="s">
        <v>143</v>
      </c>
      <c r="C54" s="424">
        <v>29265.333333335799</v>
      </c>
      <c r="D54" s="423">
        <v>12</v>
      </c>
      <c r="E54" s="424">
        <f t="shared" si="33"/>
        <v>351184.00000002998</v>
      </c>
      <c r="F54" s="424"/>
      <c r="G54" s="425"/>
      <c r="H54" s="427"/>
      <c r="I54" s="424">
        <f t="shared" si="34"/>
        <v>351184.00000002998</v>
      </c>
      <c r="J54" s="424">
        <v>200000</v>
      </c>
      <c r="K54" s="424">
        <v>0.2</v>
      </c>
      <c r="L54" s="424">
        <f t="shared" si="35"/>
        <v>70236.800000005998</v>
      </c>
      <c r="M54" s="424">
        <f t="shared" si="36"/>
        <v>270236.80000000598</v>
      </c>
      <c r="N54" s="424">
        <f t="shared" si="37"/>
        <v>270236.80000000598</v>
      </c>
      <c r="O54" s="424">
        <f t="shared" si="38"/>
        <v>80947.200000023804</v>
      </c>
      <c r="P54" s="424">
        <f t="shared" si="39"/>
        <v>5666.3040000016699</v>
      </c>
      <c r="Q54" s="424">
        <f t="shared" si="40"/>
        <v>0</v>
      </c>
      <c r="R54" s="424">
        <f t="shared" si="41"/>
        <v>0</v>
      </c>
      <c r="S54" s="424">
        <f t="shared" si="42"/>
        <v>0</v>
      </c>
      <c r="T54" s="424">
        <f t="shared" si="28"/>
        <v>0</v>
      </c>
      <c r="U54" s="424"/>
      <c r="V54" s="424">
        <f t="shared" si="29"/>
        <v>5666.3040000016699</v>
      </c>
      <c r="W54" s="431">
        <v>12</v>
      </c>
      <c r="X54" s="424">
        <f t="shared" si="30"/>
        <v>472.19200000013899</v>
      </c>
      <c r="Y54" s="427"/>
      <c r="Z54" s="424">
        <f t="shared" si="31"/>
        <v>472.19200000013899</v>
      </c>
      <c r="AA54" s="436">
        <v>28360.952862666702</v>
      </c>
      <c r="AB54" s="436">
        <f t="shared" si="32"/>
        <v>-27888.760862666601</v>
      </c>
      <c r="AC54" s="436"/>
      <c r="AD54" s="436"/>
      <c r="AE54" s="436"/>
    </row>
    <row r="55" spans="1:31" ht="18" x14ac:dyDescent="0.15">
      <c r="A55" s="421"/>
      <c r="B55" s="18" t="s">
        <v>111</v>
      </c>
      <c r="C55" s="429">
        <v>260067.66666667501</v>
      </c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" x14ac:dyDescent="0.2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" x14ac:dyDescent="0.1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" x14ac:dyDescent="0.15">
      <c r="A58" s="421">
        <v>47</v>
      </c>
      <c r="B58" s="9" t="s">
        <v>146</v>
      </c>
      <c r="C58" s="422"/>
      <c r="D58" s="423"/>
      <c r="E58" s="424"/>
      <c r="F58" s="424"/>
      <c r="G58" s="424"/>
      <c r="H58" s="424"/>
      <c r="I58" s="424"/>
      <c r="J58" s="424"/>
      <c r="K58" s="424"/>
      <c r="L58" s="424"/>
      <c r="M58" s="424"/>
      <c r="N58" s="424"/>
      <c r="O58" s="424"/>
      <c r="P58" s="424"/>
      <c r="Q58" s="424"/>
      <c r="R58" s="424"/>
      <c r="S58" s="424"/>
      <c r="T58" s="424"/>
      <c r="U58" s="424"/>
      <c r="V58" s="424"/>
      <c r="W58" s="431"/>
      <c r="X58" s="424"/>
      <c r="Y58" s="424"/>
      <c r="Z58" s="424"/>
      <c r="AA58" s="436">
        <v>180306.806858667</v>
      </c>
      <c r="AB58" s="436">
        <f t="shared" ref="AB58:AB71" si="43">Z58-AA58</f>
        <v>-180306.806858667</v>
      </c>
      <c r="AC58" s="436"/>
      <c r="AD58" s="436"/>
      <c r="AE58" s="436"/>
    </row>
    <row r="59" spans="1:31" ht="18" x14ac:dyDescent="0.15">
      <c r="A59" s="421">
        <v>48</v>
      </c>
      <c r="B59" s="9" t="s">
        <v>148</v>
      </c>
      <c r="C59" s="422"/>
      <c r="D59" s="423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31"/>
      <c r="X59" s="424"/>
      <c r="Y59" s="424"/>
      <c r="Z59" s="424"/>
      <c r="AA59" s="436">
        <v>64596.9391466667</v>
      </c>
      <c r="AB59" s="436">
        <f t="shared" si="43"/>
        <v>-64596.9391466667</v>
      </c>
      <c r="AC59" s="436"/>
      <c r="AD59" s="436"/>
      <c r="AE59" s="436"/>
    </row>
    <row r="60" spans="1:31" ht="18" x14ac:dyDescent="0.15">
      <c r="A60" s="421"/>
      <c r="B60" s="18" t="s">
        <v>111</v>
      </c>
      <c r="C60" s="422"/>
      <c r="D60" s="423"/>
      <c r="E60" s="424"/>
      <c r="F60" s="424"/>
      <c r="G60" s="424"/>
      <c r="H60" s="424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4"/>
      <c r="Z60" s="424"/>
      <c r="AA60" s="436"/>
      <c r="AB60" s="436"/>
      <c r="AC60" s="436"/>
      <c r="AD60" s="436"/>
      <c r="AE60" s="436"/>
    </row>
    <row r="61" spans="1:31" ht="18" x14ac:dyDescent="0.2">
      <c r="A61" s="421">
        <v>49</v>
      </c>
      <c r="B61" s="18"/>
      <c r="C61" s="422"/>
      <c r="D61" s="423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4"/>
      <c r="Z61" s="424"/>
      <c r="AA61" s="436"/>
      <c r="AB61" s="436"/>
      <c r="AC61" s="436"/>
      <c r="AD61" s="436"/>
      <c r="AE61" s="436"/>
    </row>
    <row r="62" spans="1:31" ht="31.5" x14ac:dyDescent="0.2">
      <c r="A62" s="421">
        <v>50</v>
      </c>
      <c r="B62" s="18" t="s">
        <v>151</v>
      </c>
      <c r="C62" s="422"/>
      <c r="D62" s="423"/>
      <c r="E62" s="424"/>
      <c r="F62" s="424"/>
      <c r="G62" s="424"/>
      <c r="H62" s="424"/>
      <c r="I62" s="424"/>
      <c r="J62" s="424"/>
      <c r="K62" s="424"/>
      <c r="L62" s="424"/>
      <c r="M62" s="424"/>
      <c r="N62" s="424"/>
      <c r="O62" s="424"/>
      <c r="P62" s="424"/>
      <c r="Q62" s="424"/>
      <c r="R62" s="424"/>
      <c r="S62" s="424"/>
      <c r="T62" s="424"/>
      <c r="U62" s="424"/>
      <c r="V62" s="424"/>
      <c r="W62" s="431"/>
      <c r="X62" s="424"/>
      <c r="Y62" s="424"/>
      <c r="Z62" s="424"/>
      <c r="AA62" s="436">
        <v>180306.806858667</v>
      </c>
      <c r="AB62" s="436">
        <f t="shared" si="43"/>
        <v>-180306.806858667</v>
      </c>
      <c r="AC62" s="436"/>
      <c r="AD62" s="436"/>
      <c r="AE62" s="436"/>
    </row>
    <row r="63" spans="1:31" ht="23.25" customHeight="1" x14ac:dyDescent="0.2">
      <c r="A63" s="421">
        <v>51</v>
      </c>
      <c r="B63" s="12" t="s">
        <v>152</v>
      </c>
      <c r="C63" s="422"/>
      <c r="D63" s="423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31"/>
      <c r="X63" s="424"/>
      <c r="Y63" s="424"/>
      <c r="Z63" s="424"/>
      <c r="AA63" s="436">
        <v>77764.980266666695</v>
      </c>
      <c r="AB63" s="436">
        <f t="shared" si="43"/>
        <v>-77764.980266666695</v>
      </c>
      <c r="AC63" s="436"/>
      <c r="AD63" s="436"/>
      <c r="AE63" s="436"/>
    </row>
    <row r="64" spans="1:31" ht="18" x14ac:dyDescent="0.15">
      <c r="A64" s="421">
        <v>52</v>
      </c>
      <c r="B64" s="9" t="s">
        <v>155</v>
      </c>
      <c r="C64" s="424">
        <v>55503</v>
      </c>
      <c r="D64" s="423">
        <v>12</v>
      </c>
      <c r="E64" s="424">
        <f t="shared" ref="E64:E69" si="44">C64*D64</f>
        <v>666036</v>
      </c>
      <c r="F64" s="424"/>
      <c r="G64" s="425"/>
      <c r="H64" s="427"/>
      <c r="I64" s="424">
        <f t="shared" ref="I64:I69" si="45">E64-F64-G64-H64</f>
        <v>666036</v>
      </c>
      <c r="J64" s="424">
        <v>200000</v>
      </c>
      <c r="K64" s="424">
        <v>0.2</v>
      </c>
      <c r="L64" s="424">
        <f t="shared" ref="L64:L69" si="46">I64*K64</f>
        <v>133207.20000000001</v>
      </c>
      <c r="M64" s="424">
        <f t="shared" ref="M64:M69" si="47">J64+L64</f>
        <v>333207.2</v>
      </c>
      <c r="N64" s="424">
        <f t="shared" ref="N64:N69" si="48">F64+G64+H64+M64</f>
        <v>333207.2</v>
      </c>
      <c r="O64" s="424">
        <f t="shared" ref="O64:O69" si="49">E64-N64</f>
        <v>332828.79999999999</v>
      </c>
      <c r="P64" s="424">
        <f t="shared" ref="P64:P69" si="50">IF(O64&lt;300000,0.07*O64,21000)</f>
        <v>21000</v>
      </c>
      <c r="Q64" s="424">
        <f t="shared" ref="Q64:Q69" si="51">IF((O64-300000)&lt;0,0,IF((O64-300000)&lt;300000,0.11*(O64-300000),33000))</f>
        <v>3611.1680000000001</v>
      </c>
      <c r="R64" s="424">
        <f t="shared" ref="R64:R69" si="52">IF((O64-600000)&lt;0,0,IF((O64-600000)&lt;500000,0.15*(O64-600000),75000))</f>
        <v>0</v>
      </c>
      <c r="S64" s="424">
        <f t="shared" ref="S64:S69" si="53">IF((O64-1100000)&lt;0,0,IF((O64-1100000)&lt;500000,0.19*(O64-1100000),95000))</f>
        <v>0</v>
      </c>
      <c r="T64" s="424">
        <f t="shared" ref="T64:T69" si="54">IF((O64-1600000)&lt;0,0,IF((O64-1600000)&lt;1600000,0.21*(O64-1600000),336000))</f>
        <v>0</v>
      </c>
      <c r="U64" s="424"/>
      <c r="V64" s="424">
        <f t="shared" ref="V64:V69" si="55">P64+Q64+R64+S64+T64+U64</f>
        <v>24611.168000000001</v>
      </c>
      <c r="W64" s="431">
        <v>12</v>
      </c>
      <c r="X64" s="424">
        <f t="shared" ref="X64:X69" si="56">V64/W64</f>
        <v>2050.9306666666698</v>
      </c>
      <c r="Y64" s="427"/>
      <c r="Z64" s="424">
        <f t="shared" ref="Z64:Z69" si="57">X64</f>
        <v>2050.9306666666698</v>
      </c>
      <c r="AA64" s="436">
        <v>54931.249226666703</v>
      </c>
      <c r="AB64" s="436">
        <f t="shared" si="43"/>
        <v>-52880.31856</v>
      </c>
      <c r="AC64" s="436"/>
      <c r="AD64" s="436"/>
      <c r="AE64" s="436"/>
    </row>
    <row r="65" spans="1:31" ht="18" x14ac:dyDescent="0.15">
      <c r="A65" s="421">
        <v>53</v>
      </c>
      <c r="B65" s="9" t="s">
        <v>161</v>
      </c>
      <c r="C65" s="424">
        <v>48765.333333335802</v>
      </c>
      <c r="D65" s="423">
        <v>12</v>
      </c>
      <c r="E65" s="424">
        <f t="shared" si="44"/>
        <v>585184.00000003004</v>
      </c>
      <c r="F65" s="424"/>
      <c r="G65" s="425"/>
      <c r="H65" s="427"/>
      <c r="I65" s="424">
        <f t="shared" si="45"/>
        <v>585184.00000003004</v>
      </c>
      <c r="J65" s="424">
        <v>200000</v>
      </c>
      <c r="K65" s="424">
        <v>0.2</v>
      </c>
      <c r="L65" s="424">
        <f t="shared" si="46"/>
        <v>117036.800000006</v>
      </c>
      <c r="M65" s="424">
        <f t="shared" si="47"/>
        <v>317036.80000000598</v>
      </c>
      <c r="N65" s="424">
        <f t="shared" si="48"/>
        <v>317036.80000000598</v>
      </c>
      <c r="O65" s="424">
        <f t="shared" si="49"/>
        <v>268147.20000002399</v>
      </c>
      <c r="P65" s="424">
        <f t="shared" si="50"/>
        <v>18770.304000001699</v>
      </c>
      <c r="Q65" s="424">
        <f t="shared" si="51"/>
        <v>0</v>
      </c>
      <c r="R65" s="424">
        <f t="shared" si="52"/>
        <v>0</v>
      </c>
      <c r="S65" s="424">
        <f t="shared" si="53"/>
        <v>0</v>
      </c>
      <c r="T65" s="424">
        <f t="shared" si="54"/>
        <v>0</v>
      </c>
      <c r="U65" s="424"/>
      <c r="V65" s="424">
        <f t="shared" si="55"/>
        <v>18770.304000001699</v>
      </c>
      <c r="W65" s="431">
        <v>12</v>
      </c>
      <c r="X65" s="424">
        <f t="shared" si="56"/>
        <v>1564.1920000001401</v>
      </c>
      <c r="Y65" s="427"/>
      <c r="Z65" s="424">
        <f t="shared" si="57"/>
        <v>1564.1920000001401</v>
      </c>
      <c r="AA65" s="436">
        <v>49548.776186666699</v>
      </c>
      <c r="AB65" s="436">
        <f t="shared" si="43"/>
        <v>-47984.584186666601</v>
      </c>
      <c r="AC65" s="436"/>
      <c r="AD65" s="436"/>
      <c r="AE65" s="436"/>
    </row>
    <row r="66" spans="1:31" ht="18" x14ac:dyDescent="0.15">
      <c r="A66" s="421">
        <v>54</v>
      </c>
      <c r="B66" s="9" t="s">
        <v>163</v>
      </c>
      <c r="C66" s="424">
        <v>48765.333333335802</v>
      </c>
      <c r="D66" s="423">
        <v>12</v>
      </c>
      <c r="E66" s="424">
        <f t="shared" si="44"/>
        <v>585184.00000003004</v>
      </c>
      <c r="F66" s="424"/>
      <c r="G66" s="425"/>
      <c r="H66" s="427"/>
      <c r="I66" s="424">
        <f t="shared" si="45"/>
        <v>585184.00000003004</v>
      </c>
      <c r="J66" s="424">
        <v>200000</v>
      </c>
      <c r="K66" s="424">
        <v>0.2</v>
      </c>
      <c r="L66" s="424">
        <f t="shared" si="46"/>
        <v>117036.800000006</v>
      </c>
      <c r="M66" s="424">
        <f t="shared" si="47"/>
        <v>317036.80000000598</v>
      </c>
      <c r="N66" s="424">
        <f t="shared" si="48"/>
        <v>317036.80000000598</v>
      </c>
      <c r="O66" s="424">
        <f t="shared" si="49"/>
        <v>268147.20000002399</v>
      </c>
      <c r="P66" s="424">
        <f t="shared" si="50"/>
        <v>18770.304000001699</v>
      </c>
      <c r="Q66" s="424">
        <f t="shared" si="51"/>
        <v>0</v>
      </c>
      <c r="R66" s="424">
        <f t="shared" si="52"/>
        <v>0</v>
      </c>
      <c r="S66" s="424">
        <f t="shared" si="53"/>
        <v>0</v>
      </c>
      <c r="T66" s="424">
        <f t="shared" si="54"/>
        <v>0</v>
      </c>
      <c r="U66" s="424"/>
      <c r="V66" s="424">
        <f t="shared" si="55"/>
        <v>18770.304000001699</v>
      </c>
      <c r="W66" s="431">
        <v>12</v>
      </c>
      <c r="X66" s="424">
        <f t="shared" si="56"/>
        <v>1564.1920000001401</v>
      </c>
      <c r="Y66" s="427"/>
      <c r="Z66" s="424">
        <f t="shared" si="57"/>
        <v>1564.1920000001401</v>
      </c>
      <c r="AA66" s="436">
        <v>46666.666666666701</v>
      </c>
      <c r="AB66" s="436">
        <f t="shared" si="43"/>
        <v>-45102.474666666603</v>
      </c>
      <c r="AC66" s="436"/>
      <c r="AD66" s="436"/>
      <c r="AE66" s="436"/>
    </row>
    <row r="67" spans="1:31" ht="18" x14ac:dyDescent="0.15">
      <c r="A67" s="421">
        <v>55</v>
      </c>
      <c r="B67" s="9" t="s">
        <v>164</v>
      </c>
      <c r="C67" s="424">
        <v>48765.333333335802</v>
      </c>
      <c r="D67" s="423">
        <v>12</v>
      </c>
      <c r="E67" s="424">
        <f t="shared" si="44"/>
        <v>585184.00000003004</v>
      </c>
      <c r="F67" s="424"/>
      <c r="G67" s="425"/>
      <c r="H67" s="427"/>
      <c r="I67" s="424">
        <f t="shared" si="45"/>
        <v>585184.00000003004</v>
      </c>
      <c r="J67" s="424">
        <v>200000</v>
      </c>
      <c r="K67" s="424">
        <v>0.2</v>
      </c>
      <c r="L67" s="424">
        <f t="shared" si="46"/>
        <v>117036.800000006</v>
      </c>
      <c r="M67" s="424">
        <f t="shared" si="47"/>
        <v>317036.80000000598</v>
      </c>
      <c r="N67" s="424">
        <f t="shared" si="48"/>
        <v>317036.80000000598</v>
      </c>
      <c r="O67" s="424">
        <f t="shared" si="49"/>
        <v>268147.20000002399</v>
      </c>
      <c r="P67" s="424">
        <f t="shared" si="50"/>
        <v>18770.304000001699</v>
      </c>
      <c r="Q67" s="424">
        <f t="shared" si="51"/>
        <v>0</v>
      </c>
      <c r="R67" s="424">
        <f t="shared" si="52"/>
        <v>0</v>
      </c>
      <c r="S67" s="424">
        <f t="shared" si="53"/>
        <v>0</v>
      </c>
      <c r="T67" s="424">
        <f t="shared" si="54"/>
        <v>0</v>
      </c>
      <c r="U67" s="424"/>
      <c r="V67" s="424">
        <f t="shared" si="55"/>
        <v>18770.304000001699</v>
      </c>
      <c r="W67" s="431">
        <v>12</v>
      </c>
      <c r="X67" s="424">
        <f t="shared" si="56"/>
        <v>1564.1920000001401</v>
      </c>
      <c r="Y67" s="427"/>
      <c r="Z67" s="424">
        <f t="shared" si="57"/>
        <v>1564.1920000001401</v>
      </c>
      <c r="AA67" s="436">
        <v>41338.951098666701</v>
      </c>
      <c r="AB67" s="436">
        <f t="shared" si="43"/>
        <v>-39774.759098666596</v>
      </c>
      <c r="AC67" s="436"/>
      <c r="AD67" s="436"/>
      <c r="AE67" s="436"/>
    </row>
    <row r="68" spans="1:31" ht="18" x14ac:dyDescent="0.15">
      <c r="A68" s="421">
        <v>56</v>
      </c>
      <c r="B68" s="9" t="s">
        <v>165</v>
      </c>
      <c r="C68" s="424">
        <v>48765.333333332099</v>
      </c>
      <c r="D68" s="423">
        <v>12</v>
      </c>
      <c r="E68" s="424">
        <f t="shared" si="44"/>
        <v>585183.99999998498</v>
      </c>
      <c r="F68" s="424"/>
      <c r="G68" s="425"/>
      <c r="H68" s="427"/>
      <c r="I68" s="424">
        <f t="shared" si="45"/>
        <v>585183.99999998498</v>
      </c>
      <c r="J68" s="424">
        <v>200000</v>
      </c>
      <c r="K68" s="424">
        <v>0.2</v>
      </c>
      <c r="L68" s="424">
        <f t="shared" si="46"/>
        <v>117036.79999999701</v>
      </c>
      <c r="M68" s="424">
        <f t="shared" si="47"/>
        <v>317036.79999999702</v>
      </c>
      <c r="N68" s="424">
        <f t="shared" si="48"/>
        <v>317036.79999999702</v>
      </c>
      <c r="O68" s="424">
        <f t="shared" si="49"/>
        <v>268147.19999998802</v>
      </c>
      <c r="P68" s="424">
        <f t="shared" si="50"/>
        <v>18770.3039999992</v>
      </c>
      <c r="Q68" s="424">
        <f t="shared" si="51"/>
        <v>0</v>
      </c>
      <c r="R68" s="424">
        <f t="shared" si="52"/>
        <v>0</v>
      </c>
      <c r="S68" s="424">
        <f t="shared" si="53"/>
        <v>0</v>
      </c>
      <c r="T68" s="424">
        <f t="shared" si="54"/>
        <v>0</v>
      </c>
      <c r="U68" s="424"/>
      <c r="V68" s="424">
        <f t="shared" si="55"/>
        <v>18770.3039999992</v>
      </c>
      <c r="W68" s="431">
        <v>12</v>
      </c>
      <c r="X68" s="424">
        <f t="shared" si="56"/>
        <v>1564.19199999993</v>
      </c>
      <c r="Y68" s="427"/>
      <c r="Z68" s="424">
        <f t="shared" si="57"/>
        <v>1564.19199999993</v>
      </c>
      <c r="AA68" s="436">
        <v>41338.951098666701</v>
      </c>
      <c r="AB68" s="436">
        <f t="shared" si="43"/>
        <v>-39774.7590986668</v>
      </c>
      <c r="AC68" s="436"/>
      <c r="AD68" s="436"/>
      <c r="AE68" s="436"/>
    </row>
    <row r="69" spans="1:31" ht="18" x14ac:dyDescent="0.15">
      <c r="A69" s="421">
        <v>57</v>
      </c>
      <c r="B69" s="9" t="s">
        <v>168</v>
      </c>
      <c r="C69" s="424">
        <v>31743.666666667901</v>
      </c>
      <c r="D69" s="423">
        <v>12</v>
      </c>
      <c r="E69" s="424">
        <f t="shared" si="44"/>
        <v>380924.00000001502</v>
      </c>
      <c r="F69" s="424"/>
      <c r="G69" s="425"/>
      <c r="H69" s="427"/>
      <c r="I69" s="424">
        <f t="shared" si="45"/>
        <v>380924.00000001502</v>
      </c>
      <c r="J69" s="424">
        <v>200000</v>
      </c>
      <c r="K69" s="424">
        <v>0.2</v>
      </c>
      <c r="L69" s="424">
        <f t="shared" si="46"/>
        <v>76184.800000003001</v>
      </c>
      <c r="M69" s="424">
        <f t="shared" si="47"/>
        <v>276184.80000000302</v>
      </c>
      <c r="N69" s="424">
        <f t="shared" si="48"/>
        <v>276184.80000000302</v>
      </c>
      <c r="O69" s="424">
        <f t="shared" si="49"/>
        <v>104739.200000012</v>
      </c>
      <c r="P69" s="424">
        <f t="shared" si="50"/>
        <v>7331.7440000008401</v>
      </c>
      <c r="Q69" s="424">
        <f t="shared" si="51"/>
        <v>0</v>
      </c>
      <c r="R69" s="424">
        <f t="shared" si="52"/>
        <v>0</v>
      </c>
      <c r="S69" s="424">
        <f t="shared" si="53"/>
        <v>0</v>
      </c>
      <c r="T69" s="424">
        <f t="shared" si="54"/>
        <v>0</v>
      </c>
      <c r="U69" s="424"/>
      <c r="V69" s="424">
        <f t="shared" si="55"/>
        <v>7331.7440000008401</v>
      </c>
      <c r="W69" s="431">
        <v>12</v>
      </c>
      <c r="X69" s="424">
        <f t="shared" si="56"/>
        <v>610.97866666673599</v>
      </c>
      <c r="Y69" s="427"/>
      <c r="Z69" s="424">
        <f t="shared" si="57"/>
        <v>610.97866666673599</v>
      </c>
      <c r="AA69" s="436">
        <v>41338.951098666701</v>
      </c>
      <c r="AB69" s="436">
        <f t="shared" si="43"/>
        <v>-40727.972432000002</v>
      </c>
      <c r="AC69" s="436"/>
      <c r="AD69" s="436"/>
      <c r="AE69" s="436"/>
    </row>
    <row r="70" spans="1:31" ht="18" x14ac:dyDescent="0.15">
      <c r="A70" s="421">
        <v>58</v>
      </c>
      <c r="B70" s="18" t="s">
        <v>111</v>
      </c>
      <c r="C70" s="422"/>
      <c r="D70" s="423"/>
      <c r="E70" s="424"/>
      <c r="F70" s="424"/>
      <c r="G70" s="424"/>
      <c r="H70" s="424"/>
      <c r="I70" s="424"/>
      <c r="J70" s="424"/>
      <c r="K70" s="424"/>
      <c r="L70" s="424"/>
      <c r="M70" s="424"/>
      <c r="N70" s="424"/>
      <c r="O70" s="424"/>
      <c r="P70" s="424"/>
      <c r="Q70" s="424"/>
      <c r="R70" s="424"/>
      <c r="S70" s="424"/>
      <c r="T70" s="424"/>
      <c r="U70" s="424"/>
      <c r="V70" s="424"/>
      <c r="W70" s="431"/>
      <c r="X70" s="424"/>
      <c r="Y70" s="424"/>
      <c r="Z70" s="424"/>
      <c r="AA70" s="436">
        <v>43368.882414666703</v>
      </c>
      <c r="AB70" s="436">
        <f t="shared" si="43"/>
        <v>-43368.882414666703</v>
      </c>
      <c r="AC70" s="436"/>
      <c r="AD70" s="436"/>
      <c r="AE70" s="436"/>
    </row>
    <row r="71" spans="1:31" ht="18" x14ac:dyDescent="0.2">
      <c r="A71" s="421">
        <v>59</v>
      </c>
      <c r="B71" s="20"/>
      <c r="C71" s="422"/>
      <c r="D71" s="423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31"/>
      <c r="X71" s="424"/>
      <c r="Y71" s="424"/>
      <c r="Z71" s="424"/>
      <c r="AA71" s="436">
        <v>33825.986562666702</v>
      </c>
      <c r="AB71" s="436">
        <f t="shared" si="43"/>
        <v>-33825.986562666702</v>
      </c>
      <c r="AC71" s="436"/>
      <c r="AD71" s="436"/>
      <c r="AE71" s="436"/>
    </row>
    <row r="72" spans="1:31" ht="18" x14ac:dyDescent="0.15">
      <c r="A72" s="421">
        <v>60</v>
      </c>
      <c r="B72" s="18" t="s">
        <v>169</v>
      </c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" x14ac:dyDescent="0.15">
      <c r="A73" s="421">
        <v>61</v>
      </c>
      <c r="B73" s="9" t="s">
        <v>170</v>
      </c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" x14ac:dyDescent="0.15">
      <c r="A74" s="421"/>
      <c r="B74" s="9" t="s">
        <v>172</v>
      </c>
      <c r="C74" s="424">
        <v>77115</v>
      </c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" x14ac:dyDescent="0.15">
      <c r="A75" s="421"/>
      <c r="B75" s="9" t="s">
        <v>174</v>
      </c>
      <c r="C75" s="424">
        <v>55503</v>
      </c>
      <c r="D75" s="423">
        <v>12</v>
      </c>
      <c r="E75" s="424">
        <f t="shared" ref="E75:E81" si="58">C75*D75</f>
        <v>666036</v>
      </c>
      <c r="F75" s="424"/>
      <c r="G75" s="425"/>
      <c r="H75" s="427"/>
      <c r="I75" s="424">
        <f t="shared" ref="I75:I81" si="59">E75-F75-G75-H75</f>
        <v>666036</v>
      </c>
      <c r="J75" s="424">
        <v>200000</v>
      </c>
      <c r="K75" s="424">
        <v>0.2</v>
      </c>
      <c r="L75" s="424">
        <f t="shared" ref="L75:L81" si="60">I75*K75</f>
        <v>133207.20000000001</v>
      </c>
      <c r="M75" s="424">
        <f t="shared" ref="M75:M81" si="61">J75+L75</f>
        <v>333207.2</v>
      </c>
      <c r="N75" s="424">
        <f t="shared" ref="N75:N81" si="62">F75+G75+H75+M75</f>
        <v>333207.2</v>
      </c>
      <c r="O75" s="424">
        <f t="shared" ref="O75:O81" si="63">E75-N75</f>
        <v>332828.79999999999</v>
      </c>
      <c r="P75" s="424">
        <f t="shared" ref="P75:P81" si="64">IF(O75&lt;300000,0.07*O75,21000)</f>
        <v>21000</v>
      </c>
      <c r="Q75" s="424">
        <f t="shared" ref="Q75:Q81" si="65">IF((O75-300000)&lt;0,0,IF((O75-300000)&lt;300000,0.11*(O75-300000),33000))</f>
        <v>3611.1680000000001</v>
      </c>
      <c r="R75" s="424">
        <f t="shared" ref="R75:R81" si="66">IF((O75-600000)&lt;0,0,IF((O75-600000)&lt;500000,0.15*(O75-600000),75000))</f>
        <v>0</v>
      </c>
      <c r="S75" s="424">
        <f t="shared" ref="S75:S81" si="67">IF((O75-1100000)&lt;0,0,IF((O75-1100000)&lt;500000,0.19*(O75-1100000),95000))</f>
        <v>0</v>
      </c>
      <c r="T75" s="424">
        <f t="shared" ref="T75:T81" si="68">IF((O75-1600000)&lt;0,0,IF((O75-1600000)&lt;1600000,0.21*(O75-1600000),336000))</f>
        <v>0</v>
      </c>
      <c r="U75" s="424"/>
      <c r="V75" s="424">
        <f t="shared" ref="V75:V81" si="69">P75+Q75+R75+S75+T75+U75</f>
        <v>24611.168000000001</v>
      </c>
      <c r="W75" s="431">
        <v>12</v>
      </c>
      <c r="X75" s="424">
        <f t="shared" ref="X75:X81" si="70">V75/W75</f>
        <v>2050.9306666666698</v>
      </c>
      <c r="Y75" s="427"/>
      <c r="Z75" s="424">
        <f t="shared" ref="Z75:Z81" si="71">X75</f>
        <v>2050.9306666666698</v>
      </c>
      <c r="AA75" s="436">
        <v>180306.806858667</v>
      </c>
      <c r="AB75" s="436">
        <f t="shared" ref="AB75:AB81" si="72">Z75-AA75</f>
        <v>-178255.876192</v>
      </c>
      <c r="AC75" s="436"/>
      <c r="AD75" s="436"/>
      <c r="AE75" s="436"/>
    </row>
    <row r="76" spans="1:31" ht="18" x14ac:dyDescent="0.15">
      <c r="A76" s="421">
        <v>62</v>
      </c>
      <c r="B76" s="9" t="s">
        <v>181</v>
      </c>
      <c r="C76" s="424">
        <v>0</v>
      </c>
      <c r="D76" s="423">
        <v>12</v>
      </c>
      <c r="E76" s="424">
        <f t="shared" si="58"/>
        <v>0</v>
      </c>
      <c r="F76" s="424"/>
      <c r="G76" s="425"/>
      <c r="H76" s="427"/>
      <c r="I76" s="424">
        <f t="shared" si="59"/>
        <v>0</v>
      </c>
      <c r="J76" s="424">
        <v>200000</v>
      </c>
      <c r="K76" s="424">
        <v>0.2</v>
      </c>
      <c r="L76" s="424">
        <f t="shared" si="60"/>
        <v>0</v>
      </c>
      <c r="M76" s="424">
        <f t="shared" si="61"/>
        <v>200000</v>
      </c>
      <c r="N76" s="424">
        <f t="shared" si="62"/>
        <v>200000</v>
      </c>
      <c r="O76" s="424">
        <f t="shared" si="63"/>
        <v>-200000</v>
      </c>
      <c r="P76" s="424">
        <f t="shared" si="64"/>
        <v>-14000</v>
      </c>
      <c r="Q76" s="424">
        <f t="shared" si="65"/>
        <v>0</v>
      </c>
      <c r="R76" s="424">
        <f t="shared" si="66"/>
        <v>0</v>
      </c>
      <c r="S76" s="424">
        <f t="shared" si="67"/>
        <v>0</v>
      </c>
      <c r="T76" s="424">
        <f t="shared" si="68"/>
        <v>0</v>
      </c>
      <c r="U76" s="424"/>
      <c r="V76" s="424">
        <f t="shared" si="69"/>
        <v>-14000</v>
      </c>
      <c r="W76" s="431">
        <v>12</v>
      </c>
      <c r="X76" s="424">
        <f t="shared" si="70"/>
        <v>-1166.6666666666699</v>
      </c>
      <c r="Y76" s="427"/>
      <c r="Z76" s="424">
        <f t="shared" si="71"/>
        <v>-1166.6666666666699</v>
      </c>
      <c r="AA76" s="436">
        <v>77764.980266666695</v>
      </c>
      <c r="AB76" s="436">
        <f t="shared" si="72"/>
        <v>-78931.646933333395</v>
      </c>
      <c r="AC76" s="436"/>
      <c r="AD76" s="436"/>
      <c r="AE76" s="436"/>
    </row>
    <row r="77" spans="1:31" ht="18" x14ac:dyDescent="0.15">
      <c r="A77" s="421">
        <v>63</v>
      </c>
      <c r="B77" s="9" t="s">
        <v>183</v>
      </c>
      <c r="C77" s="424">
        <v>0</v>
      </c>
      <c r="D77" s="423">
        <v>12</v>
      </c>
      <c r="E77" s="424">
        <f t="shared" si="58"/>
        <v>0</v>
      </c>
      <c r="F77" s="424"/>
      <c r="G77" s="425"/>
      <c r="H77" s="427"/>
      <c r="I77" s="424">
        <f t="shared" si="59"/>
        <v>0</v>
      </c>
      <c r="J77" s="424">
        <v>200000</v>
      </c>
      <c r="K77" s="424">
        <v>0.2</v>
      </c>
      <c r="L77" s="424">
        <f t="shared" si="60"/>
        <v>0</v>
      </c>
      <c r="M77" s="424">
        <f t="shared" si="61"/>
        <v>200000</v>
      </c>
      <c r="N77" s="424">
        <f t="shared" si="62"/>
        <v>200000</v>
      </c>
      <c r="O77" s="424">
        <f t="shared" si="63"/>
        <v>-200000</v>
      </c>
      <c r="P77" s="424">
        <f t="shared" si="64"/>
        <v>-14000</v>
      </c>
      <c r="Q77" s="424">
        <f t="shared" si="65"/>
        <v>0</v>
      </c>
      <c r="R77" s="424">
        <f t="shared" si="66"/>
        <v>0</v>
      </c>
      <c r="S77" s="424">
        <f t="shared" si="67"/>
        <v>0</v>
      </c>
      <c r="T77" s="424">
        <f t="shared" si="68"/>
        <v>0</v>
      </c>
      <c r="U77" s="424"/>
      <c r="V77" s="424">
        <f t="shared" si="69"/>
        <v>-14000</v>
      </c>
      <c r="W77" s="431">
        <v>12</v>
      </c>
      <c r="X77" s="424">
        <f t="shared" si="70"/>
        <v>-1166.6666666666699</v>
      </c>
      <c r="Y77" s="427"/>
      <c r="Z77" s="424">
        <f t="shared" si="71"/>
        <v>-1166.6666666666699</v>
      </c>
      <c r="AA77" s="436">
        <v>64596.9391466667</v>
      </c>
      <c r="AB77" s="436">
        <f t="shared" si="72"/>
        <v>-65763.605813333401</v>
      </c>
      <c r="AC77" s="436"/>
      <c r="AD77" s="436"/>
      <c r="AE77" s="436"/>
    </row>
    <row r="78" spans="1:31" ht="18" x14ac:dyDescent="0.15">
      <c r="A78" s="421">
        <v>64</v>
      </c>
      <c r="B78" s="9" t="s">
        <v>185</v>
      </c>
      <c r="C78" s="424">
        <v>24688.666666667999</v>
      </c>
      <c r="D78" s="423">
        <v>12</v>
      </c>
      <c r="E78" s="424">
        <f t="shared" si="58"/>
        <v>296264.00000001601</v>
      </c>
      <c r="F78" s="424"/>
      <c r="G78" s="425"/>
      <c r="H78" s="427"/>
      <c r="I78" s="424">
        <f t="shared" si="59"/>
        <v>296264.00000001601</v>
      </c>
      <c r="J78" s="424">
        <v>200000</v>
      </c>
      <c r="K78" s="424">
        <v>0.2</v>
      </c>
      <c r="L78" s="424">
        <f t="shared" si="60"/>
        <v>59252.800000003299</v>
      </c>
      <c r="M78" s="424">
        <f t="shared" si="61"/>
        <v>259252.80000000299</v>
      </c>
      <c r="N78" s="424">
        <f t="shared" si="62"/>
        <v>259252.80000000299</v>
      </c>
      <c r="O78" s="424">
        <f t="shared" si="63"/>
        <v>37011.200000013101</v>
      </c>
      <c r="P78" s="424">
        <f t="shared" si="64"/>
        <v>2590.7840000009101</v>
      </c>
      <c r="Q78" s="424">
        <f t="shared" si="65"/>
        <v>0</v>
      </c>
      <c r="R78" s="424">
        <f t="shared" si="66"/>
        <v>0</v>
      </c>
      <c r="S78" s="424">
        <f t="shared" si="67"/>
        <v>0</v>
      </c>
      <c r="T78" s="424">
        <f t="shared" si="68"/>
        <v>0</v>
      </c>
      <c r="U78" s="424"/>
      <c r="V78" s="424">
        <f t="shared" si="69"/>
        <v>2590.7840000009101</v>
      </c>
      <c r="W78" s="431">
        <v>12</v>
      </c>
      <c r="X78" s="424">
        <f t="shared" si="70"/>
        <v>215.898666666743</v>
      </c>
      <c r="Y78" s="427"/>
      <c r="Z78" s="424">
        <f t="shared" si="71"/>
        <v>215.898666666743</v>
      </c>
      <c r="AA78" s="436">
        <v>56350.586186666696</v>
      </c>
      <c r="AB78" s="436">
        <f t="shared" si="72"/>
        <v>-56134.687519999999</v>
      </c>
      <c r="AC78" s="436"/>
      <c r="AD78" s="436"/>
      <c r="AE78" s="436"/>
    </row>
    <row r="79" spans="1:31" ht="18" x14ac:dyDescent="0.15">
      <c r="A79" s="421">
        <v>65</v>
      </c>
      <c r="B79" s="18" t="s">
        <v>111</v>
      </c>
      <c r="C79" s="422"/>
      <c r="D79" s="423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31"/>
      <c r="X79" s="424"/>
      <c r="Y79" s="424"/>
      <c r="Z79" s="424"/>
      <c r="AA79" s="436">
        <v>17507.548966666702</v>
      </c>
      <c r="AB79" s="436">
        <f t="shared" si="72"/>
        <v>-17507.548966666702</v>
      </c>
      <c r="AC79" s="436"/>
      <c r="AD79" s="436"/>
      <c r="AE79" s="436"/>
    </row>
    <row r="80" spans="1:31" ht="24.75" customHeight="1" x14ac:dyDescent="0.2">
      <c r="A80" s="421"/>
      <c r="B80" s="18"/>
      <c r="C80" s="422"/>
      <c r="D80" s="423"/>
      <c r="E80" s="424"/>
      <c r="F80" s="424"/>
      <c r="G80" s="424"/>
      <c r="H80" s="424"/>
      <c r="I80" s="424"/>
      <c r="J80" s="424"/>
      <c r="K80" s="424"/>
      <c r="L80" s="424"/>
      <c r="M80" s="424"/>
      <c r="N80" s="424"/>
      <c r="O80" s="424"/>
      <c r="P80" s="424"/>
      <c r="Q80" s="424"/>
      <c r="R80" s="424"/>
      <c r="S80" s="424"/>
      <c r="T80" s="424"/>
      <c r="U80" s="424"/>
      <c r="V80" s="424"/>
      <c r="W80" s="431"/>
      <c r="X80" s="424"/>
      <c r="Y80" s="424"/>
      <c r="Z80" s="424"/>
      <c r="AA80" s="436">
        <v>29058.4826046667</v>
      </c>
      <c r="AB80" s="436">
        <f t="shared" si="72"/>
        <v>-29058.4826046667</v>
      </c>
      <c r="AC80" s="436"/>
      <c r="AD80" s="436"/>
      <c r="AE80" s="436"/>
    </row>
    <row r="81" spans="1:31" ht="18" x14ac:dyDescent="0.15">
      <c r="A81" s="421"/>
      <c r="B81" s="18" t="s">
        <v>187</v>
      </c>
      <c r="C81" s="422"/>
      <c r="D81" s="423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31"/>
      <c r="X81" s="424"/>
      <c r="Y81" s="424"/>
      <c r="Z81" s="424"/>
      <c r="AA81" s="436">
        <v>24751.170462666701</v>
      </c>
      <c r="AB81" s="436">
        <f t="shared" si="72"/>
        <v>-24751.170462666701</v>
      </c>
      <c r="AC81" s="436"/>
      <c r="AD81" s="436"/>
      <c r="AE81" s="436"/>
    </row>
    <row r="82" spans="1:31" ht="18" x14ac:dyDescent="0.15">
      <c r="A82" s="421"/>
      <c r="B82" s="9" t="s">
        <v>188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" x14ac:dyDescent="0.15">
      <c r="A83" s="421">
        <v>66</v>
      </c>
      <c r="B83" s="9" t="s">
        <v>190</v>
      </c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31.5" x14ac:dyDescent="0.2">
      <c r="A84" s="421">
        <v>67</v>
      </c>
      <c r="B84" s="9" t="s">
        <v>193</v>
      </c>
      <c r="C84" s="424">
        <v>77115</v>
      </c>
      <c r="D84" s="423">
        <v>12</v>
      </c>
      <c r="E84" s="424">
        <f>C84*D84</f>
        <v>925380</v>
      </c>
      <c r="F84" s="424"/>
      <c r="G84" s="425"/>
      <c r="H84" s="427"/>
      <c r="I84" s="424">
        <f>E84-F84-G84-H84</f>
        <v>925380</v>
      </c>
      <c r="J84" s="424">
        <v>200000</v>
      </c>
      <c r="K84" s="424">
        <v>0.2</v>
      </c>
      <c r="L84" s="424">
        <f>I84*K84</f>
        <v>185076</v>
      </c>
      <c r="M84" s="424">
        <f>J84+L84</f>
        <v>385076</v>
      </c>
      <c r="N84" s="424">
        <f>F84+G84+H84+M84</f>
        <v>385076</v>
      </c>
      <c r="O84" s="424">
        <f>E84-N84</f>
        <v>540304</v>
      </c>
      <c r="P84" s="424">
        <f>IF(O84&lt;300000,0.07*O84,21000)</f>
        <v>21000</v>
      </c>
      <c r="Q84" s="424">
        <f>IF((O84-300000)&lt;0,0,IF((O84-300000)&lt;300000,0.11*(O84-300000),33000))</f>
        <v>26433.439999999999</v>
      </c>
      <c r="R84" s="424">
        <f>IF((O84-600000)&lt;0,0,IF((O84-600000)&lt;500000,0.15*(O84-600000),75000))</f>
        <v>0</v>
      </c>
      <c r="S84" s="424">
        <f>IF((O84-1100000)&lt;0,0,IF((O84-1100000)&lt;500000,0.19*(O84-1100000),95000))</f>
        <v>0</v>
      </c>
      <c r="T84" s="424">
        <f>IF((O84-1600000)&lt;0,0,IF((O84-1600000)&lt;1600000,0.21*(O84-1600000),336000))</f>
        <v>0</v>
      </c>
      <c r="U84" s="424"/>
      <c r="V84" s="424">
        <f>P84+Q84+R84+S84+T84+U84</f>
        <v>47433.440000000002</v>
      </c>
      <c r="W84" s="431">
        <v>12</v>
      </c>
      <c r="X84" s="424">
        <f>V84/W84</f>
        <v>3952.78666666667</v>
      </c>
      <c r="Y84" s="427"/>
      <c r="Z84" s="424">
        <f>X84</f>
        <v>3952.78666666667</v>
      </c>
      <c r="AA84" s="424">
        <v>98996.103146666705</v>
      </c>
      <c r="AB84" s="259" t="s">
        <v>649</v>
      </c>
      <c r="AC84" s="436"/>
      <c r="AD84" s="436"/>
      <c r="AE84" s="436"/>
    </row>
    <row r="85" spans="1:31" ht="18" x14ac:dyDescent="0.15">
      <c r="A85" s="421">
        <v>68</v>
      </c>
      <c r="B85" s="9" t="s">
        <v>194</v>
      </c>
      <c r="C85" s="424"/>
      <c r="D85" s="423"/>
      <c r="E85" s="424"/>
      <c r="F85" s="424"/>
      <c r="G85" s="427"/>
      <c r="H85" s="427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31"/>
      <c r="X85" s="424"/>
      <c r="Y85" s="427"/>
      <c r="Z85" s="424"/>
      <c r="AA85" s="436"/>
      <c r="AB85" s="436"/>
      <c r="AC85" s="436" t="s">
        <v>190</v>
      </c>
      <c r="AD85" s="436"/>
      <c r="AE85" s="436"/>
    </row>
    <row r="86" spans="1:31" ht="18" x14ac:dyDescent="0.15">
      <c r="A86" s="421">
        <v>69</v>
      </c>
      <c r="B86" s="9" t="s">
        <v>195</v>
      </c>
      <c r="C86" s="424">
        <v>55503</v>
      </c>
      <c r="D86" s="423">
        <v>12</v>
      </c>
      <c r="E86" s="424">
        <f t="shared" ref="E85:E94" si="73">C86*D86</f>
        <v>666036</v>
      </c>
      <c r="F86" s="424"/>
      <c r="G86" s="425"/>
      <c r="H86" s="427"/>
      <c r="I86" s="424">
        <f t="shared" ref="I85:I94" si="74">E86-F86-G86-H86</f>
        <v>666036</v>
      </c>
      <c r="J86" s="424">
        <v>200000</v>
      </c>
      <c r="K86" s="424">
        <v>0.2</v>
      </c>
      <c r="L86" s="424">
        <f t="shared" ref="L85:L94" si="75">I86*K86</f>
        <v>133207.20000000001</v>
      </c>
      <c r="M86" s="424">
        <f t="shared" ref="M85:M94" si="76">J86+L86</f>
        <v>333207.2</v>
      </c>
      <c r="N86" s="424">
        <f t="shared" ref="N85:N94" si="77">F86+G86+H86+M86</f>
        <v>333207.2</v>
      </c>
      <c r="O86" s="424">
        <f t="shared" ref="O85:O94" si="78">E86-N86</f>
        <v>332828.79999999999</v>
      </c>
      <c r="P86" s="424">
        <f t="shared" ref="P85:P94" si="79">IF(O86&lt;300000,0.07*O86,21000)</f>
        <v>21000</v>
      </c>
      <c r="Q86" s="424">
        <f t="shared" ref="Q85:Q94" si="80">IF((O86-300000)&lt;0,0,IF((O86-300000)&lt;300000,0.11*(O86-300000),33000))</f>
        <v>3611.1680000000001</v>
      </c>
      <c r="R86" s="424">
        <f t="shared" ref="R85:R94" si="81">IF((O86-600000)&lt;0,0,IF((O86-600000)&lt;500000,0.15*(O86-600000),75000))</f>
        <v>0</v>
      </c>
      <c r="S86" s="424">
        <f t="shared" ref="S85:S94" si="82">IF((O86-1100000)&lt;0,0,IF((O86-1100000)&lt;500000,0.19*(O86-1100000),95000))</f>
        <v>0</v>
      </c>
      <c r="T86" s="424">
        <f t="shared" ref="T85:T94" si="83">IF((O86-1600000)&lt;0,0,IF((O86-1600000)&lt;1600000,0.21*(O86-1600000),336000))</f>
        <v>0</v>
      </c>
      <c r="U86" s="424"/>
      <c r="V86" s="424">
        <f t="shared" ref="V85:V94" si="84">P86+Q86+R86+S86+T86+U86</f>
        <v>24611.168000000001</v>
      </c>
      <c r="W86" s="431">
        <v>12</v>
      </c>
      <c r="X86" s="424">
        <f t="shared" ref="X85:X94" si="85">V86/W86</f>
        <v>2050.9306666666698</v>
      </c>
      <c r="Y86" s="427"/>
      <c r="Z86" s="424">
        <f t="shared" ref="Z85:Z94" si="86">X86</f>
        <v>2050.9306666666698</v>
      </c>
      <c r="AA86" s="424">
        <v>98996.103146666705</v>
      </c>
      <c r="AB86" s="436">
        <f t="shared" ref="AB85:AB94" si="87">Z86-AA86</f>
        <v>-96945.172479999994</v>
      </c>
      <c r="AC86" s="436" t="s">
        <v>188</v>
      </c>
      <c r="AD86" s="436"/>
      <c r="AE86" s="436"/>
    </row>
    <row r="87" spans="1:31" ht="31.5" x14ac:dyDescent="0.2">
      <c r="A87" s="421">
        <v>70</v>
      </c>
      <c r="B87" s="9" t="s">
        <v>196</v>
      </c>
      <c r="C87" s="424">
        <v>55503</v>
      </c>
      <c r="D87" s="423">
        <v>12</v>
      </c>
      <c r="E87" s="424">
        <f t="shared" si="73"/>
        <v>666036</v>
      </c>
      <c r="F87" s="424"/>
      <c r="G87" s="425"/>
      <c r="H87" s="427"/>
      <c r="I87" s="424">
        <f t="shared" si="74"/>
        <v>666036</v>
      </c>
      <c r="J87" s="424">
        <v>200000</v>
      </c>
      <c r="K87" s="424">
        <v>0.2</v>
      </c>
      <c r="L87" s="424">
        <f t="shared" si="75"/>
        <v>133207.20000000001</v>
      </c>
      <c r="M87" s="424">
        <f t="shared" si="76"/>
        <v>333207.2</v>
      </c>
      <c r="N87" s="424">
        <f t="shared" si="77"/>
        <v>333207.2</v>
      </c>
      <c r="O87" s="424">
        <f t="shared" si="78"/>
        <v>332828.79999999999</v>
      </c>
      <c r="P87" s="424">
        <f t="shared" si="79"/>
        <v>21000</v>
      </c>
      <c r="Q87" s="424">
        <f t="shared" si="80"/>
        <v>3611.1680000000001</v>
      </c>
      <c r="R87" s="424">
        <f t="shared" si="81"/>
        <v>0</v>
      </c>
      <c r="S87" s="424">
        <f t="shared" si="82"/>
        <v>0</v>
      </c>
      <c r="T87" s="424">
        <f t="shared" si="83"/>
        <v>0</v>
      </c>
      <c r="U87" s="424"/>
      <c r="V87" s="424">
        <f t="shared" si="84"/>
        <v>24611.168000000001</v>
      </c>
      <c r="W87" s="431">
        <v>12</v>
      </c>
      <c r="X87" s="424">
        <f t="shared" si="85"/>
        <v>2050.9306666666698</v>
      </c>
      <c r="Y87" s="427"/>
      <c r="Z87" s="424">
        <f t="shared" si="86"/>
        <v>2050.9306666666698</v>
      </c>
      <c r="AA87" s="424">
        <v>79956.9391466667</v>
      </c>
      <c r="AB87" s="436">
        <f t="shared" si="87"/>
        <v>-77906.008480000004</v>
      </c>
      <c r="AC87" s="436" t="s">
        <v>193</v>
      </c>
      <c r="AD87" s="436"/>
      <c r="AE87" s="436"/>
    </row>
    <row r="88" spans="1:31" ht="18" x14ac:dyDescent="0.15">
      <c r="A88" s="421">
        <v>71</v>
      </c>
      <c r="B88" s="9" t="s">
        <v>198</v>
      </c>
      <c r="C88" s="424">
        <v>48765.333333335802</v>
      </c>
      <c r="D88" s="423">
        <v>12</v>
      </c>
      <c r="E88" s="424">
        <f t="shared" si="73"/>
        <v>585184.00000003004</v>
      </c>
      <c r="F88" s="424"/>
      <c r="G88" s="425"/>
      <c r="H88" s="427"/>
      <c r="I88" s="424">
        <f t="shared" si="74"/>
        <v>585184.00000003004</v>
      </c>
      <c r="J88" s="424">
        <v>200000</v>
      </c>
      <c r="K88" s="424">
        <v>0.2</v>
      </c>
      <c r="L88" s="424">
        <f t="shared" si="75"/>
        <v>117036.800000006</v>
      </c>
      <c r="M88" s="424">
        <f t="shared" si="76"/>
        <v>317036.80000000598</v>
      </c>
      <c r="N88" s="424">
        <f t="shared" si="77"/>
        <v>317036.80000000598</v>
      </c>
      <c r="O88" s="424">
        <f t="shared" si="78"/>
        <v>268147.20000002399</v>
      </c>
      <c r="P88" s="424">
        <f t="shared" si="79"/>
        <v>18770.304000001699</v>
      </c>
      <c r="Q88" s="424">
        <f t="shared" si="80"/>
        <v>0</v>
      </c>
      <c r="R88" s="424">
        <f t="shared" si="81"/>
        <v>0</v>
      </c>
      <c r="S88" s="424">
        <f t="shared" si="82"/>
        <v>0</v>
      </c>
      <c r="T88" s="424">
        <f t="shared" si="83"/>
        <v>0</v>
      </c>
      <c r="U88" s="424"/>
      <c r="V88" s="424">
        <f t="shared" si="84"/>
        <v>18770.304000001699</v>
      </c>
      <c r="W88" s="431">
        <v>12</v>
      </c>
      <c r="X88" s="424">
        <f t="shared" si="85"/>
        <v>1564.1920000001401</v>
      </c>
      <c r="Y88" s="427"/>
      <c r="Z88" s="424">
        <f t="shared" si="86"/>
        <v>1564.1920000001401</v>
      </c>
      <c r="AA88" s="424">
        <v>75574.677290666703</v>
      </c>
      <c r="AB88" s="436">
        <f t="shared" si="87"/>
        <v>-74010.485290666606</v>
      </c>
      <c r="AC88" s="436" t="s">
        <v>194</v>
      </c>
      <c r="AD88" s="436"/>
      <c r="AE88" s="436"/>
    </row>
    <row r="89" spans="1:31" ht="18" x14ac:dyDescent="0.15">
      <c r="A89" s="421">
        <v>72</v>
      </c>
      <c r="B89" s="9" t="s">
        <v>199</v>
      </c>
      <c r="C89" s="424">
        <v>51556</v>
      </c>
      <c r="D89" s="423">
        <v>12</v>
      </c>
      <c r="E89" s="424">
        <f t="shared" si="73"/>
        <v>618672</v>
      </c>
      <c r="F89" s="424"/>
      <c r="G89" s="425"/>
      <c r="H89" s="427"/>
      <c r="I89" s="424">
        <f t="shared" si="74"/>
        <v>618672</v>
      </c>
      <c r="J89" s="424">
        <v>200000</v>
      </c>
      <c r="K89" s="424">
        <v>0.2</v>
      </c>
      <c r="L89" s="424">
        <f t="shared" si="75"/>
        <v>123734.39999999999</v>
      </c>
      <c r="M89" s="424">
        <f t="shared" si="76"/>
        <v>323734.40000000002</v>
      </c>
      <c r="N89" s="424">
        <f t="shared" si="77"/>
        <v>323734.40000000002</v>
      </c>
      <c r="O89" s="424">
        <f t="shared" si="78"/>
        <v>294937.59999999998</v>
      </c>
      <c r="P89" s="424">
        <f t="shared" si="79"/>
        <v>20645.632000000001</v>
      </c>
      <c r="Q89" s="424">
        <f t="shared" si="80"/>
        <v>0</v>
      </c>
      <c r="R89" s="424">
        <f t="shared" si="81"/>
        <v>0</v>
      </c>
      <c r="S89" s="424">
        <f t="shared" si="82"/>
        <v>0</v>
      </c>
      <c r="T89" s="424">
        <f t="shared" si="83"/>
        <v>0</v>
      </c>
      <c r="U89" s="424"/>
      <c r="V89" s="424">
        <f t="shared" si="84"/>
        <v>20645.632000000001</v>
      </c>
      <c r="W89" s="431">
        <v>12</v>
      </c>
      <c r="X89" s="424">
        <f t="shared" si="85"/>
        <v>1720.46933333333</v>
      </c>
      <c r="Y89" s="427"/>
      <c r="Z89" s="424">
        <f t="shared" si="86"/>
        <v>1720.46933333333</v>
      </c>
      <c r="AA89" s="424">
        <v>50985.977546666698</v>
      </c>
      <c r="AB89" s="436">
        <f t="shared" si="87"/>
        <v>-49265.5082133334</v>
      </c>
      <c r="AC89" s="436" t="s">
        <v>195</v>
      </c>
      <c r="AD89" s="436"/>
      <c r="AE89" s="436"/>
    </row>
    <row r="90" spans="1:31" ht="18" x14ac:dyDescent="0.15">
      <c r="A90" s="421">
        <v>73</v>
      </c>
      <c r="B90" s="9" t="s">
        <v>202</v>
      </c>
      <c r="C90" s="424">
        <v>31743.666666667901</v>
      </c>
      <c r="D90" s="423">
        <v>12</v>
      </c>
      <c r="E90" s="424">
        <f t="shared" si="73"/>
        <v>380924.00000001502</v>
      </c>
      <c r="F90" s="424"/>
      <c r="G90" s="425"/>
      <c r="H90" s="427"/>
      <c r="I90" s="424">
        <f t="shared" si="74"/>
        <v>380924.00000001502</v>
      </c>
      <c r="J90" s="424">
        <v>200000</v>
      </c>
      <c r="K90" s="424">
        <v>0.2</v>
      </c>
      <c r="L90" s="424">
        <f t="shared" si="75"/>
        <v>76184.800000003001</v>
      </c>
      <c r="M90" s="424">
        <f t="shared" si="76"/>
        <v>276184.80000000302</v>
      </c>
      <c r="N90" s="424">
        <f t="shared" si="77"/>
        <v>276184.80000000302</v>
      </c>
      <c r="O90" s="424">
        <f t="shared" si="78"/>
        <v>104739.200000012</v>
      </c>
      <c r="P90" s="424">
        <f t="shared" si="79"/>
        <v>7331.7440000008401</v>
      </c>
      <c r="Q90" s="424">
        <f t="shared" si="80"/>
        <v>0</v>
      </c>
      <c r="R90" s="424">
        <f t="shared" si="81"/>
        <v>0</v>
      </c>
      <c r="S90" s="424">
        <f t="shared" si="82"/>
        <v>0</v>
      </c>
      <c r="T90" s="424">
        <f t="shared" si="83"/>
        <v>0</v>
      </c>
      <c r="U90" s="424"/>
      <c r="V90" s="424">
        <f t="shared" si="84"/>
        <v>7331.7440000008401</v>
      </c>
      <c r="W90" s="431">
        <v>12</v>
      </c>
      <c r="X90" s="424">
        <f t="shared" si="85"/>
        <v>610.97866666673599</v>
      </c>
      <c r="Y90" s="427"/>
      <c r="Z90" s="424">
        <f t="shared" si="86"/>
        <v>610.97866666673599</v>
      </c>
      <c r="AA90" s="424">
        <v>49548.776186666699</v>
      </c>
      <c r="AB90" s="436">
        <f t="shared" si="87"/>
        <v>-48937.79752</v>
      </c>
      <c r="AC90" s="436" t="s">
        <v>196</v>
      </c>
      <c r="AD90" s="436"/>
      <c r="AE90" s="436"/>
    </row>
    <row r="91" spans="1:31" ht="18" x14ac:dyDescent="0.15">
      <c r="A91" s="421">
        <v>74</v>
      </c>
      <c r="B91" s="9" t="s">
        <v>204</v>
      </c>
      <c r="C91" s="424">
        <v>24688.666666664001</v>
      </c>
      <c r="D91" s="423">
        <v>12</v>
      </c>
      <c r="E91" s="424">
        <f t="shared" si="73"/>
        <v>296263.999999967</v>
      </c>
      <c r="F91" s="424"/>
      <c r="G91" s="430"/>
      <c r="H91" s="427"/>
      <c r="I91" s="424">
        <f t="shared" si="74"/>
        <v>296263.999999967</v>
      </c>
      <c r="J91" s="424">
        <v>200000</v>
      </c>
      <c r="K91" s="424">
        <v>0.2</v>
      </c>
      <c r="L91" s="424">
        <f t="shared" si="75"/>
        <v>59252.799999993498</v>
      </c>
      <c r="M91" s="424">
        <f t="shared" si="76"/>
        <v>259252.799999993</v>
      </c>
      <c r="N91" s="424">
        <f t="shared" si="77"/>
        <v>259252.799999993</v>
      </c>
      <c r="O91" s="424">
        <f t="shared" si="78"/>
        <v>37011.199999973898</v>
      </c>
      <c r="P91" s="424">
        <f t="shared" si="79"/>
        <v>2590.7839999981802</v>
      </c>
      <c r="Q91" s="424">
        <f t="shared" si="80"/>
        <v>0</v>
      </c>
      <c r="R91" s="424">
        <f t="shared" si="81"/>
        <v>0</v>
      </c>
      <c r="S91" s="424">
        <f t="shared" si="82"/>
        <v>0</v>
      </c>
      <c r="T91" s="424">
        <f t="shared" si="83"/>
        <v>0</v>
      </c>
      <c r="U91" s="424"/>
      <c r="V91" s="424">
        <f t="shared" si="84"/>
        <v>2590.7839999981802</v>
      </c>
      <c r="W91" s="431">
        <v>12</v>
      </c>
      <c r="X91" s="424">
        <f t="shared" si="85"/>
        <v>215.898666666515</v>
      </c>
      <c r="Y91" s="427"/>
      <c r="Z91" s="424">
        <f t="shared" si="86"/>
        <v>215.898666666515</v>
      </c>
      <c r="AA91" s="424">
        <v>53384.053562666697</v>
      </c>
      <c r="AB91" s="436">
        <f t="shared" si="87"/>
        <v>-53168.154896000196</v>
      </c>
      <c r="AC91" s="436" t="s">
        <v>198</v>
      </c>
      <c r="AD91" s="436"/>
      <c r="AE91" s="436"/>
    </row>
    <row r="92" spans="1:31" ht="24" customHeight="1" x14ac:dyDescent="0.15">
      <c r="A92" s="421">
        <v>75</v>
      </c>
      <c r="B92" s="18" t="s">
        <v>111</v>
      </c>
      <c r="C92" s="424"/>
      <c r="D92" s="423"/>
      <c r="E92" s="424"/>
      <c r="F92" s="424"/>
      <c r="G92" s="427"/>
      <c r="H92" s="427"/>
      <c r="I92" s="424"/>
      <c r="J92" s="424"/>
      <c r="K92" s="424"/>
      <c r="L92" s="424"/>
      <c r="M92" s="424"/>
      <c r="N92" s="424"/>
      <c r="O92" s="424"/>
      <c r="P92" s="424"/>
      <c r="Q92" s="424"/>
      <c r="R92" s="424"/>
      <c r="S92" s="424"/>
      <c r="T92" s="424"/>
      <c r="U92" s="424"/>
      <c r="V92" s="424"/>
      <c r="W92" s="431"/>
      <c r="X92" s="424"/>
      <c r="Y92" s="427"/>
      <c r="Z92" s="424"/>
      <c r="AA92" s="436"/>
      <c r="AB92" s="436"/>
      <c r="AC92" s="436" t="s">
        <v>199</v>
      </c>
      <c r="AD92" s="436"/>
      <c r="AE92" s="436"/>
    </row>
    <row r="93" spans="1:31" ht="18" x14ac:dyDescent="0.2">
      <c r="A93" s="421">
        <v>76</v>
      </c>
      <c r="B93" s="20"/>
      <c r="C93" s="424"/>
      <c r="D93" s="423"/>
      <c r="E93" s="424"/>
      <c r="F93" s="424"/>
      <c r="G93" s="427"/>
      <c r="H93" s="427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31"/>
      <c r="X93" s="424"/>
      <c r="Y93" s="427"/>
      <c r="Z93" s="424"/>
      <c r="AA93" s="436"/>
      <c r="AB93" s="436"/>
      <c r="AC93" s="436" t="s">
        <v>202</v>
      </c>
      <c r="AD93" s="436"/>
      <c r="AE93" s="436"/>
    </row>
    <row r="94" spans="1:31" ht="18" x14ac:dyDescent="0.15">
      <c r="A94" s="421"/>
      <c r="B94" s="18" t="s">
        <v>207</v>
      </c>
      <c r="C94" s="424"/>
      <c r="D94" s="423"/>
      <c r="E94" s="424"/>
      <c r="F94" s="424"/>
      <c r="G94" s="427"/>
      <c r="H94" s="427"/>
      <c r="I94" s="424"/>
      <c r="J94" s="424"/>
      <c r="K94" s="424"/>
      <c r="L94" s="424"/>
      <c r="M94" s="424"/>
      <c r="N94" s="424"/>
      <c r="O94" s="424"/>
      <c r="P94" s="424"/>
      <c r="Q94" s="424"/>
      <c r="R94" s="424"/>
      <c r="S94" s="424"/>
      <c r="T94" s="424"/>
      <c r="U94" s="424"/>
      <c r="V94" s="424"/>
      <c r="W94" s="431"/>
      <c r="X94" s="424"/>
      <c r="Y94" s="427"/>
      <c r="Z94" s="424"/>
      <c r="AA94" s="436"/>
      <c r="AB94" s="436"/>
      <c r="AC94" s="436" t="s">
        <v>204</v>
      </c>
      <c r="AD94" s="436"/>
      <c r="AE94" s="436"/>
    </row>
    <row r="95" spans="1:31" ht="31.5" x14ac:dyDescent="0.2">
      <c r="A95" s="421"/>
      <c r="B95" s="12" t="s">
        <v>208</v>
      </c>
      <c r="C95" s="424">
        <v>167354.66666664</v>
      </c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" x14ac:dyDescent="0.15">
      <c r="A96" s="421"/>
      <c r="B96" s="9" t="s">
        <v>211</v>
      </c>
      <c r="C96" s="424">
        <v>55503</v>
      </c>
      <c r="D96" s="423">
        <v>12</v>
      </c>
      <c r="E96" s="424">
        <f>C96*D96</f>
        <v>666036</v>
      </c>
      <c r="F96" s="424"/>
      <c r="G96" s="425"/>
      <c r="H96" s="427"/>
      <c r="I96" s="424">
        <f>E96-F96-G96-H96</f>
        <v>666036</v>
      </c>
      <c r="J96" s="424">
        <v>200000</v>
      </c>
      <c r="K96" s="424">
        <v>0.2</v>
      </c>
      <c r="L96" s="424">
        <f>I96*K96</f>
        <v>133207.20000000001</v>
      </c>
      <c r="M96" s="424">
        <f>J96+L96</f>
        <v>333207.2</v>
      </c>
      <c r="N96" s="424">
        <f>F96+G96+H96+M96</f>
        <v>333207.2</v>
      </c>
      <c r="O96" s="424">
        <f>E96-N96</f>
        <v>332828.79999999999</v>
      </c>
      <c r="P96" s="424">
        <f>IF(O96&lt;300000,0.07*O96,21000)</f>
        <v>21000</v>
      </c>
      <c r="Q96" s="424">
        <f>IF((O96-300000)&lt;0,0,IF((O96-300000)&lt;300000,0.11*(O96-300000),33000))</f>
        <v>3611.1680000000001</v>
      </c>
      <c r="R96" s="424">
        <f>IF((O96-600000)&lt;0,0,IF((O96-600000)&lt;500000,0.15*(O96-600000),75000))</f>
        <v>0</v>
      </c>
      <c r="S96" s="424">
        <f>IF((O96-1100000)&lt;0,0,IF((O96-1100000)&lt;500000,0.19*(O96-1100000),95000))</f>
        <v>0</v>
      </c>
      <c r="T96" s="424">
        <f>IF((O96-1600000)&lt;0,0,IF((O96-1600000)&lt;1600000,0.21*(O96-1600000),336000))</f>
        <v>0</v>
      </c>
      <c r="U96" s="424"/>
      <c r="V96" s="424">
        <f>P96+Q96+R96+S96+T96+U96</f>
        <v>24611.168000000001</v>
      </c>
      <c r="W96" s="431">
        <v>12</v>
      </c>
      <c r="X96" s="424">
        <f>V96/W96</f>
        <v>2050.9306666666698</v>
      </c>
      <c r="Y96" s="427"/>
      <c r="Z96" s="424">
        <f>X96</f>
        <v>2050.9306666666698</v>
      </c>
      <c r="AA96" s="436">
        <v>82423.216202666707</v>
      </c>
      <c r="AB96" s="436"/>
      <c r="AC96" s="436"/>
      <c r="AD96" s="436"/>
      <c r="AE96" s="436"/>
    </row>
    <row r="97" spans="1:31" ht="18" x14ac:dyDescent="0.15">
      <c r="A97" s="421">
        <v>78</v>
      </c>
      <c r="B97" s="9" t="s">
        <v>213</v>
      </c>
      <c r="C97" s="424">
        <v>51556</v>
      </c>
      <c r="D97" s="423">
        <v>12</v>
      </c>
      <c r="E97" s="424">
        <f>C97*D97</f>
        <v>618672</v>
      </c>
      <c r="F97" s="424"/>
      <c r="G97" s="425"/>
      <c r="H97" s="427"/>
      <c r="I97" s="424">
        <f>E97-F97-G97-H97</f>
        <v>618672</v>
      </c>
      <c r="J97" s="424">
        <v>200000</v>
      </c>
      <c r="K97" s="424">
        <v>0.2</v>
      </c>
      <c r="L97" s="424">
        <f>I97*K97</f>
        <v>123734.39999999999</v>
      </c>
      <c r="M97" s="424">
        <f>J97+L97</f>
        <v>323734.40000000002</v>
      </c>
      <c r="N97" s="424">
        <f>F97+G97+H97+M97</f>
        <v>323734.40000000002</v>
      </c>
      <c r="O97" s="424">
        <f>E97-N97</f>
        <v>294937.59999999998</v>
      </c>
      <c r="P97" s="424">
        <f>IF(O97&lt;300000,0.07*O97,21000)</f>
        <v>20645.632000000001</v>
      </c>
      <c r="Q97" s="424">
        <f>IF((O97-300000)&lt;0,0,IF((O97-300000)&lt;300000,0.11*(O97-300000),33000))</f>
        <v>0</v>
      </c>
      <c r="R97" s="424">
        <f>IF((O97-600000)&lt;0,0,IF((O97-600000)&lt;500000,0.15*(O97-600000),75000))</f>
        <v>0</v>
      </c>
      <c r="S97" s="424">
        <f>IF((O97-1100000)&lt;0,0,IF((O97-1100000)&lt;500000,0.19*(O97-1100000),95000))</f>
        <v>0</v>
      </c>
      <c r="T97" s="424">
        <f>IF((O97-1600000)&lt;0,0,IF((O97-1600000)&lt;1600000,0.21*(O97-1600000),336000))</f>
        <v>0</v>
      </c>
      <c r="U97" s="424"/>
      <c r="V97" s="424">
        <f>P97+Q97+R97+S97+T97+U97</f>
        <v>20645.632000000001</v>
      </c>
      <c r="W97" s="431">
        <v>12</v>
      </c>
      <c r="X97" s="424">
        <f>V97/W97</f>
        <v>1720.46933333333</v>
      </c>
      <c r="Y97" s="427"/>
      <c r="Z97" s="424">
        <f>X97</f>
        <v>1720.46933333333</v>
      </c>
      <c r="AA97" s="436">
        <v>82423.216202666707</v>
      </c>
      <c r="AC97" s="436"/>
      <c r="AD97" s="436"/>
      <c r="AE97" s="436"/>
    </row>
    <row r="98" spans="1:31" ht="31.5" x14ac:dyDescent="0.2">
      <c r="A98" s="421">
        <v>79</v>
      </c>
      <c r="B98" s="9" t="s">
        <v>217</v>
      </c>
      <c r="C98" s="424">
        <v>48765.333333332099</v>
      </c>
      <c r="D98" s="423">
        <v>12</v>
      </c>
      <c r="E98" s="424">
        <f t="shared" ref="E98:E101" si="88">C98*D98</f>
        <v>585183.99999998498</v>
      </c>
      <c r="F98" s="424"/>
      <c r="G98" s="425"/>
      <c r="H98" s="427"/>
      <c r="I98" s="424">
        <f t="shared" ref="I98:I101" si="89">E98-F98-G98-H98</f>
        <v>585183.99999998498</v>
      </c>
      <c r="J98" s="424">
        <v>200000</v>
      </c>
      <c r="K98" s="424">
        <v>0.2</v>
      </c>
      <c r="L98" s="424">
        <f t="shared" ref="L98:L101" si="90">I98*K98</f>
        <v>117036.79999999701</v>
      </c>
      <c r="M98" s="424">
        <f t="shared" ref="M98:M101" si="91">J98+L98</f>
        <v>317036.79999999702</v>
      </c>
      <c r="N98" s="424">
        <f t="shared" ref="N98:N101" si="92">F98+G98+H98+M98</f>
        <v>317036.79999999702</v>
      </c>
      <c r="O98" s="424">
        <f t="shared" ref="O98:O101" si="93">E98-N98</f>
        <v>268147.19999998802</v>
      </c>
      <c r="P98" s="424">
        <f t="shared" ref="P98:P101" si="94">IF(O98&lt;300000,0.07*O98,21000)</f>
        <v>18770.3039999992</v>
      </c>
      <c r="Q98" s="424">
        <f t="shared" ref="Q98:Q101" si="95">IF((O98-300000)&lt;0,0,IF((O98-300000)&lt;300000,0.11*(O98-300000),33000))</f>
        <v>0</v>
      </c>
      <c r="R98" s="424">
        <f t="shared" ref="R98:R101" si="96">IF((O98-600000)&lt;0,0,IF((O98-600000)&lt;500000,0.15*(O98-600000),75000))</f>
        <v>0</v>
      </c>
      <c r="S98" s="424">
        <f t="shared" ref="S98:S101" si="97">IF((O98-1100000)&lt;0,0,IF((O98-1100000)&lt;500000,0.19*(O98-1100000),95000))</f>
        <v>0</v>
      </c>
      <c r="T98" s="424">
        <f t="shared" ref="T98:T101" si="98">IF((O98-1600000)&lt;0,0,IF((O98-1600000)&lt;1600000,0.21*(O98-1600000),336000))</f>
        <v>0</v>
      </c>
      <c r="U98" s="424"/>
      <c r="V98" s="424">
        <f t="shared" ref="V98:V101" si="99">P98+Q98+R98+S98+T98+U98</f>
        <v>18770.3039999992</v>
      </c>
      <c r="W98" s="431">
        <v>12</v>
      </c>
      <c r="X98" s="424">
        <f t="shared" ref="X98:X101" si="100">V98/W98</f>
        <v>1564.19199999993</v>
      </c>
      <c r="Y98" s="427"/>
      <c r="Z98" s="424">
        <f t="shared" ref="Z98:Z101" si="101">X98</f>
        <v>1564.19199999993</v>
      </c>
      <c r="AA98" s="436">
        <v>82423.216202666707</v>
      </c>
      <c r="AB98" s="436">
        <f t="shared" ref="AB98:AB101" si="102">Z98-AA98</f>
        <v>-80859.024202666798</v>
      </c>
      <c r="AC98" s="436" t="s">
        <v>208</v>
      </c>
      <c r="AD98" s="436"/>
      <c r="AE98" s="436"/>
    </row>
    <row r="99" spans="1:31" ht="18" x14ac:dyDescent="0.15">
      <c r="A99" s="421">
        <v>80</v>
      </c>
      <c r="B99" s="9" t="s">
        <v>219</v>
      </c>
      <c r="C99" s="424">
        <v>31743.666666667901</v>
      </c>
      <c r="D99" s="423">
        <v>12</v>
      </c>
      <c r="E99" s="424">
        <f t="shared" si="88"/>
        <v>380924.00000001502</v>
      </c>
      <c r="F99" s="424"/>
      <c r="G99" s="425"/>
      <c r="H99" s="427"/>
      <c r="I99" s="424">
        <f t="shared" si="89"/>
        <v>380924.00000001502</v>
      </c>
      <c r="J99" s="424">
        <v>200000</v>
      </c>
      <c r="K99" s="424">
        <v>0.2</v>
      </c>
      <c r="L99" s="424">
        <f t="shared" si="90"/>
        <v>76184.800000003001</v>
      </c>
      <c r="M99" s="424">
        <f t="shared" si="91"/>
        <v>276184.80000000302</v>
      </c>
      <c r="N99" s="424">
        <f t="shared" si="92"/>
        <v>276184.80000000302</v>
      </c>
      <c r="O99" s="424">
        <f t="shared" si="93"/>
        <v>104739.200000012</v>
      </c>
      <c r="P99" s="424">
        <f t="shared" si="94"/>
        <v>7331.7440000008401</v>
      </c>
      <c r="Q99" s="424">
        <f t="shared" si="95"/>
        <v>0</v>
      </c>
      <c r="R99" s="424">
        <f t="shared" si="96"/>
        <v>0</v>
      </c>
      <c r="S99" s="424">
        <f t="shared" si="97"/>
        <v>0</v>
      </c>
      <c r="T99" s="424">
        <f t="shared" si="98"/>
        <v>0</v>
      </c>
      <c r="U99" s="424"/>
      <c r="V99" s="424">
        <f t="shared" si="99"/>
        <v>7331.7440000008401</v>
      </c>
      <c r="W99" s="431">
        <v>12</v>
      </c>
      <c r="X99" s="424">
        <f t="shared" si="100"/>
        <v>610.97866666673599</v>
      </c>
      <c r="Y99" s="427"/>
      <c r="Z99" s="424">
        <f t="shared" si="101"/>
        <v>610.97866666673599</v>
      </c>
      <c r="AA99" s="436">
        <v>82627.951418666693</v>
      </c>
      <c r="AB99" s="436">
        <f t="shared" si="102"/>
        <v>-82016.972752000001</v>
      </c>
      <c r="AC99" s="436" t="s">
        <v>211</v>
      </c>
      <c r="AD99" s="436"/>
      <c r="AE99" s="436"/>
    </row>
    <row r="100" spans="1:31" ht="18" x14ac:dyDescent="0.15">
      <c r="A100" s="421">
        <v>81</v>
      </c>
      <c r="B100" s="18" t="s">
        <v>111</v>
      </c>
      <c r="C100" s="424">
        <v>354922.66666664003</v>
      </c>
      <c r="D100" s="423">
        <v>12</v>
      </c>
      <c r="E100" s="424">
        <f t="shared" si="88"/>
        <v>4259071.9999996796</v>
      </c>
      <c r="F100" s="424"/>
      <c r="G100" s="425"/>
      <c r="H100" s="427"/>
      <c r="I100" s="424">
        <f t="shared" si="89"/>
        <v>4259071.9999996796</v>
      </c>
      <c r="J100" s="424">
        <v>200000</v>
      </c>
      <c r="K100" s="424">
        <v>0.2</v>
      </c>
      <c r="L100" s="424">
        <f t="shared" si="90"/>
        <v>851814.39999993599</v>
      </c>
      <c r="M100" s="424">
        <f t="shared" si="91"/>
        <v>1051814.3999999401</v>
      </c>
      <c r="N100" s="424">
        <f t="shared" si="92"/>
        <v>1051814.3999999401</v>
      </c>
      <c r="O100" s="424">
        <f t="shared" si="93"/>
        <v>3207257.5999997398</v>
      </c>
      <c r="P100" s="424">
        <f t="shared" si="94"/>
        <v>21000</v>
      </c>
      <c r="Q100" s="424">
        <f t="shared" si="95"/>
        <v>33000</v>
      </c>
      <c r="R100" s="424">
        <f t="shared" si="96"/>
        <v>75000</v>
      </c>
      <c r="S100" s="424">
        <f t="shared" si="97"/>
        <v>95000</v>
      </c>
      <c r="T100" s="424">
        <f t="shared" si="98"/>
        <v>336000</v>
      </c>
      <c r="U100" s="424"/>
      <c r="V100" s="424">
        <f t="shared" si="99"/>
        <v>560000</v>
      </c>
      <c r="W100" s="431">
        <v>12</v>
      </c>
      <c r="X100" s="424">
        <f t="shared" si="100"/>
        <v>46666.666666666701</v>
      </c>
      <c r="Y100" s="427"/>
      <c r="Z100" s="424">
        <f t="shared" si="101"/>
        <v>46666.666666666701</v>
      </c>
      <c r="AA100" s="436">
        <v>43492.373376666699</v>
      </c>
      <c r="AB100" s="436">
        <f t="shared" si="102"/>
        <v>3174.2932899999701</v>
      </c>
      <c r="AC100" s="436" t="s">
        <v>217</v>
      </c>
      <c r="AD100" s="436"/>
      <c r="AE100" s="436"/>
    </row>
    <row r="101" spans="1:31" ht="18" x14ac:dyDescent="0.2">
      <c r="A101" s="421"/>
      <c r="B101" s="20"/>
      <c r="C101" s="424"/>
      <c r="D101" s="423"/>
      <c r="E101" s="424"/>
      <c r="F101" s="424"/>
      <c r="G101" s="427"/>
      <c r="H101" s="427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31"/>
      <c r="X101" s="424"/>
      <c r="Y101" s="427"/>
      <c r="Z101" s="424"/>
      <c r="AA101" s="436"/>
      <c r="AB101" s="436">
        <f t="shared" si="102"/>
        <v>0</v>
      </c>
      <c r="AC101" s="436" t="s">
        <v>219</v>
      </c>
      <c r="AD101" s="436"/>
      <c r="AE101" s="436"/>
    </row>
    <row r="102" spans="1:31" ht="31.5" x14ac:dyDescent="0.2">
      <c r="A102" s="421"/>
      <c r="B102" s="18" t="s">
        <v>221</v>
      </c>
      <c r="C102" s="424"/>
      <c r="D102" s="423"/>
      <c r="E102" s="424"/>
      <c r="F102" s="424"/>
      <c r="G102" s="427"/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" x14ac:dyDescent="0.15">
      <c r="A103" s="421">
        <v>83</v>
      </c>
      <c r="B103" s="9" t="s">
        <v>222</v>
      </c>
      <c r="C103" s="424"/>
      <c r="AC103" s="436"/>
      <c r="AD103" s="436"/>
      <c r="AE103" s="436"/>
    </row>
    <row r="104" spans="1:31" ht="18" x14ac:dyDescent="0.15">
      <c r="A104" s="421">
        <v>84</v>
      </c>
      <c r="B104" s="9" t="s">
        <v>224</v>
      </c>
      <c r="C104" s="424"/>
      <c r="AB104" s="259" t="s">
        <v>648</v>
      </c>
      <c r="AC104" s="436"/>
      <c r="AD104" s="436"/>
      <c r="AE104" s="436"/>
    </row>
    <row r="105" spans="1:31" ht="18" x14ac:dyDescent="0.15">
      <c r="A105" s="421">
        <v>85</v>
      </c>
      <c r="B105" s="9" t="s">
        <v>226</v>
      </c>
      <c r="C105" s="424"/>
      <c r="D105" s="423">
        <v>12</v>
      </c>
      <c r="E105" s="424">
        <f t="shared" ref="E105:E111" si="103">C105*D105</f>
        <v>0</v>
      </c>
      <c r="F105" s="424"/>
      <c r="G105" s="425"/>
      <c r="H105" s="427"/>
      <c r="I105" s="424">
        <f t="shared" ref="I105:I110" si="104">E105-F105-G105-H105</f>
        <v>0</v>
      </c>
      <c r="J105" s="424">
        <v>200000</v>
      </c>
      <c r="K105" s="424">
        <v>0.2</v>
      </c>
      <c r="L105" s="424">
        <f t="shared" ref="L105:L111" si="105">I105*K105</f>
        <v>0</v>
      </c>
      <c r="M105" s="424">
        <f t="shared" ref="M105:M111" si="106">J105+L105</f>
        <v>200000</v>
      </c>
      <c r="N105" s="424">
        <f t="shared" ref="N105:N110" si="107">F105+G105+H105+M105</f>
        <v>200000</v>
      </c>
      <c r="O105" s="424">
        <f t="shared" ref="O105:O111" si="108">E105-N105</f>
        <v>-200000</v>
      </c>
      <c r="P105" s="424">
        <f t="shared" ref="P105:P111" si="109">IF(O105&lt;300000,0.07*O105,21000)</f>
        <v>-14000</v>
      </c>
      <c r="Q105" s="424">
        <f t="shared" ref="Q105:Q111" si="110">IF((O105-300000)&lt;0,0,IF((O105-300000)&lt;300000,0.11*(O105-300000),33000))</f>
        <v>0</v>
      </c>
      <c r="R105" s="424">
        <f t="shared" ref="R105:R111" si="111">IF((O105-600000)&lt;0,0,IF((O105-600000)&lt;500000,0.15*(O105-600000),75000))</f>
        <v>0</v>
      </c>
      <c r="S105" s="424">
        <f t="shared" ref="S105:S111" si="112">IF((O105-1100000)&lt;0,0,IF((O105-1100000)&lt;500000,0.19*(O105-1100000),95000))</f>
        <v>0</v>
      </c>
      <c r="T105" s="424">
        <f t="shared" ref="T105:T111" si="113">IF((O105-1600000)&lt;0,0,IF((O105-1600000)&lt;1600000,0.21*(O105-1600000),336000))</f>
        <v>0</v>
      </c>
      <c r="U105" s="424"/>
      <c r="V105" s="424">
        <f t="shared" ref="V105:V111" si="114">P105+Q105+R105+S105+T105+U105</f>
        <v>-14000</v>
      </c>
      <c r="W105" s="431">
        <v>12</v>
      </c>
      <c r="X105" s="424">
        <f t="shared" ref="X105:X111" si="115">V105/W105</f>
        <v>-1166.6666666666699</v>
      </c>
      <c r="Y105" s="427"/>
      <c r="Z105" s="424">
        <f t="shared" ref="Z105:Z111" si="116">X105</f>
        <v>-1166.6666666666699</v>
      </c>
      <c r="AA105" s="436">
        <v>180306.806858667</v>
      </c>
      <c r="AB105" s="436">
        <f t="shared" ref="AB105:AB111" si="117">Z105-AA105</f>
        <v>-181473.473525334</v>
      </c>
      <c r="AC105" s="436" t="s">
        <v>222</v>
      </c>
      <c r="AD105" s="436"/>
      <c r="AE105" s="436"/>
    </row>
    <row r="106" spans="1:31" ht="18" x14ac:dyDescent="0.15">
      <c r="A106" s="421">
        <v>86</v>
      </c>
      <c r="B106" s="9" t="s">
        <v>228</v>
      </c>
      <c r="C106" s="424"/>
      <c r="D106" s="423">
        <v>12</v>
      </c>
      <c r="E106" s="424">
        <f t="shared" si="103"/>
        <v>0</v>
      </c>
      <c r="F106" s="424"/>
      <c r="G106" s="425"/>
      <c r="H106" s="427"/>
      <c r="I106" s="424">
        <f t="shared" si="104"/>
        <v>0</v>
      </c>
      <c r="J106" s="424">
        <v>200000</v>
      </c>
      <c r="K106" s="424">
        <v>0.2</v>
      </c>
      <c r="L106" s="424">
        <f t="shared" si="105"/>
        <v>0</v>
      </c>
      <c r="M106" s="424">
        <f t="shared" si="106"/>
        <v>200000</v>
      </c>
      <c r="N106" s="424">
        <f t="shared" si="107"/>
        <v>200000</v>
      </c>
      <c r="O106" s="424">
        <f t="shared" si="108"/>
        <v>-200000</v>
      </c>
      <c r="P106" s="424">
        <f t="shared" si="109"/>
        <v>-14000</v>
      </c>
      <c r="Q106" s="424">
        <f t="shared" si="110"/>
        <v>0</v>
      </c>
      <c r="R106" s="424">
        <f t="shared" si="111"/>
        <v>0</v>
      </c>
      <c r="S106" s="424">
        <f t="shared" si="112"/>
        <v>0</v>
      </c>
      <c r="T106" s="424">
        <f t="shared" si="113"/>
        <v>0</v>
      </c>
      <c r="U106" s="424"/>
      <c r="V106" s="424">
        <f t="shared" si="114"/>
        <v>-14000</v>
      </c>
      <c r="W106" s="431">
        <v>12</v>
      </c>
      <c r="X106" s="424">
        <f t="shared" si="115"/>
        <v>-1166.6666666666699</v>
      </c>
      <c r="Y106" s="427"/>
      <c r="Z106" s="424">
        <f t="shared" si="116"/>
        <v>-1166.6666666666699</v>
      </c>
      <c r="AA106" s="436">
        <v>99703.216202666707</v>
      </c>
      <c r="AB106" s="436">
        <f t="shared" si="117"/>
        <v>-100869.882869333</v>
      </c>
      <c r="AC106" s="436" t="s">
        <v>224</v>
      </c>
      <c r="AD106" s="436"/>
      <c r="AE106" s="436"/>
    </row>
    <row r="107" spans="1:31" ht="18" x14ac:dyDescent="0.15">
      <c r="A107" s="421">
        <v>87</v>
      </c>
      <c r="B107" s="9" t="s">
        <v>230</v>
      </c>
      <c r="C107" s="424">
        <v>24688.666666664001</v>
      </c>
      <c r="D107" s="423">
        <v>12</v>
      </c>
      <c r="E107" s="424">
        <f t="shared" si="103"/>
        <v>296263.999999967</v>
      </c>
      <c r="F107" s="424"/>
      <c r="G107" s="425"/>
      <c r="H107" s="427"/>
      <c r="I107" s="424">
        <f t="shared" si="104"/>
        <v>296263.999999967</v>
      </c>
      <c r="J107" s="424">
        <v>200000</v>
      </c>
      <c r="K107" s="424">
        <v>0.2</v>
      </c>
      <c r="L107" s="424">
        <f t="shared" si="105"/>
        <v>59252.799999993498</v>
      </c>
      <c r="M107" s="424">
        <f t="shared" si="106"/>
        <v>259252.799999993</v>
      </c>
      <c r="N107" s="424">
        <f t="shared" si="107"/>
        <v>259252.799999993</v>
      </c>
      <c r="O107" s="424">
        <f t="shared" si="108"/>
        <v>37011.199999973898</v>
      </c>
      <c r="P107" s="424">
        <f t="shared" si="109"/>
        <v>2590.7839999981802</v>
      </c>
      <c r="Q107" s="424">
        <f t="shared" si="110"/>
        <v>0</v>
      </c>
      <c r="R107" s="424">
        <f t="shared" si="111"/>
        <v>0</v>
      </c>
      <c r="S107" s="424">
        <f t="shared" si="112"/>
        <v>0</v>
      </c>
      <c r="T107" s="424">
        <f t="shared" si="113"/>
        <v>0</v>
      </c>
      <c r="U107" s="424"/>
      <c r="V107" s="424">
        <f t="shared" si="114"/>
        <v>2590.7839999981802</v>
      </c>
      <c r="W107" s="431">
        <v>12</v>
      </c>
      <c r="X107" s="424">
        <f t="shared" si="115"/>
        <v>215.898666666515</v>
      </c>
      <c r="Y107" s="427"/>
      <c r="Z107" s="424">
        <f t="shared" si="116"/>
        <v>215.898666666515</v>
      </c>
      <c r="AA107" s="436">
        <v>180180.378218667</v>
      </c>
      <c r="AB107" s="436">
        <f t="shared" si="117"/>
        <v>-179964.479552</v>
      </c>
      <c r="AC107" s="436" t="s">
        <v>226</v>
      </c>
      <c r="AD107" s="436"/>
      <c r="AE107" s="436"/>
    </row>
    <row r="108" spans="1:31" ht="31.5" x14ac:dyDescent="0.2">
      <c r="A108" s="421">
        <v>88</v>
      </c>
      <c r="B108" s="16" t="s">
        <v>233</v>
      </c>
      <c r="C108" s="424">
        <v>24688.666666667999</v>
      </c>
      <c r="D108" s="423">
        <v>12</v>
      </c>
      <c r="E108" s="424">
        <f t="shared" si="103"/>
        <v>296264.00000001601</v>
      </c>
      <c r="F108" s="424"/>
      <c r="G108" s="425"/>
      <c r="H108" s="427"/>
      <c r="I108" s="424">
        <f t="shared" si="104"/>
        <v>296264.00000001601</v>
      </c>
      <c r="J108" s="424">
        <v>200000</v>
      </c>
      <c r="K108" s="424">
        <v>0.2</v>
      </c>
      <c r="L108" s="424">
        <f t="shared" si="105"/>
        <v>59252.800000003299</v>
      </c>
      <c r="M108" s="424">
        <f t="shared" si="106"/>
        <v>259252.80000000299</v>
      </c>
      <c r="N108" s="424">
        <f t="shared" si="107"/>
        <v>259252.80000000299</v>
      </c>
      <c r="O108" s="424">
        <f t="shared" si="108"/>
        <v>37011.200000013101</v>
      </c>
      <c r="P108" s="424">
        <f t="shared" si="109"/>
        <v>2590.7840000009101</v>
      </c>
      <c r="Q108" s="424">
        <f t="shared" si="110"/>
        <v>0</v>
      </c>
      <c r="R108" s="424">
        <f t="shared" si="111"/>
        <v>0</v>
      </c>
      <c r="S108" s="424">
        <f t="shared" si="112"/>
        <v>0</v>
      </c>
      <c r="T108" s="424">
        <f t="shared" si="113"/>
        <v>0</v>
      </c>
      <c r="U108" s="424"/>
      <c r="V108" s="424">
        <f t="shared" si="114"/>
        <v>2590.7840000009101</v>
      </c>
      <c r="W108" s="431">
        <v>12</v>
      </c>
      <c r="X108" s="424">
        <f t="shared" si="115"/>
        <v>215.898666666743</v>
      </c>
      <c r="Y108" s="427"/>
      <c r="Z108" s="424">
        <f t="shared" si="116"/>
        <v>215.898666666743</v>
      </c>
      <c r="AA108" s="436">
        <v>99907.951418666693</v>
      </c>
      <c r="AB108" s="436">
        <f t="shared" si="117"/>
        <v>-99692.052751999901</v>
      </c>
      <c r="AC108" s="436" t="s">
        <v>228</v>
      </c>
      <c r="AD108" s="436"/>
      <c r="AE108" s="436"/>
    </row>
    <row r="109" spans="1:31" ht="18" x14ac:dyDescent="0.15">
      <c r="A109" s="421">
        <v>89</v>
      </c>
      <c r="B109" s="16" t="s">
        <v>234</v>
      </c>
      <c r="C109" s="424">
        <v>24688.666666664001</v>
      </c>
      <c r="D109" s="423">
        <v>12</v>
      </c>
      <c r="E109" s="424">
        <f t="shared" si="103"/>
        <v>296263.999999967</v>
      </c>
      <c r="F109" s="424"/>
      <c r="G109" s="425"/>
      <c r="H109" s="427"/>
      <c r="I109" s="424">
        <f t="shared" si="104"/>
        <v>296263.999999967</v>
      </c>
      <c r="J109" s="424">
        <v>200000</v>
      </c>
      <c r="K109" s="424">
        <v>0.2</v>
      </c>
      <c r="L109" s="424">
        <f t="shared" si="105"/>
        <v>59252.799999993498</v>
      </c>
      <c r="M109" s="424">
        <f t="shared" si="106"/>
        <v>259252.799999993</v>
      </c>
      <c r="N109" s="424">
        <f t="shared" si="107"/>
        <v>259252.799999993</v>
      </c>
      <c r="O109" s="424">
        <f t="shared" si="108"/>
        <v>37011.199999973898</v>
      </c>
      <c r="P109" s="424">
        <f t="shared" si="109"/>
        <v>2590.7839999981802</v>
      </c>
      <c r="Q109" s="424">
        <f t="shared" si="110"/>
        <v>0</v>
      </c>
      <c r="R109" s="424">
        <f t="shared" si="111"/>
        <v>0</v>
      </c>
      <c r="S109" s="424">
        <f t="shared" si="112"/>
        <v>0</v>
      </c>
      <c r="T109" s="424">
        <f t="shared" si="113"/>
        <v>0</v>
      </c>
      <c r="U109" s="424"/>
      <c r="V109" s="424">
        <f t="shared" si="114"/>
        <v>2590.7839999981802</v>
      </c>
      <c r="W109" s="431">
        <v>12</v>
      </c>
      <c r="X109" s="424">
        <f t="shared" si="115"/>
        <v>215.898666666515</v>
      </c>
      <c r="Y109" s="427"/>
      <c r="Z109" s="424">
        <f t="shared" si="116"/>
        <v>215.898666666515</v>
      </c>
      <c r="AA109" s="436">
        <v>58941.101743466701</v>
      </c>
      <c r="AB109" s="436">
        <f t="shared" si="117"/>
        <v>-58725.203076800201</v>
      </c>
      <c r="AC109" s="436" t="s">
        <v>230</v>
      </c>
      <c r="AD109" s="436"/>
      <c r="AE109" s="436"/>
    </row>
    <row r="110" spans="1:31" ht="18" x14ac:dyDescent="0.15">
      <c r="A110" s="421"/>
      <c r="B110" s="18" t="s">
        <v>111</v>
      </c>
      <c r="C110" s="424"/>
      <c r="D110" s="423"/>
      <c r="E110" s="424"/>
      <c r="F110" s="424"/>
      <c r="G110" s="427"/>
      <c r="H110" s="427"/>
      <c r="I110" s="424"/>
      <c r="J110" s="424"/>
      <c r="K110" s="424"/>
      <c r="L110" s="424"/>
      <c r="M110" s="424"/>
      <c r="N110" s="424"/>
      <c r="O110" s="424"/>
      <c r="P110" s="424"/>
      <c r="Q110" s="424"/>
      <c r="R110" s="424"/>
      <c r="S110" s="424"/>
      <c r="T110" s="424"/>
      <c r="U110" s="424"/>
      <c r="V110" s="424"/>
      <c r="W110" s="431"/>
      <c r="X110" s="424"/>
      <c r="Y110" s="427"/>
      <c r="Z110" s="424"/>
      <c r="AA110" s="436"/>
      <c r="AB110" s="436">
        <f t="shared" si="117"/>
        <v>0</v>
      </c>
      <c r="AC110" s="436" t="s">
        <v>233</v>
      </c>
      <c r="AD110" s="436"/>
      <c r="AE110" s="436"/>
    </row>
    <row r="111" spans="1:31" ht="18" x14ac:dyDescent="0.2">
      <c r="A111" s="421"/>
      <c r="B111" s="18"/>
      <c r="C111" s="424"/>
      <c r="D111" s="423"/>
      <c r="E111" s="424"/>
      <c r="F111" s="424"/>
      <c r="G111" s="427"/>
      <c r="H111" s="427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31"/>
      <c r="X111" s="424"/>
      <c r="Y111" s="427"/>
      <c r="Z111" s="424"/>
      <c r="AA111" s="436"/>
      <c r="AB111" s="436">
        <f t="shared" si="117"/>
        <v>0</v>
      </c>
      <c r="AC111" s="436" t="s">
        <v>234</v>
      </c>
      <c r="AD111" s="436"/>
      <c r="AE111" s="436"/>
    </row>
    <row r="112" spans="1:31" ht="31.5" x14ac:dyDescent="0.2">
      <c r="A112" s="421"/>
      <c r="B112" s="18" t="s">
        <v>235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" x14ac:dyDescent="0.15">
      <c r="A113" s="421">
        <v>90</v>
      </c>
      <c r="B113" s="9" t="s">
        <v>236</v>
      </c>
      <c r="C113" s="424">
        <v>48765.333333332099</v>
      </c>
      <c r="G113" s="425"/>
      <c r="U113" s="424"/>
      <c r="AC113" s="436"/>
      <c r="AD113" s="436"/>
      <c r="AE113" s="436"/>
    </row>
    <row r="114" spans="1:31" ht="18" x14ac:dyDescent="0.15">
      <c r="A114" s="421">
        <v>91</v>
      </c>
      <c r="B114" s="9" t="s">
        <v>177</v>
      </c>
      <c r="C114" s="424"/>
      <c r="G114" s="425"/>
      <c r="U114" s="424"/>
      <c r="AC114" s="436"/>
      <c r="AD114" s="436"/>
      <c r="AE114" s="436"/>
    </row>
    <row r="115" spans="1:31" ht="18" x14ac:dyDescent="0.15">
      <c r="A115" s="421">
        <v>92</v>
      </c>
      <c r="B115" s="18" t="s">
        <v>111</v>
      </c>
      <c r="C115" s="424">
        <v>48765.333333332099</v>
      </c>
      <c r="D115" s="423">
        <v>12</v>
      </c>
      <c r="E115" s="424">
        <f t="shared" ref="E115:E117" si="118">C115*D115</f>
        <v>585183.99999998498</v>
      </c>
      <c r="F115" s="424"/>
      <c r="G115" s="425"/>
      <c r="H115" s="427"/>
      <c r="I115" s="424">
        <f t="shared" ref="I115:I117" si="119">E115-F115-G115-H115</f>
        <v>585183.99999998498</v>
      </c>
      <c r="J115" s="424">
        <v>200000</v>
      </c>
      <c r="K115" s="424">
        <v>0.2</v>
      </c>
      <c r="L115" s="424">
        <f t="shared" ref="L115:L117" si="120">I115*K115</f>
        <v>117036.79999999701</v>
      </c>
      <c r="M115" s="424">
        <f t="shared" ref="M115:M117" si="121">J115+L115</f>
        <v>317036.79999999702</v>
      </c>
      <c r="N115" s="424">
        <f t="shared" ref="N115:N117" si="122">F115+G115+H115+M115</f>
        <v>317036.79999999702</v>
      </c>
      <c r="O115" s="424">
        <f t="shared" ref="O115:O117" si="123">E115-N115</f>
        <v>268147.19999998802</v>
      </c>
      <c r="P115" s="424">
        <f t="shared" ref="P115:P117" si="124">IF(O115&lt;300000,0.07*O115,21000)</f>
        <v>18770.3039999992</v>
      </c>
      <c r="Q115" s="424">
        <f t="shared" ref="Q115:Q117" si="125">IF((O115-300000)&lt;0,0,IF((O115-300000)&lt;300000,0.11*(O115-300000),33000))</f>
        <v>0</v>
      </c>
      <c r="R115" s="424">
        <f t="shared" ref="R115:R117" si="126">IF((O115-600000)&lt;0,0,IF((O115-600000)&lt;500000,0.15*(O115-600000),75000))</f>
        <v>0</v>
      </c>
      <c r="S115" s="424">
        <f t="shared" ref="S115:S117" si="127">IF((O115-1100000)&lt;0,0,IF((O115-1100000)&lt;500000,0.19*(O115-1100000),95000))</f>
        <v>0</v>
      </c>
      <c r="T115" s="424">
        <f t="shared" ref="T115:T117" si="128">IF((O115-1600000)&lt;0,0,IF((O115-1600000)&lt;1600000,0.21*(O115-1600000),336000))</f>
        <v>0</v>
      </c>
      <c r="U115" s="424"/>
      <c r="V115" s="424">
        <f t="shared" ref="V115:V117" si="129">P115+Q115+R115+S115+T115+U115</f>
        <v>18770.3039999992</v>
      </c>
      <c r="W115" s="431">
        <v>12</v>
      </c>
      <c r="X115" s="424">
        <f t="shared" ref="X115:X117" si="130">V115/W115</f>
        <v>1564.19199999993</v>
      </c>
      <c r="Y115" s="427"/>
      <c r="Z115" s="424">
        <f t="shared" ref="Z115:Z117" si="131">X115</f>
        <v>1564.19199999993</v>
      </c>
      <c r="AA115" s="436">
        <v>77610.116906666706</v>
      </c>
      <c r="AB115" s="436">
        <f t="shared" ref="AB115:AB117" si="132">Z115-AA115</f>
        <v>-76045.924906666798</v>
      </c>
      <c r="AC115" s="436"/>
      <c r="AD115" s="436"/>
      <c r="AE115" s="436"/>
    </row>
    <row r="116" spans="1:31" ht="18" x14ac:dyDescent="0.2">
      <c r="A116" s="421">
        <v>93</v>
      </c>
      <c r="B116" s="18"/>
      <c r="C116" s="424"/>
      <c r="D116" s="424"/>
      <c r="E116" s="423"/>
      <c r="F116" s="424"/>
      <c r="G116" s="424"/>
      <c r="H116" s="427"/>
      <c r="I116" s="427"/>
      <c r="J116" s="424"/>
      <c r="K116" s="424"/>
      <c r="L116" s="424"/>
      <c r="M116" s="424"/>
      <c r="N116" s="424"/>
      <c r="O116" s="424"/>
      <c r="P116" s="424"/>
      <c r="Q116" s="424"/>
      <c r="R116" s="424"/>
      <c r="S116" s="424"/>
      <c r="T116" s="424"/>
      <c r="U116" s="424"/>
      <c r="V116" s="424"/>
      <c r="W116" s="424"/>
      <c r="X116" s="431"/>
      <c r="Y116" s="424"/>
      <c r="Z116" s="427"/>
      <c r="AA116" s="424"/>
      <c r="AB116" s="436"/>
      <c r="AC116" s="436"/>
      <c r="AD116" s="436"/>
      <c r="AE116" s="436"/>
    </row>
    <row r="117" spans="1:31" ht="18" x14ac:dyDescent="0.15">
      <c r="A117" s="421">
        <v>94</v>
      </c>
      <c r="B117" s="18" t="s">
        <v>243</v>
      </c>
      <c r="C117" s="430"/>
      <c r="D117" s="424"/>
      <c r="E117" s="423"/>
      <c r="F117" s="424"/>
      <c r="G117" s="424"/>
      <c r="H117" s="427"/>
      <c r="I117" s="427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31"/>
      <c r="Y117" s="424"/>
      <c r="Z117" s="427"/>
      <c r="AA117" s="424"/>
      <c r="AB117" s="436"/>
      <c r="AC117" s="436"/>
      <c r="AD117" s="436"/>
      <c r="AE117" s="436"/>
    </row>
    <row r="118" spans="1:31" ht="18" x14ac:dyDescent="0.15">
      <c r="A118" s="421">
        <v>95</v>
      </c>
      <c r="B118" s="12" t="s">
        <v>634</v>
      </c>
      <c r="C118" s="424">
        <v>24688.666666667999</v>
      </c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" x14ac:dyDescent="0.15">
      <c r="A119" s="421">
        <v>96</v>
      </c>
      <c r="B119" s="9" t="s">
        <v>246</v>
      </c>
      <c r="C119" s="424">
        <v>24688.666666667999</v>
      </c>
      <c r="U119" s="437"/>
      <c r="AC119" s="436"/>
      <c r="AD119" s="436"/>
      <c r="AE119" s="436"/>
    </row>
    <row r="120" spans="1:31" ht="18" x14ac:dyDescent="0.15">
      <c r="A120" s="421">
        <v>97</v>
      </c>
      <c r="B120" s="9" t="s">
        <v>248</v>
      </c>
      <c r="C120" s="424">
        <v>24688.666666667999</v>
      </c>
      <c r="U120" s="437"/>
      <c r="AC120" s="436"/>
      <c r="AD120" s="436"/>
      <c r="AE120" s="436"/>
    </row>
    <row r="121" spans="1:31" ht="18" x14ac:dyDescent="0.15">
      <c r="A121" s="421">
        <v>98</v>
      </c>
      <c r="B121" s="18" t="s">
        <v>111</v>
      </c>
      <c r="C121" s="424"/>
      <c r="D121" s="423"/>
      <c r="E121" s="424"/>
      <c r="F121" s="424"/>
      <c r="G121" s="427"/>
      <c r="H121" s="427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31"/>
      <c r="X121" s="424"/>
      <c r="Y121" s="427"/>
      <c r="Z121" s="424"/>
      <c r="AA121" s="436"/>
      <c r="AB121" s="436">
        <f t="shared" ref="AB121:AB130" si="133">Z121-AA121</f>
        <v>0</v>
      </c>
      <c r="AC121" s="436"/>
      <c r="AD121" s="436"/>
      <c r="AE121" s="436"/>
    </row>
    <row r="122" spans="1:31" ht="18" x14ac:dyDescent="0.2">
      <c r="A122" s="421">
        <v>99</v>
      </c>
      <c r="B122" s="18"/>
      <c r="C122" s="424"/>
      <c r="D122" s="423"/>
      <c r="E122" s="424"/>
      <c r="F122" s="424"/>
      <c r="G122" s="427"/>
      <c r="H122" s="427"/>
      <c r="I122" s="424"/>
      <c r="J122" s="424"/>
      <c r="K122" s="424"/>
      <c r="L122" s="424"/>
      <c r="M122" s="424"/>
      <c r="N122" s="424"/>
      <c r="O122" s="424"/>
      <c r="P122" s="424"/>
      <c r="Q122" s="424"/>
      <c r="R122" s="424"/>
      <c r="S122" s="424"/>
      <c r="T122" s="424"/>
      <c r="U122" s="424"/>
      <c r="V122" s="424"/>
      <c r="W122" s="431"/>
      <c r="X122" s="424"/>
      <c r="Y122" s="427"/>
      <c r="Z122" s="424"/>
      <c r="AA122" s="436"/>
      <c r="AB122" s="436">
        <f t="shared" si="133"/>
        <v>0</v>
      </c>
      <c r="AC122" s="436"/>
      <c r="AD122" s="436"/>
      <c r="AE122" s="436"/>
    </row>
    <row r="123" spans="1:31" ht="18" x14ac:dyDescent="0.15">
      <c r="A123" s="421"/>
      <c r="B123" s="18" t="s">
        <v>250</v>
      </c>
      <c r="C123" s="424"/>
      <c r="D123" s="423"/>
      <c r="E123" s="424"/>
      <c r="F123" s="424"/>
      <c r="G123" s="427"/>
      <c r="H123" s="427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31"/>
      <c r="X123" s="424"/>
      <c r="Y123" s="427"/>
      <c r="Z123" s="424"/>
      <c r="AA123" s="436"/>
      <c r="AB123" s="436">
        <f t="shared" si="133"/>
        <v>0</v>
      </c>
      <c r="AC123" s="436"/>
      <c r="AD123" s="436"/>
      <c r="AE123" s="436"/>
    </row>
    <row r="124" spans="1:31" ht="18" x14ac:dyDescent="0.15">
      <c r="A124" s="421"/>
      <c r="B124" s="9" t="s">
        <v>251</v>
      </c>
      <c r="C124" s="424"/>
      <c r="D124" s="423"/>
      <c r="E124" s="424"/>
      <c r="F124" s="424"/>
      <c r="G124" s="427"/>
      <c r="H124" s="427"/>
      <c r="I124" s="424"/>
      <c r="J124" s="424"/>
      <c r="K124" s="424"/>
      <c r="L124" s="424"/>
      <c r="M124" s="424"/>
      <c r="N124" s="424"/>
      <c r="O124" s="424"/>
      <c r="P124" s="424"/>
      <c r="Q124" s="424"/>
      <c r="R124" s="424"/>
      <c r="S124" s="424"/>
      <c r="T124" s="424"/>
      <c r="U124" s="424"/>
      <c r="V124" s="424"/>
      <c r="W124" s="431"/>
      <c r="X124" s="424"/>
      <c r="Y124" s="427"/>
      <c r="Z124" s="424"/>
      <c r="AA124" s="436"/>
      <c r="AB124" s="436">
        <f t="shared" si="133"/>
        <v>0</v>
      </c>
      <c r="AC124" s="436"/>
      <c r="AD124" s="436"/>
      <c r="AE124" s="436"/>
    </row>
    <row r="125" spans="1:31" ht="18" x14ac:dyDescent="0.15">
      <c r="A125" s="421">
        <v>101</v>
      </c>
      <c r="B125" s="9" t="s">
        <v>253</v>
      </c>
      <c r="C125" s="424">
        <v>92678.333333335802</v>
      </c>
      <c r="D125" s="423">
        <v>12</v>
      </c>
      <c r="E125" s="424">
        <f t="shared" ref="E121:E133" si="134">C125*D125</f>
        <v>1112140.00000003</v>
      </c>
      <c r="F125" s="424"/>
      <c r="G125" s="425"/>
      <c r="H125" s="427"/>
      <c r="I125" s="424">
        <f t="shared" ref="I121:I133" si="135">E125-F125-G125-H125</f>
        <v>1112140.00000003</v>
      </c>
      <c r="J125" s="424">
        <v>200000</v>
      </c>
      <c r="K125" s="424">
        <v>0.2</v>
      </c>
      <c r="L125" s="424">
        <f t="shared" ref="L121:L133" si="136">I125*K125</f>
        <v>222428.000000006</v>
      </c>
      <c r="M125" s="424">
        <f t="shared" ref="M121:M133" si="137">J125+L125</f>
        <v>422428.000000006</v>
      </c>
      <c r="N125" s="424">
        <f t="shared" ref="N121:N133" si="138">F125+G125+H125+M125</f>
        <v>422428.000000006</v>
      </c>
      <c r="O125" s="424">
        <f t="shared" ref="O121:O133" si="139">E125-N125</f>
        <v>689712.00000002398</v>
      </c>
      <c r="P125" s="424">
        <f t="shared" ref="P121:P133" si="140">IF(O125&lt;300000,0.07*O125,21000)</f>
        <v>21000</v>
      </c>
      <c r="Q125" s="424">
        <f t="shared" ref="Q121:Q133" si="141">IF((O125-300000)&lt;0,0,IF((O125-300000)&lt;300000,0.11*(O125-300000),33000))</f>
        <v>33000</v>
      </c>
      <c r="R125" s="424">
        <f t="shared" ref="R121:R133" si="142">IF((O125-600000)&lt;0,0,IF((O125-600000)&lt;500000,0.15*(O125-600000),75000))</f>
        <v>13456.800000003601</v>
      </c>
      <c r="S125" s="424">
        <f t="shared" ref="S121:S133" si="143">IF((O125-1100000)&lt;0,0,IF((O125-1100000)&lt;500000,0.19*(O125-1100000),95000))</f>
        <v>0</v>
      </c>
      <c r="T125" s="424">
        <f t="shared" ref="T121:T133" si="144">IF((O125-1600000)&lt;0,0,IF((O125-1600000)&lt;1600000,0.21*(O125-1600000),336000))</f>
        <v>0</v>
      </c>
      <c r="U125" s="424"/>
      <c r="V125" s="424">
        <f t="shared" ref="V121:V133" si="145">P125+Q125+R125+S125+T125+U125</f>
        <v>67456.800000003597</v>
      </c>
      <c r="W125" s="431">
        <v>12</v>
      </c>
      <c r="X125" s="424">
        <f t="shared" ref="X121:X133" si="146">V125/W125</f>
        <v>5621.4000000002998</v>
      </c>
      <c r="Y125" s="427"/>
      <c r="Z125" s="424">
        <f t="shared" ref="Z121:Z133" si="147">X125</f>
        <v>5621.4000000002998</v>
      </c>
      <c r="AA125" s="436">
        <v>44846.6165886667</v>
      </c>
      <c r="AB125" s="436">
        <f t="shared" si="133"/>
        <v>-39225.216588666401</v>
      </c>
      <c r="AC125" s="436"/>
      <c r="AD125" s="436"/>
      <c r="AE125" s="436"/>
    </row>
    <row r="126" spans="1:31" ht="18" x14ac:dyDescent="0.15">
      <c r="A126" s="421">
        <v>103</v>
      </c>
      <c r="B126" s="12" t="s">
        <v>255</v>
      </c>
      <c r="C126" s="424">
        <v>0</v>
      </c>
      <c r="D126" s="423">
        <v>12</v>
      </c>
      <c r="E126" s="424">
        <f t="shared" si="134"/>
        <v>0</v>
      </c>
      <c r="F126" s="430"/>
      <c r="G126" s="425"/>
      <c r="H126" s="427"/>
      <c r="I126" s="424">
        <f t="shared" si="135"/>
        <v>0</v>
      </c>
      <c r="J126" s="424">
        <v>200000</v>
      </c>
      <c r="K126" s="424">
        <v>0.2</v>
      </c>
      <c r="L126" s="424">
        <f t="shared" si="136"/>
        <v>0</v>
      </c>
      <c r="M126" s="424">
        <f t="shared" si="137"/>
        <v>200000</v>
      </c>
      <c r="N126" s="424">
        <f t="shared" si="138"/>
        <v>200000</v>
      </c>
      <c r="O126" s="424">
        <f t="shared" si="139"/>
        <v>-200000</v>
      </c>
      <c r="P126" s="424">
        <f t="shared" si="140"/>
        <v>-14000</v>
      </c>
      <c r="Q126" s="424">
        <f t="shared" si="141"/>
        <v>0</v>
      </c>
      <c r="R126" s="424">
        <f t="shared" si="142"/>
        <v>0</v>
      </c>
      <c r="S126" s="424">
        <f t="shared" si="143"/>
        <v>0</v>
      </c>
      <c r="T126" s="424">
        <f t="shared" si="144"/>
        <v>0</v>
      </c>
      <c r="U126" s="424"/>
      <c r="V126" s="424">
        <f t="shared" si="145"/>
        <v>-14000</v>
      </c>
      <c r="W126" s="431">
        <v>12</v>
      </c>
      <c r="X126" s="424">
        <f t="shared" si="146"/>
        <v>-1166.6666666666699</v>
      </c>
      <c r="Y126" s="427"/>
      <c r="Z126" s="424">
        <f t="shared" si="147"/>
        <v>-1166.6666666666699</v>
      </c>
      <c r="AA126" s="436">
        <v>42029.589186666701</v>
      </c>
      <c r="AB126" s="436">
        <f t="shared" si="133"/>
        <v>-43196.255853333401</v>
      </c>
      <c r="AC126" s="436"/>
      <c r="AD126" s="436"/>
      <c r="AE126" s="436"/>
    </row>
    <row r="127" spans="1:31" ht="18" x14ac:dyDescent="0.15">
      <c r="A127" s="421">
        <v>105</v>
      </c>
      <c r="B127" s="9" t="s">
        <v>257</v>
      </c>
      <c r="C127" s="424">
        <v>55503</v>
      </c>
      <c r="D127" s="423">
        <v>12</v>
      </c>
      <c r="E127" s="424">
        <f t="shared" si="134"/>
        <v>666036</v>
      </c>
      <c r="F127" s="430"/>
      <c r="G127" s="425"/>
      <c r="H127" s="427"/>
      <c r="I127" s="424">
        <f t="shared" si="135"/>
        <v>666036</v>
      </c>
      <c r="J127" s="424">
        <v>200000</v>
      </c>
      <c r="K127" s="424">
        <v>0.2</v>
      </c>
      <c r="L127" s="424">
        <f t="shared" si="136"/>
        <v>133207.20000000001</v>
      </c>
      <c r="M127" s="424">
        <f t="shared" si="137"/>
        <v>333207.2</v>
      </c>
      <c r="N127" s="424">
        <f t="shared" si="138"/>
        <v>333207.2</v>
      </c>
      <c r="O127" s="424">
        <f t="shared" si="139"/>
        <v>332828.79999999999</v>
      </c>
      <c r="P127" s="424">
        <f t="shared" si="140"/>
        <v>21000</v>
      </c>
      <c r="Q127" s="424">
        <f t="shared" si="141"/>
        <v>3611.1680000000001</v>
      </c>
      <c r="R127" s="424">
        <f t="shared" si="142"/>
        <v>0</v>
      </c>
      <c r="S127" s="424">
        <f t="shared" si="143"/>
        <v>0</v>
      </c>
      <c r="T127" s="424">
        <f t="shared" si="144"/>
        <v>0</v>
      </c>
      <c r="U127" s="424"/>
      <c r="V127" s="424">
        <f t="shared" si="145"/>
        <v>24611.168000000001</v>
      </c>
      <c r="W127" s="431">
        <v>12</v>
      </c>
      <c r="X127" s="424">
        <f t="shared" si="146"/>
        <v>2050.9306666666698</v>
      </c>
      <c r="Y127" s="427"/>
      <c r="Z127" s="424">
        <f t="shared" si="147"/>
        <v>2050.9306666666698</v>
      </c>
      <c r="AA127" s="436">
        <v>43380.096246666697</v>
      </c>
      <c r="AB127" s="436">
        <f t="shared" si="133"/>
        <v>-41329.165580000001</v>
      </c>
      <c r="AC127" s="436"/>
      <c r="AD127" s="436"/>
      <c r="AE127" s="436"/>
    </row>
    <row r="128" spans="1:31" ht="18" x14ac:dyDescent="0.15">
      <c r="A128" s="421">
        <v>106</v>
      </c>
      <c r="B128" s="9" t="s">
        <v>259</v>
      </c>
      <c r="C128" s="424">
        <v>55503</v>
      </c>
      <c r="D128" s="423">
        <v>12</v>
      </c>
      <c r="E128" s="424">
        <f t="shared" si="134"/>
        <v>666036</v>
      </c>
      <c r="F128" s="424"/>
      <c r="G128" s="425"/>
      <c r="H128" s="427"/>
      <c r="I128" s="424">
        <f t="shared" si="135"/>
        <v>666036</v>
      </c>
      <c r="J128" s="424">
        <v>200000</v>
      </c>
      <c r="K128" s="424">
        <v>0.2</v>
      </c>
      <c r="L128" s="424">
        <f t="shared" si="136"/>
        <v>133207.20000000001</v>
      </c>
      <c r="M128" s="424">
        <f t="shared" si="137"/>
        <v>333207.2</v>
      </c>
      <c r="N128" s="424">
        <f t="shared" si="138"/>
        <v>333207.2</v>
      </c>
      <c r="O128" s="424">
        <f t="shared" si="139"/>
        <v>332828.79999999999</v>
      </c>
      <c r="P128" s="424">
        <f t="shared" si="140"/>
        <v>21000</v>
      </c>
      <c r="Q128" s="424">
        <f t="shared" si="141"/>
        <v>3611.1680000000001</v>
      </c>
      <c r="R128" s="424">
        <f t="shared" si="142"/>
        <v>0</v>
      </c>
      <c r="S128" s="424">
        <f t="shared" si="143"/>
        <v>0</v>
      </c>
      <c r="T128" s="424">
        <f t="shared" si="144"/>
        <v>0</v>
      </c>
      <c r="U128" s="424"/>
      <c r="V128" s="424">
        <f t="shared" si="145"/>
        <v>24611.168000000001</v>
      </c>
      <c r="W128" s="431">
        <v>12</v>
      </c>
      <c r="X128" s="424">
        <f t="shared" si="146"/>
        <v>2050.9306666666698</v>
      </c>
      <c r="Y128" s="427"/>
      <c r="Z128" s="424">
        <f t="shared" si="147"/>
        <v>2050.9306666666698</v>
      </c>
      <c r="AA128" s="436">
        <v>23036.012346666699</v>
      </c>
      <c r="AB128" s="436">
        <f t="shared" si="133"/>
        <v>-20985.081679999999</v>
      </c>
      <c r="AC128" s="436"/>
      <c r="AD128" s="436"/>
      <c r="AE128" s="436"/>
    </row>
    <row r="129" spans="1:31" ht="18" x14ac:dyDescent="0.15">
      <c r="A129" s="421">
        <v>107</v>
      </c>
      <c r="B129" s="9" t="s">
        <v>260</v>
      </c>
      <c r="C129" s="424">
        <v>55503</v>
      </c>
      <c r="D129" s="423">
        <v>12</v>
      </c>
      <c r="E129" s="424">
        <f t="shared" si="134"/>
        <v>666036</v>
      </c>
      <c r="F129" s="424"/>
      <c r="G129" s="425"/>
      <c r="H129" s="427"/>
      <c r="I129" s="424">
        <f t="shared" si="135"/>
        <v>666036</v>
      </c>
      <c r="J129" s="424">
        <v>200000</v>
      </c>
      <c r="K129" s="424">
        <v>0.2</v>
      </c>
      <c r="L129" s="424">
        <f t="shared" si="136"/>
        <v>133207.20000000001</v>
      </c>
      <c r="M129" s="424">
        <f t="shared" si="137"/>
        <v>333207.2</v>
      </c>
      <c r="N129" s="424">
        <f t="shared" si="138"/>
        <v>333207.2</v>
      </c>
      <c r="O129" s="424">
        <f t="shared" si="139"/>
        <v>332828.79999999999</v>
      </c>
      <c r="P129" s="424">
        <f t="shared" si="140"/>
        <v>21000</v>
      </c>
      <c r="Q129" s="424">
        <f t="shared" si="141"/>
        <v>3611.1680000000001</v>
      </c>
      <c r="R129" s="424">
        <f t="shared" si="142"/>
        <v>0</v>
      </c>
      <c r="S129" s="424">
        <f t="shared" si="143"/>
        <v>0</v>
      </c>
      <c r="T129" s="424">
        <f t="shared" si="144"/>
        <v>0</v>
      </c>
      <c r="U129" s="424"/>
      <c r="V129" s="424">
        <f t="shared" si="145"/>
        <v>24611.168000000001</v>
      </c>
      <c r="W129" s="431">
        <v>12</v>
      </c>
      <c r="X129" s="424">
        <f t="shared" si="146"/>
        <v>2050.9306666666698</v>
      </c>
      <c r="Y129" s="427"/>
      <c r="Z129" s="424">
        <f t="shared" si="147"/>
        <v>2050.9306666666698</v>
      </c>
      <c r="AA129" s="436">
        <v>17042.713866666702</v>
      </c>
      <c r="AB129" s="436">
        <f t="shared" si="133"/>
        <v>-14991.7832</v>
      </c>
      <c r="AC129" s="436"/>
      <c r="AD129" s="436"/>
      <c r="AE129" s="436"/>
    </row>
    <row r="130" spans="1:31" ht="18" x14ac:dyDescent="0.15">
      <c r="A130" s="421">
        <v>108</v>
      </c>
      <c r="B130" s="9" t="s">
        <v>263</v>
      </c>
      <c r="C130" s="424">
        <v>29265.333333332099</v>
      </c>
      <c r="D130" s="423">
        <v>12</v>
      </c>
      <c r="E130" s="424">
        <f t="shared" si="134"/>
        <v>351183.99999998498</v>
      </c>
      <c r="F130" s="424"/>
      <c r="G130" s="425"/>
      <c r="H130" s="427"/>
      <c r="I130" s="424">
        <f t="shared" si="135"/>
        <v>351183.99999998498</v>
      </c>
      <c r="J130" s="424">
        <v>200000</v>
      </c>
      <c r="K130" s="424">
        <v>0.2</v>
      </c>
      <c r="L130" s="424">
        <f t="shared" si="136"/>
        <v>70236.799999997005</v>
      </c>
      <c r="M130" s="424">
        <f t="shared" si="137"/>
        <v>270236.79999999702</v>
      </c>
      <c r="N130" s="424">
        <f t="shared" si="138"/>
        <v>270236.79999999702</v>
      </c>
      <c r="O130" s="424">
        <f t="shared" si="139"/>
        <v>80947.199999988094</v>
      </c>
      <c r="P130" s="424">
        <f t="shared" si="140"/>
        <v>5666.3039999991697</v>
      </c>
      <c r="Q130" s="424">
        <f t="shared" si="141"/>
        <v>0</v>
      </c>
      <c r="R130" s="424">
        <f t="shared" si="142"/>
        <v>0</v>
      </c>
      <c r="S130" s="424">
        <f t="shared" si="143"/>
        <v>0</v>
      </c>
      <c r="T130" s="424">
        <f t="shared" si="144"/>
        <v>0</v>
      </c>
      <c r="U130" s="424"/>
      <c r="V130" s="424">
        <f t="shared" si="145"/>
        <v>5666.3039999991697</v>
      </c>
      <c r="W130" s="431">
        <v>12</v>
      </c>
      <c r="X130" s="424">
        <f t="shared" si="146"/>
        <v>472.19199999992998</v>
      </c>
      <c r="Y130" s="427"/>
      <c r="Z130" s="424">
        <f t="shared" si="147"/>
        <v>472.19199999992998</v>
      </c>
      <c r="AA130" s="436">
        <v>17042.713866666702</v>
      </c>
      <c r="AB130" s="436">
        <f t="shared" si="133"/>
        <v>-16570.521866666801</v>
      </c>
      <c r="AC130" s="436"/>
      <c r="AD130" s="436"/>
      <c r="AE130" s="436"/>
    </row>
    <row r="131" spans="1:31" ht="18" x14ac:dyDescent="0.15">
      <c r="A131" s="421">
        <v>109</v>
      </c>
      <c r="B131" s="16" t="s">
        <v>265</v>
      </c>
      <c r="C131" s="424">
        <v>24688.666666667999</v>
      </c>
      <c r="D131" s="423">
        <v>12</v>
      </c>
      <c r="E131" s="424">
        <f t="shared" si="134"/>
        <v>296264.00000001601</v>
      </c>
      <c r="F131" s="424"/>
      <c r="G131" s="425"/>
      <c r="H131" s="427"/>
      <c r="I131" s="424">
        <f t="shared" si="135"/>
        <v>296264.00000001601</v>
      </c>
      <c r="J131" s="424">
        <v>200000</v>
      </c>
      <c r="K131" s="424">
        <v>0.2</v>
      </c>
      <c r="L131" s="424">
        <f t="shared" si="136"/>
        <v>59252.800000003299</v>
      </c>
      <c r="M131" s="424">
        <f t="shared" si="137"/>
        <v>259252.80000000299</v>
      </c>
      <c r="N131" s="424">
        <f t="shared" si="138"/>
        <v>259252.80000000299</v>
      </c>
      <c r="O131" s="424">
        <f t="shared" si="139"/>
        <v>37011.200000013101</v>
      </c>
      <c r="P131" s="424">
        <f t="shared" si="140"/>
        <v>2590.7840000009101</v>
      </c>
      <c r="Q131" s="424">
        <f t="shared" si="141"/>
        <v>0</v>
      </c>
      <c r="R131" s="424">
        <f t="shared" si="142"/>
        <v>0</v>
      </c>
      <c r="S131" s="424">
        <f t="shared" si="143"/>
        <v>0</v>
      </c>
      <c r="T131" s="424">
        <f t="shared" si="144"/>
        <v>0</v>
      </c>
      <c r="U131" s="424"/>
      <c r="V131" s="424">
        <f t="shared" si="145"/>
        <v>2590.7840000009101</v>
      </c>
      <c r="W131" s="431">
        <v>12</v>
      </c>
      <c r="X131" s="424">
        <f t="shared" si="146"/>
        <v>215.898666666743</v>
      </c>
      <c r="Y131" s="427"/>
      <c r="Z131" s="424">
        <f t="shared" si="147"/>
        <v>215.898666666743</v>
      </c>
      <c r="AA131" s="436">
        <v>17042.713866666702</v>
      </c>
      <c r="AB131" s="436"/>
      <c r="AC131" s="436"/>
      <c r="AD131" s="436"/>
      <c r="AE131" s="436"/>
    </row>
    <row r="132" spans="1:31" ht="18" x14ac:dyDescent="0.15">
      <c r="A132" s="421">
        <v>110</v>
      </c>
      <c r="B132" s="16" t="s">
        <v>267</v>
      </c>
      <c r="C132" s="424">
        <v>24688.666666667999</v>
      </c>
      <c r="D132" s="423">
        <v>12</v>
      </c>
      <c r="E132" s="424">
        <f t="shared" si="134"/>
        <v>296264.00000001601</v>
      </c>
      <c r="F132" s="424"/>
      <c r="G132" s="425"/>
      <c r="H132" s="427"/>
      <c r="I132" s="424">
        <f t="shared" si="135"/>
        <v>296264.00000001601</v>
      </c>
      <c r="J132" s="424">
        <v>200000</v>
      </c>
      <c r="K132" s="424">
        <v>0.2</v>
      </c>
      <c r="L132" s="424">
        <f t="shared" si="136"/>
        <v>59252.800000003299</v>
      </c>
      <c r="M132" s="424">
        <f t="shared" si="137"/>
        <v>259252.80000000299</v>
      </c>
      <c r="N132" s="424">
        <f t="shared" si="138"/>
        <v>259252.80000000299</v>
      </c>
      <c r="O132" s="424">
        <f t="shared" si="139"/>
        <v>37011.200000013101</v>
      </c>
      <c r="P132" s="424">
        <f t="shared" si="140"/>
        <v>2590.7840000009101</v>
      </c>
      <c r="Q132" s="424">
        <f t="shared" si="141"/>
        <v>0</v>
      </c>
      <c r="R132" s="424">
        <f t="shared" si="142"/>
        <v>0</v>
      </c>
      <c r="S132" s="424">
        <f t="shared" si="143"/>
        <v>0</v>
      </c>
      <c r="T132" s="424">
        <f t="shared" si="144"/>
        <v>0</v>
      </c>
      <c r="U132" s="424"/>
      <c r="V132" s="424">
        <f t="shared" si="145"/>
        <v>2590.7840000009101</v>
      </c>
      <c r="W132" s="431">
        <v>12</v>
      </c>
      <c r="X132" s="424">
        <f t="shared" si="146"/>
        <v>215.898666666743</v>
      </c>
      <c r="Y132" s="427"/>
      <c r="Z132" s="424">
        <f t="shared" si="147"/>
        <v>215.898666666743</v>
      </c>
      <c r="AA132" s="436">
        <v>17042.713866666702</v>
      </c>
      <c r="AC132" s="436"/>
      <c r="AD132" s="436"/>
      <c r="AE132" s="436"/>
    </row>
    <row r="133" spans="1:31" ht="18" x14ac:dyDescent="0.15">
      <c r="A133" s="421">
        <v>111</v>
      </c>
      <c r="B133" s="16" t="s">
        <v>268</v>
      </c>
      <c r="C133" s="424">
        <v>24688.666666667999</v>
      </c>
      <c r="D133" s="423">
        <v>12</v>
      </c>
      <c r="E133" s="424">
        <f t="shared" si="134"/>
        <v>296264.00000001601</v>
      </c>
      <c r="F133" s="424"/>
      <c r="G133" s="425"/>
      <c r="H133" s="427"/>
      <c r="I133" s="424">
        <f t="shared" si="135"/>
        <v>296264.00000001601</v>
      </c>
      <c r="J133" s="424">
        <v>200000</v>
      </c>
      <c r="K133" s="424">
        <v>0.2</v>
      </c>
      <c r="L133" s="424">
        <f t="shared" si="136"/>
        <v>59252.800000003299</v>
      </c>
      <c r="M133" s="424">
        <f t="shared" si="137"/>
        <v>259252.80000000299</v>
      </c>
      <c r="N133" s="424">
        <f t="shared" si="138"/>
        <v>259252.80000000299</v>
      </c>
      <c r="O133" s="424">
        <f t="shared" si="139"/>
        <v>37011.200000013101</v>
      </c>
      <c r="P133" s="424">
        <f t="shared" si="140"/>
        <v>2590.7840000009101</v>
      </c>
      <c r="Q133" s="424">
        <f t="shared" si="141"/>
        <v>0</v>
      </c>
      <c r="R133" s="424">
        <f t="shared" si="142"/>
        <v>0</v>
      </c>
      <c r="S133" s="424">
        <f t="shared" si="143"/>
        <v>0</v>
      </c>
      <c r="T133" s="424">
        <f t="shared" si="144"/>
        <v>0</v>
      </c>
      <c r="U133" s="424"/>
      <c r="V133" s="424">
        <f t="shared" si="145"/>
        <v>2590.7840000009101</v>
      </c>
      <c r="W133" s="431">
        <v>12</v>
      </c>
      <c r="X133" s="424">
        <f t="shared" si="146"/>
        <v>215.898666666743</v>
      </c>
      <c r="Y133" s="427"/>
      <c r="Z133" s="424">
        <f t="shared" si="147"/>
        <v>215.898666666743</v>
      </c>
      <c r="AA133" s="436">
        <v>17042.713866666702</v>
      </c>
      <c r="AC133" s="436"/>
      <c r="AD133" s="436"/>
      <c r="AE133" s="436"/>
    </row>
    <row r="134" spans="1:31" ht="18" x14ac:dyDescent="0.15">
      <c r="A134" s="421">
        <v>112</v>
      </c>
      <c r="B134" s="18" t="s">
        <v>111</v>
      </c>
      <c r="C134" s="424"/>
      <c r="D134" s="423"/>
      <c r="E134" s="424"/>
      <c r="F134" s="424"/>
      <c r="G134" s="427"/>
      <c r="H134" s="427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31"/>
      <c r="X134" s="424"/>
      <c r="Y134" s="427"/>
      <c r="Z134" s="424"/>
      <c r="AA134" s="436"/>
      <c r="AB134" s="436">
        <f t="shared" ref="AB134:AB197" si="148">Z134-AA134</f>
        <v>0</v>
      </c>
      <c r="AC134" s="436"/>
      <c r="AD134" s="436"/>
      <c r="AE134" s="436"/>
    </row>
    <row r="135" spans="1:31" ht="18" x14ac:dyDescent="0.2">
      <c r="A135" s="421">
        <v>113</v>
      </c>
      <c r="B135" s="20"/>
      <c r="C135" s="424"/>
      <c r="D135" s="423"/>
      <c r="E135" s="424"/>
      <c r="F135" s="424"/>
      <c r="G135" s="427"/>
      <c r="H135" s="427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31"/>
      <c r="X135" s="424"/>
      <c r="Y135" s="427"/>
      <c r="Z135" s="424"/>
      <c r="AA135" s="436"/>
      <c r="AB135" s="436">
        <f t="shared" si="148"/>
        <v>0</v>
      </c>
      <c r="AC135" s="436"/>
      <c r="AD135" s="436"/>
      <c r="AE135" s="436"/>
    </row>
    <row r="136" spans="1:31" ht="18" x14ac:dyDescent="0.15">
      <c r="A136" s="421">
        <v>114</v>
      </c>
      <c r="B136" s="18" t="s">
        <v>270</v>
      </c>
      <c r="C136" s="424"/>
      <c r="D136" s="423"/>
      <c r="E136" s="424"/>
      <c r="F136" s="424"/>
      <c r="G136" s="427"/>
      <c r="H136" s="427"/>
      <c r="I136" s="424"/>
      <c r="J136" s="424"/>
      <c r="K136" s="424"/>
      <c r="L136" s="424"/>
      <c r="M136" s="424"/>
      <c r="N136" s="424"/>
      <c r="O136" s="424"/>
      <c r="P136" s="424"/>
      <c r="Q136" s="424"/>
      <c r="R136" s="424"/>
      <c r="S136" s="424"/>
      <c r="T136" s="424"/>
      <c r="U136" s="424"/>
      <c r="V136" s="424"/>
      <c r="W136" s="431"/>
      <c r="X136" s="424"/>
      <c r="Y136" s="427"/>
      <c r="Z136" s="424"/>
      <c r="AA136" s="436"/>
      <c r="AB136" s="436">
        <f t="shared" si="148"/>
        <v>0</v>
      </c>
      <c r="AC136" s="436"/>
      <c r="AD136" s="436"/>
      <c r="AE136" s="436"/>
    </row>
    <row r="137" spans="1:31" ht="18" x14ac:dyDescent="0.15">
      <c r="A137" s="421">
        <v>115</v>
      </c>
      <c r="B137" s="9" t="s">
        <v>557</v>
      </c>
      <c r="C137" s="424"/>
      <c r="D137" s="423"/>
      <c r="E137" s="424"/>
      <c r="F137" s="424"/>
      <c r="G137" s="427"/>
      <c r="H137" s="427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31"/>
      <c r="X137" s="424"/>
      <c r="Y137" s="427"/>
      <c r="Z137" s="424"/>
      <c r="AA137" s="436"/>
      <c r="AB137" s="436">
        <f t="shared" si="148"/>
        <v>0</v>
      </c>
      <c r="AC137" s="436"/>
      <c r="AD137" s="436"/>
      <c r="AE137" s="436"/>
    </row>
    <row r="138" spans="1:31" ht="18" x14ac:dyDescent="0.15">
      <c r="A138" s="421">
        <v>116</v>
      </c>
      <c r="B138" s="12" t="s">
        <v>271</v>
      </c>
      <c r="C138" s="424"/>
      <c r="D138" s="423"/>
      <c r="E138" s="424"/>
      <c r="F138" s="424"/>
      <c r="G138" s="427"/>
      <c r="H138" s="427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31"/>
      <c r="X138" s="424"/>
      <c r="Y138" s="427"/>
      <c r="Z138" s="424"/>
      <c r="AA138" s="436"/>
      <c r="AB138" s="436">
        <f t="shared" si="148"/>
        <v>0</v>
      </c>
      <c r="AC138" s="436"/>
      <c r="AD138" s="436"/>
      <c r="AE138" s="436"/>
    </row>
    <row r="139" spans="1:31" ht="18" x14ac:dyDescent="0.15">
      <c r="A139" s="421">
        <v>117</v>
      </c>
      <c r="B139" s="12" t="s">
        <v>274</v>
      </c>
      <c r="C139" s="424"/>
      <c r="D139" s="423"/>
      <c r="E139" s="424"/>
      <c r="F139" s="424"/>
      <c r="G139" s="427"/>
      <c r="H139" s="427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31"/>
      <c r="X139" s="424"/>
      <c r="Y139" s="427"/>
      <c r="Z139" s="424"/>
      <c r="AA139" s="436"/>
      <c r="AB139" s="436">
        <f t="shared" si="148"/>
        <v>0</v>
      </c>
      <c r="AC139" s="436"/>
      <c r="AD139" s="436"/>
      <c r="AE139" s="436"/>
    </row>
    <row r="140" spans="1:31" ht="18" x14ac:dyDescent="0.15">
      <c r="A140" s="421">
        <v>118</v>
      </c>
      <c r="B140" s="9" t="s">
        <v>276</v>
      </c>
      <c r="C140" s="424"/>
      <c r="D140" s="423"/>
      <c r="E140" s="424"/>
      <c r="F140" s="424"/>
      <c r="G140" s="427"/>
      <c r="H140" s="427"/>
      <c r="I140" s="424"/>
      <c r="J140" s="424"/>
      <c r="K140" s="424"/>
      <c r="L140" s="424"/>
      <c r="M140" s="424"/>
      <c r="N140" s="424"/>
      <c r="O140" s="424"/>
      <c r="P140" s="424"/>
      <c r="Q140" s="424"/>
      <c r="R140" s="424"/>
      <c r="S140" s="424"/>
      <c r="T140" s="424"/>
      <c r="U140" s="424"/>
      <c r="V140" s="424"/>
      <c r="W140" s="431"/>
      <c r="X140" s="424"/>
      <c r="Y140" s="427"/>
      <c r="Z140" s="424"/>
      <c r="AA140" s="436"/>
      <c r="AB140" s="436">
        <f t="shared" si="148"/>
        <v>0</v>
      </c>
      <c r="AC140" s="436"/>
      <c r="AD140" s="436"/>
      <c r="AE140" s="436"/>
    </row>
    <row r="141" spans="1:31" ht="18" x14ac:dyDescent="0.15">
      <c r="A141" s="421">
        <v>119</v>
      </c>
      <c r="B141" s="9" t="s">
        <v>278</v>
      </c>
      <c r="C141" s="424"/>
      <c r="D141" s="423"/>
      <c r="E141" s="424"/>
      <c r="F141" s="424"/>
      <c r="G141" s="427"/>
      <c r="H141" s="427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31"/>
      <c r="X141" s="424"/>
      <c r="Y141" s="427"/>
      <c r="Z141" s="424"/>
      <c r="AA141" s="436"/>
      <c r="AB141" s="436">
        <f t="shared" si="148"/>
        <v>0</v>
      </c>
      <c r="AC141" s="436"/>
      <c r="AD141" s="436"/>
      <c r="AE141" s="436"/>
    </row>
    <row r="142" spans="1:31" ht="18" x14ac:dyDescent="0.15">
      <c r="A142" s="421">
        <v>120</v>
      </c>
      <c r="B142" s="9" t="s">
        <v>280</v>
      </c>
      <c r="C142" s="424"/>
      <c r="D142" s="423"/>
      <c r="E142" s="424"/>
      <c r="F142" s="424"/>
      <c r="G142" s="427"/>
      <c r="H142" s="427"/>
      <c r="I142" s="424"/>
      <c r="J142" s="424"/>
      <c r="K142" s="424"/>
      <c r="L142" s="424"/>
      <c r="M142" s="424"/>
      <c r="N142" s="424"/>
      <c r="O142" s="424"/>
      <c r="P142" s="424"/>
      <c r="Q142" s="424"/>
      <c r="R142" s="424"/>
      <c r="S142" s="424"/>
      <c r="T142" s="424"/>
      <c r="U142" s="424"/>
      <c r="V142" s="424"/>
      <c r="W142" s="431"/>
      <c r="X142" s="424"/>
      <c r="Y142" s="427"/>
      <c r="Z142" s="424"/>
      <c r="AA142" s="436"/>
      <c r="AB142" s="436">
        <f t="shared" si="148"/>
        <v>0</v>
      </c>
      <c r="AC142" s="436"/>
      <c r="AD142" s="436"/>
      <c r="AE142" s="436"/>
    </row>
    <row r="143" spans="1:31" ht="18" x14ac:dyDescent="0.15">
      <c r="A143" s="421">
        <v>121</v>
      </c>
      <c r="B143" s="9" t="s">
        <v>281</v>
      </c>
      <c r="C143" s="424"/>
      <c r="D143" s="423"/>
      <c r="E143" s="424"/>
      <c r="F143" s="424"/>
      <c r="G143" s="427"/>
      <c r="H143" s="427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31"/>
      <c r="X143" s="424"/>
      <c r="Y143" s="427"/>
      <c r="Z143" s="424"/>
      <c r="AA143" s="436"/>
      <c r="AB143" s="436">
        <f t="shared" si="148"/>
        <v>0</v>
      </c>
      <c r="AC143" s="436"/>
      <c r="AD143" s="436"/>
      <c r="AE143" s="436"/>
    </row>
    <row r="144" spans="1:31" ht="18" x14ac:dyDescent="0.15">
      <c r="A144" s="421">
        <v>122</v>
      </c>
      <c r="B144" s="9" t="s">
        <v>282</v>
      </c>
      <c r="C144" s="424"/>
      <c r="D144" s="423"/>
      <c r="E144" s="424"/>
      <c r="F144" s="424"/>
      <c r="G144" s="427"/>
      <c r="H144" s="427"/>
      <c r="I144" s="424"/>
      <c r="J144" s="424"/>
      <c r="K144" s="424"/>
      <c r="L144" s="424"/>
      <c r="M144" s="424"/>
      <c r="N144" s="424"/>
      <c r="O144" s="424"/>
      <c r="P144" s="424"/>
      <c r="Q144" s="424"/>
      <c r="R144" s="424"/>
      <c r="S144" s="424"/>
      <c r="T144" s="424"/>
      <c r="U144" s="424"/>
      <c r="V144" s="424"/>
      <c r="W144" s="431"/>
      <c r="X144" s="424"/>
      <c r="Y144" s="427"/>
      <c r="Z144" s="424"/>
      <c r="AA144" s="436"/>
      <c r="AB144" s="436">
        <f t="shared" si="148"/>
        <v>0</v>
      </c>
      <c r="AC144" s="436"/>
      <c r="AD144" s="436"/>
      <c r="AE144" s="436"/>
    </row>
    <row r="145" spans="1:31" ht="31.5" x14ac:dyDescent="0.2">
      <c r="A145" s="421">
        <v>123</v>
      </c>
      <c r="B145" s="9" t="s">
        <v>284</v>
      </c>
      <c r="C145" s="424">
        <v>48765.333333332099</v>
      </c>
      <c r="D145" s="423">
        <v>12</v>
      </c>
      <c r="E145" s="424">
        <f t="shared" ref="E134:E192" si="149">C145*D145</f>
        <v>585183.99999998498</v>
      </c>
      <c r="F145" s="424"/>
      <c r="G145" s="425"/>
      <c r="H145" s="427"/>
      <c r="I145" s="424">
        <f t="shared" ref="I134:I192" si="150">E145-F145-G145-H145</f>
        <v>585183.99999998498</v>
      </c>
      <c r="J145" s="424">
        <v>200000</v>
      </c>
      <c r="K145" s="424">
        <v>0.2</v>
      </c>
      <c r="L145" s="424">
        <f t="shared" ref="L134:L192" si="151">I145*K145</f>
        <v>117036.79999999701</v>
      </c>
      <c r="M145" s="424">
        <f t="shared" ref="M134:M192" si="152">J145+L145</f>
        <v>317036.79999999702</v>
      </c>
      <c r="N145" s="424">
        <f t="shared" ref="N134:N192" si="153">F145+G145+H145+M145</f>
        <v>317036.79999999702</v>
      </c>
      <c r="O145" s="424">
        <f t="shared" ref="O134:O192" si="154">E145-N145</f>
        <v>268147.19999998802</v>
      </c>
      <c r="P145" s="424">
        <f t="shared" ref="P134:P192" si="155">IF(O145&lt;300000,0.07*O145,21000)</f>
        <v>18770.3039999992</v>
      </c>
      <c r="Q145" s="424">
        <f t="shared" ref="Q134:Q192" si="156">IF((O145-300000)&lt;0,0,IF((O145-300000)&lt;300000,0.11*(O145-300000),33000))</f>
        <v>0</v>
      </c>
      <c r="R145" s="424">
        <f t="shared" ref="R134:R192" si="157">IF((O145-600000)&lt;0,0,IF((O145-600000)&lt;500000,0.15*(O145-600000),75000))</f>
        <v>0</v>
      </c>
      <c r="S145" s="424">
        <f t="shared" ref="S134:S192" si="158">IF((O145-1100000)&lt;0,0,IF((O145-1100000)&lt;500000,0.19*(O145-1100000),95000))</f>
        <v>0</v>
      </c>
      <c r="T145" s="424">
        <f t="shared" ref="T134:T192" si="159">IF((O145-1600000)&lt;0,0,IF((O145-1600000)&lt;1600000,0.21*(O145-1600000),336000))</f>
        <v>0</v>
      </c>
      <c r="U145" s="424"/>
      <c r="V145" s="424">
        <f t="shared" ref="V134:V192" si="160">P145+Q145+R145+S145+T145+U145</f>
        <v>18770.3039999992</v>
      </c>
      <c r="W145" s="431">
        <v>12</v>
      </c>
      <c r="X145" s="424">
        <f t="shared" ref="X134:X192" si="161">V145/W145</f>
        <v>1564.19199999993</v>
      </c>
      <c r="Y145" s="427"/>
      <c r="Z145" s="424">
        <f t="shared" ref="Z134:Z192" si="162">X145</f>
        <v>1564.19199999993</v>
      </c>
      <c r="AA145" s="436">
        <v>35221.954086666701</v>
      </c>
      <c r="AB145" s="436">
        <f t="shared" si="148"/>
        <v>-33657.7620866668</v>
      </c>
      <c r="AC145" s="436"/>
      <c r="AD145" s="436"/>
      <c r="AE145" s="436"/>
    </row>
    <row r="146" spans="1:31" ht="18" x14ac:dyDescent="0.15">
      <c r="A146" s="421">
        <v>124</v>
      </c>
      <c r="B146" s="9" t="s">
        <v>286</v>
      </c>
      <c r="C146" s="424">
        <v>48765.333333335802</v>
      </c>
      <c r="D146" s="423">
        <v>12</v>
      </c>
      <c r="E146" s="424">
        <f t="shared" si="149"/>
        <v>585184.00000003004</v>
      </c>
      <c r="F146" s="424"/>
      <c r="G146" s="425"/>
      <c r="H146" s="427"/>
      <c r="I146" s="424">
        <f t="shared" si="150"/>
        <v>585184.00000003004</v>
      </c>
      <c r="J146" s="424">
        <v>200000</v>
      </c>
      <c r="K146" s="424">
        <v>0.2</v>
      </c>
      <c r="L146" s="424">
        <f t="shared" si="151"/>
        <v>117036.800000006</v>
      </c>
      <c r="M146" s="424">
        <f t="shared" si="152"/>
        <v>317036.80000000598</v>
      </c>
      <c r="N146" s="424">
        <f t="shared" si="153"/>
        <v>317036.80000000598</v>
      </c>
      <c r="O146" s="424">
        <f t="shared" si="154"/>
        <v>268147.20000002399</v>
      </c>
      <c r="P146" s="424">
        <f t="shared" si="155"/>
        <v>18770.304000001699</v>
      </c>
      <c r="Q146" s="424">
        <f t="shared" si="156"/>
        <v>0</v>
      </c>
      <c r="R146" s="424">
        <f t="shared" si="157"/>
        <v>0</v>
      </c>
      <c r="S146" s="424">
        <f t="shared" si="158"/>
        <v>0</v>
      </c>
      <c r="T146" s="424">
        <f t="shared" si="159"/>
        <v>0</v>
      </c>
      <c r="U146" s="424"/>
      <c r="V146" s="424">
        <f t="shared" si="160"/>
        <v>18770.304000001699</v>
      </c>
      <c r="W146" s="431">
        <v>12</v>
      </c>
      <c r="X146" s="424">
        <f t="shared" si="161"/>
        <v>1564.1920000001401</v>
      </c>
      <c r="Y146" s="427"/>
      <c r="Z146" s="424">
        <f t="shared" si="162"/>
        <v>1564.1920000001401</v>
      </c>
      <c r="AA146" s="436">
        <v>31749.175266666702</v>
      </c>
      <c r="AB146" s="436">
        <f t="shared" si="148"/>
        <v>-30184.983266666601</v>
      </c>
      <c r="AC146" s="436"/>
      <c r="AD146" s="436"/>
      <c r="AE146" s="436"/>
    </row>
    <row r="147" spans="1:31" ht="18" x14ac:dyDescent="0.15">
      <c r="A147" s="421">
        <v>125</v>
      </c>
      <c r="B147" s="16" t="s">
        <v>288</v>
      </c>
      <c r="C147" s="424">
        <v>48765.333333332099</v>
      </c>
      <c r="D147" s="423">
        <v>12</v>
      </c>
      <c r="E147" s="424">
        <f t="shared" si="149"/>
        <v>585183.99999998498</v>
      </c>
      <c r="F147" s="424"/>
      <c r="G147" s="425"/>
      <c r="H147" s="427"/>
      <c r="I147" s="424">
        <f t="shared" si="150"/>
        <v>585183.99999998498</v>
      </c>
      <c r="J147" s="424">
        <v>200000</v>
      </c>
      <c r="K147" s="424">
        <v>0.2</v>
      </c>
      <c r="L147" s="424">
        <f t="shared" si="151"/>
        <v>117036.79999999701</v>
      </c>
      <c r="M147" s="424">
        <f t="shared" si="152"/>
        <v>317036.79999999702</v>
      </c>
      <c r="N147" s="424">
        <f t="shared" si="153"/>
        <v>317036.79999999702</v>
      </c>
      <c r="O147" s="424">
        <f t="shared" si="154"/>
        <v>268147.19999998802</v>
      </c>
      <c r="P147" s="424">
        <f t="shared" si="155"/>
        <v>18770.3039999992</v>
      </c>
      <c r="Q147" s="424">
        <f t="shared" si="156"/>
        <v>0</v>
      </c>
      <c r="R147" s="424">
        <f t="shared" si="157"/>
        <v>0</v>
      </c>
      <c r="S147" s="424">
        <f t="shared" si="158"/>
        <v>0</v>
      </c>
      <c r="T147" s="424">
        <f t="shared" si="159"/>
        <v>0</v>
      </c>
      <c r="U147" s="424"/>
      <c r="V147" s="424">
        <f t="shared" si="160"/>
        <v>18770.3039999992</v>
      </c>
      <c r="W147" s="431">
        <v>12</v>
      </c>
      <c r="X147" s="424">
        <f t="shared" si="161"/>
        <v>1564.19199999993</v>
      </c>
      <c r="Y147" s="427"/>
      <c r="Z147" s="424">
        <f t="shared" si="162"/>
        <v>1564.19199999993</v>
      </c>
      <c r="AA147" s="436">
        <v>27105.986562666702</v>
      </c>
      <c r="AB147" s="436">
        <f t="shared" si="148"/>
        <v>-25541.794562666801</v>
      </c>
      <c r="AC147" s="436"/>
      <c r="AD147" s="436"/>
      <c r="AE147" s="436"/>
    </row>
    <row r="148" spans="1:31" ht="18" x14ac:dyDescent="0.15">
      <c r="A148" s="421">
        <v>126</v>
      </c>
      <c r="B148" s="9" t="s">
        <v>290</v>
      </c>
      <c r="C148" s="424">
        <v>0</v>
      </c>
      <c r="D148" s="423">
        <v>12</v>
      </c>
      <c r="E148" s="424">
        <f t="shared" si="149"/>
        <v>0</v>
      </c>
      <c r="F148" s="424"/>
      <c r="G148" s="425"/>
      <c r="H148" s="427"/>
      <c r="I148" s="424">
        <f t="shared" si="150"/>
        <v>0</v>
      </c>
      <c r="J148" s="424">
        <v>200000</v>
      </c>
      <c r="K148" s="424">
        <v>0.2</v>
      </c>
      <c r="L148" s="424">
        <f t="shared" si="151"/>
        <v>0</v>
      </c>
      <c r="M148" s="424">
        <f t="shared" si="152"/>
        <v>200000</v>
      </c>
      <c r="N148" s="424">
        <f t="shared" si="153"/>
        <v>200000</v>
      </c>
      <c r="O148" s="424">
        <f t="shared" si="154"/>
        <v>-200000</v>
      </c>
      <c r="P148" s="424">
        <f t="shared" si="155"/>
        <v>-14000</v>
      </c>
      <c r="Q148" s="424">
        <f t="shared" si="156"/>
        <v>0</v>
      </c>
      <c r="R148" s="424">
        <f t="shared" si="157"/>
        <v>0</v>
      </c>
      <c r="S148" s="424">
        <f t="shared" si="158"/>
        <v>0</v>
      </c>
      <c r="T148" s="424">
        <f t="shared" si="159"/>
        <v>0</v>
      </c>
      <c r="U148" s="424"/>
      <c r="V148" s="424">
        <f t="shared" si="160"/>
        <v>-14000</v>
      </c>
      <c r="W148" s="431">
        <v>12</v>
      </c>
      <c r="X148" s="424">
        <f t="shared" si="161"/>
        <v>-1166.6666666666699</v>
      </c>
      <c r="Y148" s="427"/>
      <c r="Z148" s="424">
        <f t="shared" si="162"/>
        <v>-1166.6666666666699</v>
      </c>
      <c r="AA148" s="436">
        <v>27794.206626666699</v>
      </c>
      <c r="AB148" s="436">
        <f t="shared" si="148"/>
        <v>-28960.873293333399</v>
      </c>
      <c r="AC148" s="436"/>
      <c r="AD148" s="436"/>
      <c r="AE148" s="436"/>
    </row>
    <row r="149" spans="1:31" ht="18" x14ac:dyDescent="0.15">
      <c r="A149" s="421">
        <v>127</v>
      </c>
      <c r="B149" s="9" t="s">
        <v>291</v>
      </c>
      <c r="C149" s="424">
        <v>0</v>
      </c>
      <c r="D149" s="423">
        <v>12</v>
      </c>
      <c r="E149" s="424">
        <f t="shared" si="149"/>
        <v>0</v>
      </c>
      <c r="F149" s="424"/>
      <c r="G149" s="425"/>
      <c r="H149" s="427"/>
      <c r="I149" s="424">
        <f t="shared" si="150"/>
        <v>0</v>
      </c>
      <c r="J149" s="424">
        <v>200000</v>
      </c>
      <c r="K149" s="424">
        <v>0.2</v>
      </c>
      <c r="L149" s="424">
        <f t="shared" si="151"/>
        <v>0</v>
      </c>
      <c r="M149" s="424">
        <f t="shared" si="152"/>
        <v>200000</v>
      </c>
      <c r="N149" s="424">
        <f t="shared" si="153"/>
        <v>200000</v>
      </c>
      <c r="O149" s="424">
        <f t="shared" si="154"/>
        <v>-200000</v>
      </c>
      <c r="P149" s="424">
        <f t="shared" si="155"/>
        <v>-14000</v>
      </c>
      <c r="Q149" s="424">
        <f t="shared" si="156"/>
        <v>0</v>
      </c>
      <c r="R149" s="424">
        <f t="shared" si="157"/>
        <v>0</v>
      </c>
      <c r="S149" s="424">
        <f t="shared" si="158"/>
        <v>0</v>
      </c>
      <c r="T149" s="424">
        <f t="shared" si="159"/>
        <v>0</v>
      </c>
      <c r="U149" s="424"/>
      <c r="V149" s="424">
        <f t="shared" si="160"/>
        <v>-14000</v>
      </c>
      <c r="W149" s="431">
        <v>12</v>
      </c>
      <c r="X149" s="424">
        <f t="shared" si="161"/>
        <v>-1166.6666666666699</v>
      </c>
      <c r="Y149" s="427"/>
      <c r="Z149" s="424">
        <f t="shared" si="162"/>
        <v>-1166.6666666666699</v>
      </c>
      <c r="AA149" s="436">
        <v>27873.079686666701</v>
      </c>
      <c r="AB149" s="436">
        <f t="shared" si="148"/>
        <v>-29039.746353333401</v>
      </c>
      <c r="AC149" s="436"/>
      <c r="AD149" s="436"/>
      <c r="AE149" s="436"/>
    </row>
    <row r="150" spans="1:31" ht="18" x14ac:dyDescent="0.15">
      <c r="A150" s="421">
        <v>128</v>
      </c>
      <c r="B150" s="9" t="s">
        <v>293</v>
      </c>
      <c r="C150" s="424">
        <v>48765.333333332099</v>
      </c>
      <c r="D150" s="423">
        <v>12</v>
      </c>
      <c r="E150" s="424">
        <f t="shared" si="149"/>
        <v>585183.99999998498</v>
      </c>
      <c r="F150" s="424"/>
      <c r="G150" s="425"/>
      <c r="H150" s="427"/>
      <c r="I150" s="424">
        <f t="shared" si="150"/>
        <v>585183.99999998498</v>
      </c>
      <c r="J150" s="424">
        <v>200000</v>
      </c>
      <c r="K150" s="424">
        <v>0.2</v>
      </c>
      <c r="L150" s="424">
        <f t="shared" si="151"/>
        <v>117036.79999999701</v>
      </c>
      <c r="M150" s="424">
        <f t="shared" si="152"/>
        <v>317036.79999999702</v>
      </c>
      <c r="N150" s="424">
        <f t="shared" si="153"/>
        <v>317036.79999999702</v>
      </c>
      <c r="O150" s="424">
        <f t="shared" si="154"/>
        <v>268147.19999998802</v>
      </c>
      <c r="P150" s="424">
        <f t="shared" si="155"/>
        <v>18770.3039999992</v>
      </c>
      <c r="Q150" s="424">
        <f t="shared" si="156"/>
        <v>0</v>
      </c>
      <c r="R150" s="424">
        <f t="shared" si="157"/>
        <v>0</v>
      </c>
      <c r="S150" s="424">
        <f t="shared" si="158"/>
        <v>0</v>
      </c>
      <c r="T150" s="424">
        <f t="shared" si="159"/>
        <v>0</v>
      </c>
      <c r="U150" s="424"/>
      <c r="V150" s="424">
        <f t="shared" si="160"/>
        <v>18770.3039999992</v>
      </c>
      <c r="W150" s="431">
        <v>12</v>
      </c>
      <c r="X150" s="424">
        <f t="shared" si="161"/>
        <v>1564.19199999993</v>
      </c>
      <c r="Y150" s="427"/>
      <c r="Z150" s="424">
        <f t="shared" si="162"/>
        <v>1564.19199999993</v>
      </c>
      <c r="AA150" s="436">
        <v>27105.986562666702</v>
      </c>
      <c r="AB150" s="436">
        <f t="shared" si="148"/>
        <v>-25541.794562666801</v>
      </c>
      <c r="AC150" s="436"/>
      <c r="AD150" s="436"/>
      <c r="AE150" s="436"/>
    </row>
    <row r="151" spans="1:31" ht="18" x14ac:dyDescent="0.15">
      <c r="A151" s="421">
        <v>129</v>
      </c>
      <c r="B151" s="9" t="s">
        <v>294</v>
      </c>
      <c r="C151" s="424">
        <v>31743.666666667901</v>
      </c>
      <c r="D151" s="423">
        <v>12</v>
      </c>
      <c r="E151" s="424">
        <f t="shared" si="149"/>
        <v>380924.00000001502</v>
      </c>
      <c r="F151" s="424"/>
      <c r="G151" s="425"/>
      <c r="H151" s="427"/>
      <c r="I151" s="424">
        <f t="shared" si="150"/>
        <v>380924.00000001502</v>
      </c>
      <c r="J151" s="424">
        <v>200000</v>
      </c>
      <c r="K151" s="424">
        <v>0.2</v>
      </c>
      <c r="L151" s="424">
        <f t="shared" si="151"/>
        <v>76184.800000003001</v>
      </c>
      <c r="M151" s="424">
        <f t="shared" si="152"/>
        <v>276184.80000000302</v>
      </c>
      <c r="N151" s="424">
        <f t="shared" si="153"/>
        <v>276184.80000000302</v>
      </c>
      <c r="O151" s="424">
        <f t="shared" si="154"/>
        <v>104739.200000012</v>
      </c>
      <c r="P151" s="424">
        <f t="shared" si="155"/>
        <v>7331.7440000008401</v>
      </c>
      <c r="Q151" s="424">
        <f t="shared" si="156"/>
        <v>0</v>
      </c>
      <c r="R151" s="424">
        <f t="shared" si="157"/>
        <v>0</v>
      </c>
      <c r="S151" s="424">
        <f t="shared" si="158"/>
        <v>0</v>
      </c>
      <c r="T151" s="424">
        <f t="shared" si="159"/>
        <v>0</v>
      </c>
      <c r="U151" s="424"/>
      <c r="V151" s="424">
        <f t="shared" si="160"/>
        <v>7331.7440000008401</v>
      </c>
      <c r="W151" s="431">
        <v>12</v>
      </c>
      <c r="X151" s="424">
        <f t="shared" si="161"/>
        <v>610.97866666673599</v>
      </c>
      <c r="Y151" s="427"/>
      <c r="Z151" s="424">
        <f t="shared" si="162"/>
        <v>610.97866666673599</v>
      </c>
      <c r="AA151" s="436">
        <v>22338.4826046667</v>
      </c>
      <c r="AB151" s="436">
        <f t="shared" si="148"/>
        <v>-21727.503938000002</v>
      </c>
      <c r="AC151" s="436"/>
      <c r="AD151" s="436"/>
      <c r="AE151" s="436"/>
    </row>
    <row r="152" spans="1:31" ht="31.5" x14ac:dyDescent="0.2">
      <c r="A152" s="421">
        <v>130</v>
      </c>
      <c r="B152" s="9" t="s">
        <v>296</v>
      </c>
      <c r="C152" s="424">
        <v>29265.333333335799</v>
      </c>
      <c r="D152" s="423">
        <v>12</v>
      </c>
      <c r="E152" s="424">
        <f t="shared" si="149"/>
        <v>351184.00000002998</v>
      </c>
      <c r="F152" s="424"/>
      <c r="G152" s="425"/>
      <c r="H152" s="427"/>
      <c r="I152" s="424">
        <f t="shared" si="150"/>
        <v>351184.00000002998</v>
      </c>
      <c r="J152" s="424">
        <v>200000</v>
      </c>
      <c r="K152" s="424">
        <v>0.2</v>
      </c>
      <c r="L152" s="424">
        <f t="shared" si="151"/>
        <v>70236.800000005998</v>
      </c>
      <c r="M152" s="424">
        <f t="shared" si="152"/>
        <v>270236.80000000598</v>
      </c>
      <c r="N152" s="424">
        <f t="shared" si="153"/>
        <v>270236.80000000598</v>
      </c>
      <c r="O152" s="424">
        <f t="shared" si="154"/>
        <v>80947.200000023804</v>
      </c>
      <c r="P152" s="424">
        <f t="shared" si="155"/>
        <v>5666.3040000016699</v>
      </c>
      <c r="Q152" s="424">
        <f t="shared" si="156"/>
        <v>0</v>
      </c>
      <c r="R152" s="424">
        <f t="shared" si="157"/>
        <v>0</v>
      </c>
      <c r="S152" s="424">
        <f t="shared" si="158"/>
        <v>0</v>
      </c>
      <c r="T152" s="424">
        <f t="shared" si="159"/>
        <v>0</v>
      </c>
      <c r="U152" s="424"/>
      <c r="V152" s="424">
        <f t="shared" si="160"/>
        <v>5666.3040000016699</v>
      </c>
      <c r="W152" s="431">
        <v>12</v>
      </c>
      <c r="X152" s="424">
        <f t="shared" si="161"/>
        <v>472.19200000013899</v>
      </c>
      <c r="Y152" s="427"/>
      <c r="Z152" s="424">
        <f t="shared" si="162"/>
        <v>472.19200000013899</v>
      </c>
      <c r="AA152" s="436">
        <v>27105.986562666702</v>
      </c>
      <c r="AB152" s="436">
        <f t="shared" si="148"/>
        <v>-26633.794562666601</v>
      </c>
      <c r="AC152" s="436"/>
      <c r="AD152" s="436"/>
      <c r="AE152" s="436"/>
    </row>
    <row r="153" spans="1:31" ht="18" x14ac:dyDescent="0.15">
      <c r="A153" s="421">
        <v>131</v>
      </c>
      <c r="B153" s="9" t="s">
        <v>298</v>
      </c>
      <c r="C153" s="424">
        <v>31743.666666667901</v>
      </c>
      <c r="D153" s="423">
        <v>12</v>
      </c>
      <c r="E153" s="424">
        <f t="shared" si="149"/>
        <v>380924.00000001502</v>
      </c>
      <c r="F153" s="424"/>
      <c r="G153" s="425"/>
      <c r="H153" s="427"/>
      <c r="I153" s="424">
        <f t="shared" si="150"/>
        <v>380924.00000001502</v>
      </c>
      <c r="J153" s="424">
        <v>200000</v>
      </c>
      <c r="K153" s="424">
        <v>0.2</v>
      </c>
      <c r="L153" s="424">
        <f t="shared" si="151"/>
        <v>76184.800000003001</v>
      </c>
      <c r="M153" s="424">
        <f t="shared" si="152"/>
        <v>276184.80000000302</v>
      </c>
      <c r="N153" s="424">
        <f t="shared" si="153"/>
        <v>276184.80000000302</v>
      </c>
      <c r="O153" s="424">
        <f t="shared" si="154"/>
        <v>104739.200000012</v>
      </c>
      <c r="P153" s="424">
        <f t="shared" si="155"/>
        <v>7331.7440000008401</v>
      </c>
      <c r="Q153" s="424">
        <f t="shared" si="156"/>
        <v>0</v>
      </c>
      <c r="R153" s="424">
        <f t="shared" si="157"/>
        <v>0</v>
      </c>
      <c r="S153" s="424">
        <f t="shared" si="158"/>
        <v>0</v>
      </c>
      <c r="T153" s="424">
        <f t="shared" si="159"/>
        <v>0</v>
      </c>
      <c r="U153" s="424"/>
      <c r="V153" s="424">
        <f t="shared" si="160"/>
        <v>7331.7440000008401</v>
      </c>
      <c r="W153" s="431">
        <v>12</v>
      </c>
      <c r="X153" s="424">
        <f t="shared" si="161"/>
        <v>610.97866666673599</v>
      </c>
      <c r="Y153" s="427"/>
      <c r="Z153" s="424">
        <f t="shared" si="162"/>
        <v>610.97866666673599</v>
      </c>
      <c r="AA153" s="436">
        <v>23036.012346666699</v>
      </c>
      <c r="AB153" s="436">
        <f t="shared" si="148"/>
        <v>-22425.03368</v>
      </c>
      <c r="AC153" s="436"/>
      <c r="AD153" s="436"/>
      <c r="AE153" s="436"/>
    </row>
    <row r="154" spans="1:31" ht="18" x14ac:dyDescent="0.15">
      <c r="A154" s="421">
        <v>132</v>
      </c>
      <c r="B154" s="9" t="s">
        <v>301</v>
      </c>
      <c r="C154" s="424">
        <v>29265.333333332099</v>
      </c>
      <c r="D154" s="423">
        <v>12</v>
      </c>
      <c r="E154" s="424">
        <f t="shared" si="149"/>
        <v>351183.99999998498</v>
      </c>
      <c r="F154" s="424"/>
      <c r="G154" s="425"/>
      <c r="H154" s="427"/>
      <c r="I154" s="424">
        <f t="shared" si="150"/>
        <v>351183.99999998498</v>
      </c>
      <c r="J154" s="424">
        <v>200000</v>
      </c>
      <c r="K154" s="424">
        <v>0.2</v>
      </c>
      <c r="L154" s="424">
        <f t="shared" si="151"/>
        <v>70236.799999997005</v>
      </c>
      <c r="M154" s="424">
        <f t="shared" si="152"/>
        <v>270236.79999999702</v>
      </c>
      <c r="N154" s="424">
        <f t="shared" si="153"/>
        <v>270236.79999999702</v>
      </c>
      <c r="O154" s="424">
        <f t="shared" si="154"/>
        <v>80947.199999988094</v>
      </c>
      <c r="P154" s="424">
        <f t="shared" si="155"/>
        <v>5666.3039999991697</v>
      </c>
      <c r="Q154" s="424">
        <f t="shared" si="156"/>
        <v>0</v>
      </c>
      <c r="R154" s="424">
        <f t="shared" si="157"/>
        <v>0</v>
      </c>
      <c r="S154" s="424">
        <f t="shared" si="158"/>
        <v>0</v>
      </c>
      <c r="T154" s="424">
        <f t="shared" si="159"/>
        <v>0</v>
      </c>
      <c r="U154" s="424"/>
      <c r="V154" s="424">
        <f t="shared" si="160"/>
        <v>5666.3039999991697</v>
      </c>
      <c r="W154" s="431">
        <v>12</v>
      </c>
      <c r="X154" s="424">
        <f t="shared" si="161"/>
        <v>472.19199999992998</v>
      </c>
      <c r="Y154" s="427"/>
      <c r="Z154" s="424">
        <f t="shared" si="162"/>
        <v>472.19199999992998</v>
      </c>
      <c r="AA154" s="436">
        <v>27029.2036746667</v>
      </c>
      <c r="AB154" s="436">
        <f t="shared" si="148"/>
        <v>-26557.011674666799</v>
      </c>
      <c r="AC154" s="436"/>
      <c r="AD154" s="436"/>
      <c r="AE154" s="436"/>
    </row>
    <row r="155" spans="1:31" ht="18" x14ac:dyDescent="0.15">
      <c r="A155" s="421">
        <v>133</v>
      </c>
      <c r="B155" s="9" t="s">
        <v>303</v>
      </c>
      <c r="C155" s="424">
        <v>31743.666666667901</v>
      </c>
      <c r="D155" s="423">
        <v>12</v>
      </c>
      <c r="E155" s="424">
        <f t="shared" si="149"/>
        <v>380924.00000001502</v>
      </c>
      <c r="F155" s="424"/>
      <c r="G155" s="425"/>
      <c r="H155" s="427"/>
      <c r="I155" s="424">
        <f t="shared" si="150"/>
        <v>380924.00000001502</v>
      </c>
      <c r="J155" s="424">
        <v>200000</v>
      </c>
      <c r="K155" s="424">
        <v>0.2</v>
      </c>
      <c r="L155" s="424">
        <f t="shared" si="151"/>
        <v>76184.800000003001</v>
      </c>
      <c r="M155" s="424">
        <f t="shared" si="152"/>
        <v>276184.80000000302</v>
      </c>
      <c r="N155" s="424">
        <f t="shared" si="153"/>
        <v>276184.80000000302</v>
      </c>
      <c r="O155" s="424">
        <f t="shared" si="154"/>
        <v>104739.200000012</v>
      </c>
      <c r="P155" s="424">
        <f t="shared" si="155"/>
        <v>7331.7440000008401</v>
      </c>
      <c r="Q155" s="424">
        <f t="shared" si="156"/>
        <v>0</v>
      </c>
      <c r="R155" s="424">
        <f t="shared" si="157"/>
        <v>0</v>
      </c>
      <c r="S155" s="424">
        <f t="shared" si="158"/>
        <v>0</v>
      </c>
      <c r="T155" s="424">
        <f t="shared" si="159"/>
        <v>0</v>
      </c>
      <c r="U155" s="424"/>
      <c r="V155" s="424">
        <f t="shared" si="160"/>
        <v>7331.7440000008401</v>
      </c>
      <c r="W155" s="431">
        <v>12</v>
      </c>
      <c r="X155" s="424">
        <f t="shared" si="161"/>
        <v>610.97866666673599</v>
      </c>
      <c r="Y155" s="427"/>
      <c r="Z155" s="424">
        <f t="shared" si="162"/>
        <v>610.97866666673599</v>
      </c>
      <c r="AA155" s="436">
        <v>22338.4826046667</v>
      </c>
      <c r="AB155" s="436">
        <f t="shared" si="148"/>
        <v>-21727.503938000002</v>
      </c>
      <c r="AC155" s="436"/>
      <c r="AD155" s="436"/>
      <c r="AE155" s="436"/>
    </row>
    <row r="156" spans="1:31" ht="18" x14ac:dyDescent="0.15">
      <c r="A156" s="421">
        <v>134</v>
      </c>
      <c r="B156" s="9" t="s">
        <v>305</v>
      </c>
      <c r="C156" s="424">
        <v>29265.333333332099</v>
      </c>
      <c r="D156" s="423">
        <v>12</v>
      </c>
      <c r="E156" s="424">
        <f t="shared" si="149"/>
        <v>351183.99999998498</v>
      </c>
      <c r="F156" s="424"/>
      <c r="G156" s="425"/>
      <c r="H156" s="427"/>
      <c r="I156" s="424">
        <f t="shared" si="150"/>
        <v>351183.99999998498</v>
      </c>
      <c r="J156" s="424">
        <v>200000</v>
      </c>
      <c r="K156" s="424">
        <v>0.2</v>
      </c>
      <c r="L156" s="424">
        <f t="shared" si="151"/>
        <v>70236.799999997005</v>
      </c>
      <c r="M156" s="424">
        <f t="shared" si="152"/>
        <v>270236.79999999702</v>
      </c>
      <c r="N156" s="424">
        <f t="shared" si="153"/>
        <v>270236.79999999702</v>
      </c>
      <c r="O156" s="424">
        <f t="shared" si="154"/>
        <v>80947.199999988094</v>
      </c>
      <c r="P156" s="424">
        <f t="shared" si="155"/>
        <v>5666.3039999991697</v>
      </c>
      <c r="Q156" s="424">
        <f t="shared" si="156"/>
        <v>0</v>
      </c>
      <c r="R156" s="424">
        <f t="shared" si="157"/>
        <v>0</v>
      </c>
      <c r="S156" s="424">
        <f t="shared" si="158"/>
        <v>0</v>
      </c>
      <c r="T156" s="424">
        <f t="shared" si="159"/>
        <v>0</v>
      </c>
      <c r="U156" s="424"/>
      <c r="V156" s="424">
        <f t="shared" si="160"/>
        <v>5666.3039999991697</v>
      </c>
      <c r="W156" s="431">
        <v>12</v>
      </c>
      <c r="X156" s="424">
        <f t="shared" si="161"/>
        <v>472.19199999992998</v>
      </c>
      <c r="Y156" s="427"/>
      <c r="Z156" s="424">
        <f t="shared" si="162"/>
        <v>472.19199999992998</v>
      </c>
      <c r="AA156" s="436">
        <v>21640.952862666702</v>
      </c>
      <c r="AB156" s="436">
        <f t="shared" si="148"/>
        <v>-21168.760862666801</v>
      </c>
      <c r="AC156" s="436"/>
      <c r="AD156" s="436"/>
      <c r="AE156" s="436"/>
    </row>
    <row r="157" spans="1:31" ht="18" x14ac:dyDescent="0.15">
      <c r="A157" s="421">
        <v>135</v>
      </c>
      <c r="B157" s="16" t="s">
        <v>307</v>
      </c>
      <c r="C157" s="424">
        <v>29265.333333332099</v>
      </c>
      <c r="D157" s="423">
        <v>12</v>
      </c>
      <c r="E157" s="424">
        <f t="shared" si="149"/>
        <v>351183.99999998498</v>
      </c>
      <c r="F157" s="424"/>
      <c r="G157" s="425"/>
      <c r="H157" s="427"/>
      <c r="I157" s="424">
        <f t="shared" si="150"/>
        <v>351183.99999998498</v>
      </c>
      <c r="J157" s="424">
        <v>200000</v>
      </c>
      <c r="K157" s="424">
        <v>0.2</v>
      </c>
      <c r="L157" s="424">
        <f t="shared" si="151"/>
        <v>70236.799999997005</v>
      </c>
      <c r="M157" s="424">
        <f t="shared" si="152"/>
        <v>270236.79999999702</v>
      </c>
      <c r="N157" s="424">
        <f t="shared" si="153"/>
        <v>270236.79999999702</v>
      </c>
      <c r="O157" s="424">
        <f t="shared" si="154"/>
        <v>80947.199999988094</v>
      </c>
      <c r="P157" s="424">
        <f t="shared" si="155"/>
        <v>5666.3039999991697</v>
      </c>
      <c r="Q157" s="424">
        <f t="shared" si="156"/>
        <v>0</v>
      </c>
      <c r="R157" s="424">
        <f t="shared" si="157"/>
        <v>0</v>
      </c>
      <c r="S157" s="424">
        <f t="shared" si="158"/>
        <v>0</v>
      </c>
      <c r="T157" s="424">
        <f t="shared" si="159"/>
        <v>0</v>
      </c>
      <c r="U157" s="424"/>
      <c r="V157" s="424">
        <f t="shared" si="160"/>
        <v>5666.3039999991697</v>
      </c>
      <c r="W157" s="431">
        <v>12</v>
      </c>
      <c r="X157" s="424">
        <f t="shared" si="161"/>
        <v>472.19199999992998</v>
      </c>
      <c r="Y157" s="427"/>
      <c r="Z157" s="424">
        <f t="shared" si="162"/>
        <v>472.19199999992998</v>
      </c>
      <c r="AA157" s="436">
        <v>17042.713866666702</v>
      </c>
      <c r="AB157" s="436">
        <f t="shared" si="148"/>
        <v>-16570.521866666801</v>
      </c>
      <c r="AC157" s="436"/>
      <c r="AD157" s="436"/>
      <c r="AE157" s="436"/>
    </row>
    <row r="158" spans="1:31" ht="18" x14ac:dyDescent="0.15">
      <c r="A158" s="421">
        <v>136</v>
      </c>
      <c r="B158" s="16" t="s">
        <v>309</v>
      </c>
      <c r="C158" s="424">
        <v>29265.333333332099</v>
      </c>
      <c r="D158" s="423">
        <v>12</v>
      </c>
      <c r="E158" s="424">
        <f t="shared" si="149"/>
        <v>351183.99999998498</v>
      </c>
      <c r="F158" s="424"/>
      <c r="G158" s="425"/>
      <c r="H158" s="427"/>
      <c r="I158" s="424">
        <f t="shared" si="150"/>
        <v>351183.99999998498</v>
      </c>
      <c r="J158" s="424">
        <v>200000</v>
      </c>
      <c r="K158" s="424">
        <v>0.2</v>
      </c>
      <c r="L158" s="424">
        <f t="shared" si="151"/>
        <v>70236.799999997005</v>
      </c>
      <c r="M158" s="424">
        <f t="shared" si="152"/>
        <v>270236.79999999702</v>
      </c>
      <c r="N158" s="424">
        <f t="shared" si="153"/>
        <v>270236.79999999702</v>
      </c>
      <c r="O158" s="424">
        <f t="shared" si="154"/>
        <v>80947.199999988094</v>
      </c>
      <c r="P158" s="424">
        <f t="shared" si="155"/>
        <v>5666.3039999991697</v>
      </c>
      <c r="Q158" s="424">
        <f t="shared" si="156"/>
        <v>0</v>
      </c>
      <c r="R158" s="424">
        <f t="shared" si="157"/>
        <v>0</v>
      </c>
      <c r="S158" s="424">
        <f t="shared" si="158"/>
        <v>0</v>
      </c>
      <c r="T158" s="424">
        <f t="shared" si="159"/>
        <v>0</v>
      </c>
      <c r="U158" s="424"/>
      <c r="V158" s="424">
        <f t="shared" si="160"/>
        <v>5666.3039999991697</v>
      </c>
      <c r="W158" s="431">
        <v>12</v>
      </c>
      <c r="X158" s="424">
        <f t="shared" si="161"/>
        <v>472.19199999992998</v>
      </c>
      <c r="Y158" s="427"/>
      <c r="Z158" s="424">
        <f t="shared" si="162"/>
        <v>472.19199999992998</v>
      </c>
      <c r="AA158" s="436">
        <v>17042.713866666702</v>
      </c>
      <c r="AB158" s="436">
        <f t="shared" si="148"/>
        <v>-16570.521866666801</v>
      </c>
      <c r="AC158" s="436"/>
      <c r="AD158" s="436"/>
      <c r="AE158" s="436"/>
    </row>
    <row r="159" spans="1:31" ht="18" x14ac:dyDescent="0.15">
      <c r="A159" s="421">
        <v>137</v>
      </c>
      <c r="B159" s="16" t="s">
        <v>312</v>
      </c>
      <c r="C159" s="424">
        <v>24688.666666667999</v>
      </c>
      <c r="D159" s="423">
        <v>12</v>
      </c>
      <c r="E159" s="424">
        <f t="shared" si="149"/>
        <v>296264.00000001601</v>
      </c>
      <c r="F159" s="424"/>
      <c r="G159" s="425"/>
      <c r="H159" s="427"/>
      <c r="I159" s="424">
        <f t="shared" si="150"/>
        <v>296264.00000001601</v>
      </c>
      <c r="J159" s="424">
        <v>200000</v>
      </c>
      <c r="K159" s="424">
        <v>0.2</v>
      </c>
      <c r="L159" s="424">
        <f t="shared" si="151"/>
        <v>59252.800000003299</v>
      </c>
      <c r="M159" s="424">
        <f t="shared" si="152"/>
        <v>259252.80000000299</v>
      </c>
      <c r="N159" s="424">
        <f t="shared" si="153"/>
        <v>259252.80000000299</v>
      </c>
      <c r="O159" s="424">
        <f t="shared" si="154"/>
        <v>37011.200000013101</v>
      </c>
      <c r="P159" s="424">
        <f t="shared" si="155"/>
        <v>2590.7840000009101</v>
      </c>
      <c r="Q159" s="424">
        <f t="shared" si="156"/>
        <v>0</v>
      </c>
      <c r="R159" s="424">
        <f t="shared" si="157"/>
        <v>0</v>
      </c>
      <c r="S159" s="424">
        <f t="shared" si="158"/>
        <v>0</v>
      </c>
      <c r="T159" s="424">
        <f t="shared" si="159"/>
        <v>0</v>
      </c>
      <c r="U159" s="424"/>
      <c r="V159" s="424">
        <f t="shared" si="160"/>
        <v>2590.7840000009101</v>
      </c>
      <c r="W159" s="431">
        <v>12</v>
      </c>
      <c r="X159" s="424">
        <f t="shared" si="161"/>
        <v>215.898666666743</v>
      </c>
      <c r="Y159" s="427"/>
      <c r="Z159" s="424">
        <f t="shared" si="162"/>
        <v>215.898666666743</v>
      </c>
      <c r="AA159" s="436">
        <v>17042.713866666702</v>
      </c>
      <c r="AB159" s="436">
        <f t="shared" si="148"/>
        <v>-16826.815200000001</v>
      </c>
      <c r="AC159" s="436"/>
      <c r="AD159" s="436"/>
      <c r="AE159" s="436"/>
    </row>
    <row r="160" spans="1:31" ht="18" x14ac:dyDescent="0.15">
      <c r="A160" s="421">
        <v>138</v>
      </c>
      <c r="B160" s="16" t="s">
        <v>314</v>
      </c>
      <c r="C160" s="424">
        <v>24688.666666667999</v>
      </c>
      <c r="D160" s="423">
        <v>12</v>
      </c>
      <c r="E160" s="424">
        <f t="shared" si="149"/>
        <v>296264.00000001601</v>
      </c>
      <c r="F160" s="424"/>
      <c r="G160" s="425"/>
      <c r="H160" s="427"/>
      <c r="I160" s="424">
        <f t="shared" si="150"/>
        <v>296264.00000001601</v>
      </c>
      <c r="J160" s="424">
        <v>200000</v>
      </c>
      <c r="K160" s="424">
        <v>0.2</v>
      </c>
      <c r="L160" s="424">
        <f t="shared" si="151"/>
        <v>59252.800000003299</v>
      </c>
      <c r="M160" s="424">
        <f t="shared" si="152"/>
        <v>259252.80000000299</v>
      </c>
      <c r="N160" s="424">
        <f t="shared" si="153"/>
        <v>259252.80000000299</v>
      </c>
      <c r="O160" s="424">
        <f t="shared" si="154"/>
        <v>37011.200000013101</v>
      </c>
      <c r="P160" s="424">
        <f t="shared" si="155"/>
        <v>2590.7840000009101</v>
      </c>
      <c r="Q160" s="424">
        <f t="shared" si="156"/>
        <v>0</v>
      </c>
      <c r="R160" s="424">
        <f t="shared" si="157"/>
        <v>0</v>
      </c>
      <c r="S160" s="424">
        <f t="shared" si="158"/>
        <v>0</v>
      </c>
      <c r="T160" s="424">
        <f t="shared" si="159"/>
        <v>0</v>
      </c>
      <c r="U160" s="424"/>
      <c r="V160" s="424">
        <f t="shared" si="160"/>
        <v>2590.7840000009101</v>
      </c>
      <c r="W160" s="431">
        <v>12</v>
      </c>
      <c r="X160" s="424">
        <f t="shared" si="161"/>
        <v>215.898666666743</v>
      </c>
      <c r="Y160" s="427"/>
      <c r="Z160" s="424">
        <f t="shared" si="162"/>
        <v>215.898666666743</v>
      </c>
      <c r="AA160" s="436">
        <v>17572.885002666699</v>
      </c>
      <c r="AB160" s="436">
        <f t="shared" si="148"/>
        <v>-17356.986336000002</v>
      </c>
      <c r="AC160" s="436"/>
      <c r="AD160" s="436"/>
      <c r="AE160" s="436"/>
    </row>
    <row r="161" spans="1:31" ht="31.5" x14ac:dyDescent="0.2">
      <c r="A161" s="421">
        <v>139</v>
      </c>
      <c r="B161" s="16" t="s">
        <v>316</v>
      </c>
      <c r="C161" s="424">
        <v>24688.666666667999</v>
      </c>
      <c r="D161" s="423">
        <v>12</v>
      </c>
      <c r="E161" s="424">
        <f t="shared" si="149"/>
        <v>296264.00000001601</v>
      </c>
      <c r="F161" s="424"/>
      <c r="G161" s="425"/>
      <c r="H161" s="427"/>
      <c r="I161" s="424">
        <f t="shared" si="150"/>
        <v>296264.00000001601</v>
      </c>
      <c r="J161" s="424">
        <v>200000</v>
      </c>
      <c r="K161" s="424">
        <v>0.2</v>
      </c>
      <c r="L161" s="424">
        <f t="shared" si="151"/>
        <v>59252.800000003299</v>
      </c>
      <c r="M161" s="424">
        <f t="shared" si="152"/>
        <v>259252.80000000299</v>
      </c>
      <c r="N161" s="424">
        <f t="shared" si="153"/>
        <v>259252.80000000299</v>
      </c>
      <c r="O161" s="424">
        <f t="shared" si="154"/>
        <v>37011.200000013101</v>
      </c>
      <c r="P161" s="424">
        <f t="shared" si="155"/>
        <v>2590.7840000009101</v>
      </c>
      <c r="Q161" s="424">
        <f t="shared" si="156"/>
        <v>0</v>
      </c>
      <c r="R161" s="424">
        <f t="shared" si="157"/>
        <v>0</v>
      </c>
      <c r="S161" s="424">
        <f t="shared" si="158"/>
        <v>0</v>
      </c>
      <c r="T161" s="424">
        <f t="shared" si="159"/>
        <v>0</v>
      </c>
      <c r="U161" s="424"/>
      <c r="V161" s="424">
        <f t="shared" si="160"/>
        <v>2590.7840000009101</v>
      </c>
      <c r="W161" s="431">
        <v>12</v>
      </c>
      <c r="X161" s="424">
        <f t="shared" si="161"/>
        <v>215.898666666743</v>
      </c>
      <c r="Y161" s="427"/>
      <c r="Z161" s="424">
        <f t="shared" si="162"/>
        <v>215.898666666743</v>
      </c>
      <c r="AA161" s="436">
        <v>17042.713866666702</v>
      </c>
      <c r="AB161" s="436">
        <f t="shared" si="148"/>
        <v>-16826.815200000001</v>
      </c>
      <c r="AC161" s="436"/>
      <c r="AD161" s="436"/>
      <c r="AE161" s="436"/>
    </row>
    <row r="162" spans="1:31" ht="18" x14ac:dyDescent="0.15">
      <c r="A162" s="421">
        <v>140</v>
      </c>
      <c r="B162" s="16" t="s">
        <v>318</v>
      </c>
      <c r="C162" s="424">
        <v>24688.666666664001</v>
      </c>
      <c r="D162" s="423">
        <v>12</v>
      </c>
      <c r="E162" s="424">
        <f t="shared" si="149"/>
        <v>296263.999999967</v>
      </c>
      <c r="F162" s="424"/>
      <c r="G162" s="425"/>
      <c r="H162" s="427"/>
      <c r="I162" s="424">
        <f t="shared" si="150"/>
        <v>296263.999999967</v>
      </c>
      <c r="J162" s="424">
        <v>200000</v>
      </c>
      <c r="K162" s="424">
        <v>0.2</v>
      </c>
      <c r="L162" s="424">
        <f t="shared" si="151"/>
        <v>59252.799999993498</v>
      </c>
      <c r="M162" s="424">
        <f t="shared" si="152"/>
        <v>259252.799999993</v>
      </c>
      <c r="N162" s="424">
        <f t="shared" si="153"/>
        <v>259252.799999993</v>
      </c>
      <c r="O162" s="424">
        <f t="shared" si="154"/>
        <v>37011.199999973898</v>
      </c>
      <c r="P162" s="424">
        <f t="shared" si="155"/>
        <v>2590.7839999981802</v>
      </c>
      <c r="Q162" s="424">
        <f t="shared" si="156"/>
        <v>0</v>
      </c>
      <c r="R162" s="424">
        <f t="shared" si="157"/>
        <v>0</v>
      </c>
      <c r="S162" s="424">
        <f t="shared" si="158"/>
        <v>0</v>
      </c>
      <c r="T162" s="424">
        <f t="shared" si="159"/>
        <v>0</v>
      </c>
      <c r="U162" s="424"/>
      <c r="V162" s="424">
        <f t="shared" si="160"/>
        <v>2590.7839999981802</v>
      </c>
      <c r="W162" s="431">
        <v>12</v>
      </c>
      <c r="X162" s="424">
        <f t="shared" si="161"/>
        <v>215.898666666515</v>
      </c>
      <c r="Y162" s="427"/>
      <c r="Z162" s="424">
        <f t="shared" si="162"/>
        <v>215.898666666515</v>
      </c>
      <c r="AA162" s="436">
        <v>10739.3048</v>
      </c>
      <c r="AB162" s="436">
        <f t="shared" si="148"/>
        <v>-10523.406133333499</v>
      </c>
      <c r="AC162" s="436"/>
      <c r="AD162" s="436"/>
      <c r="AE162" s="436"/>
    </row>
    <row r="163" spans="1:31" ht="18" x14ac:dyDescent="0.15">
      <c r="A163" s="421">
        <v>141</v>
      </c>
      <c r="B163" s="16" t="s">
        <v>320</v>
      </c>
      <c r="C163" s="424">
        <v>24688.666666667999</v>
      </c>
      <c r="D163" s="423">
        <v>12</v>
      </c>
      <c r="E163" s="424">
        <f t="shared" si="149"/>
        <v>296264.00000001601</v>
      </c>
      <c r="F163" s="424"/>
      <c r="G163" s="425"/>
      <c r="H163" s="427"/>
      <c r="I163" s="424">
        <f t="shared" si="150"/>
        <v>296264.00000001601</v>
      </c>
      <c r="J163" s="424">
        <v>200000</v>
      </c>
      <c r="K163" s="424">
        <v>0.2</v>
      </c>
      <c r="L163" s="424">
        <f t="shared" si="151"/>
        <v>59252.800000003299</v>
      </c>
      <c r="M163" s="424">
        <f t="shared" si="152"/>
        <v>259252.80000000299</v>
      </c>
      <c r="N163" s="424">
        <f t="shared" si="153"/>
        <v>259252.80000000299</v>
      </c>
      <c r="O163" s="424">
        <f t="shared" si="154"/>
        <v>37011.200000013101</v>
      </c>
      <c r="P163" s="424">
        <f t="shared" si="155"/>
        <v>2590.7840000009101</v>
      </c>
      <c r="Q163" s="424">
        <f t="shared" si="156"/>
        <v>0</v>
      </c>
      <c r="R163" s="424">
        <f t="shared" si="157"/>
        <v>0</v>
      </c>
      <c r="S163" s="424">
        <f t="shared" si="158"/>
        <v>0</v>
      </c>
      <c r="T163" s="424">
        <f t="shared" si="159"/>
        <v>0</v>
      </c>
      <c r="U163" s="424"/>
      <c r="V163" s="424">
        <f t="shared" si="160"/>
        <v>2590.7840000009101</v>
      </c>
      <c r="W163" s="431">
        <v>12</v>
      </c>
      <c r="X163" s="424">
        <f t="shared" si="161"/>
        <v>215.898666666743</v>
      </c>
      <c r="Y163" s="427"/>
      <c r="Z163" s="424">
        <f t="shared" si="162"/>
        <v>215.898666666743</v>
      </c>
      <c r="AA163" s="436">
        <v>11232.457626666701</v>
      </c>
      <c r="AB163" s="436">
        <f t="shared" si="148"/>
        <v>-11016.55896</v>
      </c>
      <c r="AC163" s="436"/>
      <c r="AD163" s="436"/>
      <c r="AE163" s="436"/>
    </row>
    <row r="164" spans="1:31" ht="15.75" customHeight="1" x14ac:dyDescent="0.15">
      <c r="A164" s="421">
        <v>142</v>
      </c>
      <c r="B164" s="16" t="s">
        <v>321</v>
      </c>
      <c r="C164" s="424">
        <v>24688.666666667999</v>
      </c>
      <c r="D164" s="423">
        <v>12</v>
      </c>
      <c r="E164" s="424">
        <f t="shared" si="149"/>
        <v>296264.00000001601</v>
      </c>
      <c r="F164" s="424"/>
      <c r="G164" s="425"/>
      <c r="H164" s="427"/>
      <c r="I164" s="424">
        <f t="shared" si="150"/>
        <v>296264.00000001601</v>
      </c>
      <c r="J164" s="424">
        <v>200000</v>
      </c>
      <c r="K164" s="424">
        <v>0.2</v>
      </c>
      <c r="L164" s="424">
        <f t="shared" si="151"/>
        <v>59252.800000003299</v>
      </c>
      <c r="M164" s="424">
        <f t="shared" si="152"/>
        <v>259252.80000000299</v>
      </c>
      <c r="N164" s="424">
        <f t="shared" si="153"/>
        <v>259252.80000000299</v>
      </c>
      <c r="O164" s="424">
        <f t="shared" si="154"/>
        <v>37011.200000013101</v>
      </c>
      <c r="P164" s="424">
        <f t="shared" si="155"/>
        <v>2590.7840000009101</v>
      </c>
      <c r="Q164" s="424">
        <f t="shared" si="156"/>
        <v>0</v>
      </c>
      <c r="R164" s="424">
        <f t="shared" si="157"/>
        <v>0</v>
      </c>
      <c r="S164" s="424">
        <f t="shared" si="158"/>
        <v>0</v>
      </c>
      <c r="T164" s="424">
        <f t="shared" si="159"/>
        <v>0</v>
      </c>
      <c r="U164" s="424"/>
      <c r="V164" s="424">
        <f t="shared" si="160"/>
        <v>2590.7840000009101</v>
      </c>
      <c r="W164" s="431">
        <v>12</v>
      </c>
      <c r="X164" s="424">
        <f t="shared" si="161"/>
        <v>215.898666666743</v>
      </c>
      <c r="Y164" s="427"/>
      <c r="Z164" s="424">
        <f t="shared" si="162"/>
        <v>215.898666666743</v>
      </c>
      <c r="AA164" s="436">
        <v>10776.457626666701</v>
      </c>
      <c r="AB164" s="436">
        <f t="shared" si="148"/>
        <v>-10560.55896</v>
      </c>
      <c r="AC164" s="436"/>
      <c r="AD164" s="436"/>
      <c r="AE164" s="436"/>
    </row>
    <row r="165" spans="1:31" ht="18" x14ac:dyDescent="0.15">
      <c r="A165" s="421">
        <v>143</v>
      </c>
      <c r="B165" s="16" t="s">
        <v>323</v>
      </c>
      <c r="C165" s="424">
        <v>24688.666666667999</v>
      </c>
      <c r="D165" s="423">
        <v>12</v>
      </c>
      <c r="E165" s="424">
        <f t="shared" si="149"/>
        <v>296264.00000001601</v>
      </c>
      <c r="F165" s="424"/>
      <c r="G165" s="425"/>
      <c r="H165" s="427"/>
      <c r="I165" s="424">
        <f t="shared" si="150"/>
        <v>296264.00000001601</v>
      </c>
      <c r="J165" s="424">
        <v>200000</v>
      </c>
      <c r="K165" s="424">
        <v>0.2</v>
      </c>
      <c r="L165" s="424">
        <f t="shared" si="151"/>
        <v>59252.800000003299</v>
      </c>
      <c r="M165" s="424">
        <f t="shared" si="152"/>
        <v>259252.80000000299</v>
      </c>
      <c r="N165" s="424">
        <f t="shared" si="153"/>
        <v>259252.80000000299</v>
      </c>
      <c r="O165" s="424">
        <f t="shared" si="154"/>
        <v>37011.200000013101</v>
      </c>
      <c r="P165" s="424">
        <f t="shared" si="155"/>
        <v>2590.7840000009101</v>
      </c>
      <c r="Q165" s="424">
        <f t="shared" si="156"/>
        <v>0</v>
      </c>
      <c r="R165" s="424">
        <f t="shared" si="157"/>
        <v>0</v>
      </c>
      <c r="S165" s="424">
        <f t="shared" si="158"/>
        <v>0</v>
      </c>
      <c r="T165" s="424">
        <f t="shared" si="159"/>
        <v>0</v>
      </c>
      <c r="U165" s="424"/>
      <c r="V165" s="424">
        <f t="shared" si="160"/>
        <v>2590.7840000009101</v>
      </c>
      <c r="W165" s="431">
        <v>12</v>
      </c>
      <c r="X165" s="424">
        <f t="shared" si="161"/>
        <v>215.898666666743</v>
      </c>
      <c r="Y165" s="427"/>
      <c r="Z165" s="424">
        <f t="shared" si="162"/>
        <v>215.898666666743</v>
      </c>
      <c r="AA165" s="436">
        <v>10739.3048</v>
      </c>
      <c r="AB165" s="436">
        <f t="shared" si="148"/>
        <v>-10523.406133333299</v>
      </c>
      <c r="AC165" s="436"/>
      <c r="AD165" s="436"/>
      <c r="AE165" s="436"/>
    </row>
    <row r="166" spans="1:31" ht="18" x14ac:dyDescent="0.15">
      <c r="A166" s="421">
        <v>144</v>
      </c>
      <c r="B166" s="9" t="s">
        <v>329</v>
      </c>
      <c r="C166" s="424">
        <v>21045.333333332001</v>
      </c>
      <c r="D166" s="423">
        <v>12</v>
      </c>
      <c r="E166" s="424">
        <f t="shared" si="149"/>
        <v>252543.99999998399</v>
      </c>
      <c r="F166" s="424"/>
      <c r="G166" s="425"/>
      <c r="H166" s="427"/>
      <c r="I166" s="424">
        <f t="shared" si="150"/>
        <v>252543.99999998399</v>
      </c>
      <c r="J166" s="424">
        <v>200000</v>
      </c>
      <c r="K166" s="424">
        <v>0.2</v>
      </c>
      <c r="L166" s="424">
        <f t="shared" si="151"/>
        <v>50508.7999999967</v>
      </c>
      <c r="M166" s="424">
        <f t="shared" si="152"/>
        <v>250508.79999999699</v>
      </c>
      <c r="N166" s="424">
        <f t="shared" si="153"/>
        <v>250508.79999999699</v>
      </c>
      <c r="O166" s="424">
        <f t="shared" si="154"/>
        <v>2035.1999999869699</v>
      </c>
      <c r="P166" s="424">
        <f t="shared" si="155"/>
        <v>142.463999999088</v>
      </c>
      <c r="Q166" s="424">
        <f t="shared" si="156"/>
        <v>0</v>
      </c>
      <c r="R166" s="424">
        <f t="shared" si="157"/>
        <v>0</v>
      </c>
      <c r="S166" s="424">
        <f t="shared" si="158"/>
        <v>0</v>
      </c>
      <c r="T166" s="424">
        <f t="shared" si="159"/>
        <v>0</v>
      </c>
      <c r="U166" s="424"/>
      <c r="V166" s="424">
        <f t="shared" si="160"/>
        <v>142.463999999088</v>
      </c>
      <c r="W166" s="431">
        <v>12</v>
      </c>
      <c r="X166" s="424">
        <f t="shared" si="161"/>
        <v>11.871999999924</v>
      </c>
      <c r="Y166" s="427"/>
      <c r="Z166" s="424">
        <f t="shared" si="162"/>
        <v>11.871999999924</v>
      </c>
      <c r="AA166" s="436">
        <v>10776.457626666701</v>
      </c>
      <c r="AB166" s="436">
        <f t="shared" si="148"/>
        <v>-10764.5856266668</v>
      </c>
      <c r="AC166" s="436"/>
      <c r="AD166" s="436"/>
      <c r="AE166" s="436"/>
    </row>
    <row r="167" spans="1:31" ht="18" x14ac:dyDescent="0.15">
      <c r="A167" s="421">
        <v>145</v>
      </c>
      <c r="B167" s="9" t="s">
        <v>332</v>
      </c>
      <c r="C167" s="424">
        <v>21045.333333332001</v>
      </c>
      <c r="D167" s="423">
        <v>12</v>
      </c>
      <c r="E167" s="424">
        <f t="shared" si="149"/>
        <v>252543.99999998399</v>
      </c>
      <c r="F167" s="424"/>
      <c r="G167" s="425"/>
      <c r="H167" s="427"/>
      <c r="I167" s="424">
        <f t="shared" si="150"/>
        <v>252543.99999998399</v>
      </c>
      <c r="J167" s="424">
        <v>200000</v>
      </c>
      <c r="K167" s="424">
        <v>0.2</v>
      </c>
      <c r="L167" s="424">
        <f t="shared" si="151"/>
        <v>50508.7999999967</v>
      </c>
      <c r="M167" s="424">
        <f t="shared" si="152"/>
        <v>250508.79999999699</v>
      </c>
      <c r="N167" s="424">
        <f t="shared" si="153"/>
        <v>250508.79999999699</v>
      </c>
      <c r="O167" s="424">
        <f t="shared" si="154"/>
        <v>2035.1999999869699</v>
      </c>
      <c r="P167" s="424">
        <f t="shared" si="155"/>
        <v>142.463999999088</v>
      </c>
      <c r="Q167" s="424">
        <f t="shared" si="156"/>
        <v>0</v>
      </c>
      <c r="R167" s="424">
        <f t="shared" si="157"/>
        <v>0</v>
      </c>
      <c r="S167" s="424">
        <f t="shared" si="158"/>
        <v>0</v>
      </c>
      <c r="T167" s="424">
        <f t="shared" si="159"/>
        <v>0</v>
      </c>
      <c r="U167" s="424"/>
      <c r="V167" s="424">
        <f t="shared" si="160"/>
        <v>142.463999999088</v>
      </c>
      <c r="W167" s="431">
        <v>12</v>
      </c>
      <c r="X167" s="424">
        <f t="shared" si="161"/>
        <v>11.871999999924</v>
      </c>
      <c r="Y167" s="427"/>
      <c r="Z167" s="424">
        <f t="shared" si="162"/>
        <v>11.871999999924</v>
      </c>
      <c r="AA167" s="436">
        <v>11232.457626666701</v>
      </c>
      <c r="AB167" s="436">
        <f t="shared" si="148"/>
        <v>-11220.5856266668</v>
      </c>
      <c r="AC167" s="436"/>
      <c r="AD167" s="436"/>
      <c r="AE167" s="436"/>
    </row>
    <row r="168" spans="1:31" ht="18" x14ac:dyDescent="0.15">
      <c r="A168" s="421">
        <v>146</v>
      </c>
      <c r="B168" s="9" t="s">
        <v>333</v>
      </c>
      <c r="C168" s="424">
        <v>21045.333333332001</v>
      </c>
      <c r="D168" s="423">
        <v>12</v>
      </c>
      <c r="E168" s="424">
        <f t="shared" si="149"/>
        <v>252543.99999998399</v>
      </c>
      <c r="F168" s="424"/>
      <c r="G168" s="425"/>
      <c r="H168" s="427"/>
      <c r="I168" s="424">
        <f t="shared" si="150"/>
        <v>252543.99999998399</v>
      </c>
      <c r="J168" s="424">
        <v>200000</v>
      </c>
      <c r="K168" s="424">
        <v>0.2</v>
      </c>
      <c r="L168" s="424">
        <f t="shared" si="151"/>
        <v>50508.7999999967</v>
      </c>
      <c r="M168" s="424">
        <f t="shared" si="152"/>
        <v>250508.79999999699</v>
      </c>
      <c r="N168" s="424">
        <f t="shared" si="153"/>
        <v>250508.79999999699</v>
      </c>
      <c r="O168" s="424">
        <f t="shared" si="154"/>
        <v>2035.1999999869699</v>
      </c>
      <c r="P168" s="424">
        <f t="shared" si="155"/>
        <v>142.463999999088</v>
      </c>
      <c r="Q168" s="424">
        <f t="shared" si="156"/>
        <v>0</v>
      </c>
      <c r="R168" s="424">
        <f t="shared" si="157"/>
        <v>0</v>
      </c>
      <c r="S168" s="424">
        <f t="shared" si="158"/>
        <v>0</v>
      </c>
      <c r="T168" s="424">
        <f t="shared" si="159"/>
        <v>0</v>
      </c>
      <c r="U168" s="424"/>
      <c r="V168" s="424">
        <f t="shared" si="160"/>
        <v>142.463999999088</v>
      </c>
      <c r="W168" s="431">
        <v>12</v>
      </c>
      <c r="X168" s="424">
        <f t="shared" si="161"/>
        <v>11.871999999924</v>
      </c>
      <c r="Y168" s="427"/>
      <c r="Z168" s="424">
        <f t="shared" si="162"/>
        <v>11.871999999924</v>
      </c>
      <c r="AA168" s="436">
        <v>10776.457626666701</v>
      </c>
      <c r="AB168" s="436">
        <f t="shared" si="148"/>
        <v>-10764.5856266668</v>
      </c>
      <c r="AC168" s="436"/>
      <c r="AD168" s="436"/>
      <c r="AE168" s="436"/>
    </row>
    <row r="169" spans="1:31" ht="18" x14ac:dyDescent="0.15">
      <c r="A169" s="421">
        <v>147</v>
      </c>
      <c r="B169" s="9" t="s">
        <v>334</v>
      </c>
      <c r="C169" s="424">
        <v>21045.333333332001</v>
      </c>
      <c r="D169" s="423">
        <v>12</v>
      </c>
      <c r="E169" s="424">
        <f t="shared" si="149"/>
        <v>252543.99999998399</v>
      </c>
      <c r="F169" s="424"/>
      <c r="G169" s="425"/>
      <c r="H169" s="427"/>
      <c r="I169" s="424">
        <f t="shared" si="150"/>
        <v>252543.99999998399</v>
      </c>
      <c r="J169" s="424">
        <v>200000</v>
      </c>
      <c r="K169" s="424">
        <v>0.2</v>
      </c>
      <c r="L169" s="424">
        <f t="shared" si="151"/>
        <v>50508.7999999967</v>
      </c>
      <c r="M169" s="424">
        <f t="shared" si="152"/>
        <v>250508.79999999699</v>
      </c>
      <c r="N169" s="424">
        <f t="shared" si="153"/>
        <v>250508.79999999699</v>
      </c>
      <c r="O169" s="424">
        <f t="shared" si="154"/>
        <v>2035.1999999869699</v>
      </c>
      <c r="P169" s="424">
        <f t="shared" si="155"/>
        <v>142.463999999088</v>
      </c>
      <c r="Q169" s="424">
        <f t="shared" si="156"/>
        <v>0</v>
      </c>
      <c r="R169" s="424">
        <f t="shared" si="157"/>
        <v>0</v>
      </c>
      <c r="S169" s="424">
        <f t="shared" si="158"/>
        <v>0</v>
      </c>
      <c r="T169" s="424">
        <f t="shared" si="159"/>
        <v>0</v>
      </c>
      <c r="U169" s="424"/>
      <c r="V169" s="424">
        <f t="shared" si="160"/>
        <v>142.463999999088</v>
      </c>
      <c r="W169" s="431">
        <v>12</v>
      </c>
      <c r="X169" s="424">
        <f t="shared" si="161"/>
        <v>11.871999999924</v>
      </c>
      <c r="Y169" s="427"/>
      <c r="Z169" s="424">
        <f t="shared" si="162"/>
        <v>11.871999999924</v>
      </c>
      <c r="AA169" s="436">
        <v>11232.457626666701</v>
      </c>
      <c r="AB169" s="436">
        <f t="shared" si="148"/>
        <v>-11220.5856266668</v>
      </c>
      <c r="AC169" s="436"/>
      <c r="AD169" s="436"/>
      <c r="AE169" s="436"/>
    </row>
    <row r="170" spans="1:31" ht="18" x14ac:dyDescent="0.15">
      <c r="A170" s="421">
        <v>148</v>
      </c>
      <c r="B170" s="9" t="s">
        <v>335</v>
      </c>
      <c r="C170" s="424">
        <v>21045.333333332001</v>
      </c>
      <c r="D170" s="423">
        <v>12</v>
      </c>
      <c r="E170" s="424">
        <f t="shared" si="149"/>
        <v>252543.99999998399</v>
      </c>
      <c r="F170" s="424"/>
      <c r="G170" s="425"/>
      <c r="H170" s="427"/>
      <c r="I170" s="424">
        <f t="shared" si="150"/>
        <v>252543.99999998399</v>
      </c>
      <c r="J170" s="424">
        <v>200000</v>
      </c>
      <c r="K170" s="424">
        <v>0.2</v>
      </c>
      <c r="L170" s="424">
        <f t="shared" si="151"/>
        <v>50508.7999999967</v>
      </c>
      <c r="M170" s="424">
        <f t="shared" si="152"/>
        <v>250508.79999999699</v>
      </c>
      <c r="N170" s="424">
        <f t="shared" si="153"/>
        <v>250508.79999999699</v>
      </c>
      <c r="O170" s="424">
        <f t="shared" si="154"/>
        <v>2035.1999999869699</v>
      </c>
      <c r="P170" s="424">
        <f t="shared" si="155"/>
        <v>142.463999999088</v>
      </c>
      <c r="Q170" s="424">
        <f t="shared" si="156"/>
        <v>0</v>
      </c>
      <c r="R170" s="424">
        <f t="shared" si="157"/>
        <v>0</v>
      </c>
      <c r="S170" s="424">
        <f t="shared" si="158"/>
        <v>0</v>
      </c>
      <c r="T170" s="424">
        <f t="shared" si="159"/>
        <v>0</v>
      </c>
      <c r="U170" s="424"/>
      <c r="V170" s="424">
        <f t="shared" si="160"/>
        <v>142.463999999088</v>
      </c>
      <c r="W170" s="431">
        <v>12</v>
      </c>
      <c r="X170" s="424">
        <f t="shared" si="161"/>
        <v>11.871999999924</v>
      </c>
      <c r="Y170" s="427"/>
      <c r="Z170" s="424">
        <f t="shared" si="162"/>
        <v>11.871999999924</v>
      </c>
      <c r="AA170" s="436">
        <v>10776.457626666701</v>
      </c>
      <c r="AB170" s="436">
        <f t="shared" si="148"/>
        <v>-10764.5856266668</v>
      </c>
      <c r="AC170" s="436"/>
      <c r="AD170" s="436"/>
      <c r="AE170" s="436"/>
    </row>
    <row r="171" spans="1:31" ht="18" x14ac:dyDescent="0.15">
      <c r="A171" s="421">
        <v>149</v>
      </c>
      <c r="B171" s="9" t="s">
        <v>336</v>
      </c>
      <c r="C171" s="424">
        <v>21045.333333335999</v>
      </c>
      <c r="D171" s="423">
        <v>12</v>
      </c>
      <c r="E171" s="424">
        <f t="shared" si="149"/>
        <v>252544.000000033</v>
      </c>
      <c r="F171" s="424"/>
      <c r="G171" s="425"/>
      <c r="H171" s="427"/>
      <c r="I171" s="424">
        <f t="shared" si="150"/>
        <v>252544.000000033</v>
      </c>
      <c r="J171" s="424">
        <v>200000</v>
      </c>
      <c r="K171" s="424">
        <v>0.2</v>
      </c>
      <c r="L171" s="424">
        <f t="shared" si="151"/>
        <v>50508.8000000065</v>
      </c>
      <c r="M171" s="424">
        <f t="shared" si="152"/>
        <v>250508.800000007</v>
      </c>
      <c r="N171" s="424">
        <f t="shared" si="153"/>
        <v>250508.800000007</v>
      </c>
      <c r="O171" s="424">
        <f t="shared" si="154"/>
        <v>2035.20000002609</v>
      </c>
      <c r="P171" s="424">
        <f t="shared" si="155"/>
        <v>142.46400000182601</v>
      </c>
      <c r="Q171" s="424">
        <f t="shared" si="156"/>
        <v>0</v>
      </c>
      <c r="R171" s="424">
        <f t="shared" si="157"/>
        <v>0</v>
      </c>
      <c r="S171" s="424">
        <f t="shared" si="158"/>
        <v>0</v>
      </c>
      <c r="T171" s="424">
        <f t="shared" si="159"/>
        <v>0</v>
      </c>
      <c r="U171" s="424"/>
      <c r="V171" s="424">
        <f t="shared" si="160"/>
        <v>142.46400000182601</v>
      </c>
      <c r="W171" s="431">
        <v>12</v>
      </c>
      <c r="X171" s="424">
        <f t="shared" si="161"/>
        <v>11.8720000001522</v>
      </c>
      <c r="Y171" s="427"/>
      <c r="Z171" s="424">
        <f t="shared" si="162"/>
        <v>11.8720000001522</v>
      </c>
      <c r="AA171" s="436">
        <v>10776.457626666701</v>
      </c>
      <c r="AB171" s="436">
        <f t="shared" si="148"/>
        <v>-10764.5856266665</v>
      </c>
      <c r="AC171" s="436"/>
      <c r="AD171" s="436"/>
      <c r="AE171" s="436"/>
    </row>
    <row r="172" spans="1:31" ht="18" x14ac:dyDescent="0.15">
      <c r="A172" s="421">
        <v>150</v>
      </c>
      <c r="B172" s="9" t="s">
        <v>338</v>
      </c>
      <c r="C172" s="424">
        <v>21045.333333335999</v>
      </c>
      <c r="D172" s="423">
        <v>12</v>
      </c>
      <c r="E172" s="424">
        <f t="shared" si="149"/>
        <v>252544.000000033</v>
      </c>
      <c r="F172" s="424"/>
      <c r="G172" s="425"/>
      <c r="H172" s="427"/>
      <c r="I172" s="424">
        <f t="shared" si="150"/>
        <v>252544.000000033</v>
      </c>
      <c r="J172" s="424">
        <v>200000</v>
      </c>
      <c r="K172" s="424">
        <v>0.2</v>
      </c>
      <c r="L172" s="424">
        <f t="shared" si="151"/>
        <v>50508.8000000065</v>
      </c>
      <c r="M172" s="424">
        <f t="shared" si="152"/>
        <v>250508.800000007</v>
      </c>
      <c r="N172" s="424">
        <f t="shared" si="153"/>
        <v>250508.800000007</v>
      </c>
      <c r="O172" s="424">
        <f t="shared" si="154"/>
        <v>2035.20000002609</v>
      </c>
      <c r="P172" s="424">
        <f t="shared" si="155"/>
        <v>142.46400000182601</v>
      </c>
      <c r="Q172" s="424">
        <f t="shared" si="156"/>
        <v>0</v>
      </c>
      <c r="R172" s="424">
        <f t="shared" si="157"/>
        <v>0</v>
      </c>
      <c r="S172" s="424">
        <f t="shared" si="158"/>
        <v>0</v>
      </c>
      <c r="T172" s="424">
        <f t="shared" si="159"/>
        <v>0</v>
      </c>
      <c r="U172" s="424"/>
      <c r="V172" s="424">
        <f t="shared" si="160"/>
        <v>142.46400000182601</v>
      </c>
      <c r="W172" s="431">
        <v>12</v>
      </c>
      <c r="X172" s="424">
        <f t="shared" si="161"/>
        <v>11.8720000001522</v>
      </c>
      <c r="Y172" s="427"/>
      <c r="Z172" s="424">
        <f t="shared" si="162"/>
        <v>11.8720000001522</v>
      </c>
      <c r="AA172" s="436">
        <v>11232.457626666701</v>
      </c>
      <c r="AB172" s="436">
        <f t="shared" si="148"/>
        <v>-11220.5856266665</v>
      </c>
      <c r="AC172" s="436"/>
      <c r="AD172" s="436"/>
      <c r="AE172" s="436"/>
    </row>
    <row r="173" spans="1:31" ht="18" x14ac:dyDescent="0.15">
      <c r="A173" s="421">
        <v>151</v>
      </c>
      <c r="B173" s="12" t="s">
        <v>339</v>
      </c>
      <c r="C173" s="424">
        <v>21045.333333335999</v>
      </c>
      <c r="D173" s="423">
        <v>12</v>
      </c>
      <c r="E173" s="424">
        <f t="shared" si="149"/>
        <v>252544.000000033</v>
      </c>
      <c r="F173" s="424"/>
      <c r="G173" s="425"/>
      <c r="H173" s="427"/>
      <c r="I173" s="424">
        <f t="shared" si="150"/>
        <v>252544.000000033</v>
      </c>
      <c r="J173" s="424">
        <v>200000</v>
      </c>
      <c r="K173" s="424">
        <v>0.2</v>
      </c>
      <c r="L173" s="424">
        <f t="shared" si="151"/>
        <v>50508.8000000065</v>
      </c>
      <c r="M173" s="424">
        <f t="shared" si="152"/>
        <v>250508.800000007</v>
      </c>
      <c r="N173" s="424">
        <f t="shared" si="153"/>
        <v>250508.800000007</v>
      </c>
      <c r="O173" s="424">
        <f t="shared" si="154"/>
        <v>2035.20000002609</v>
      </c>
      <c r="P173" s="424">
        <f t="shared" si="155"/>
        <v>142.46400000182601</v>
      </c>
      <c r="Q173" s="424">
        <f t="shared" si="156"/>
        <v>0</v>
      </c>
      <c r="R173" s="424">
        <f t="shared" si="157"/>
        <v>0</v>
      </c>
      <c r="S173" s="424">
        <f t="shared" si="158"/>
        <v>0</v>
      </c>
      <c r="T173" s="424">
        <f t="shared" si="159"/>
        <v>0</v>
      </c>
      <c r="U173" s="424"/>
      <c r="V173" s="424">
        <f t="shared" si="160"/>
        <v>142.46400000182601</v>
      </c>
      <c r="W173" s="431">
        <v>12</v>
      </c>
      <c r="X173" s="424">
        <f t="shared" si="161"/>
        <v>11.8720000001522</v>
      </c>
      <c r="Y173" s="427"/>
      <c r="Z173" s="424">
        <f t="shared" si="162"/>
        <v>11.8720000001522</v>
      </c>
      <c r="AA173" s="436">
        <v>9152.5997900000002</v>
      </c>
      <c r="AB173" s="436">
        <f t="shared" si="148"/>
        <v>-9140.7277899998498</v>
      </c>
      <c r="AC173" s="436"/>
      <c r="AD173" s="436"/>
      <c r="AE173" s="436"/>
    </row>
    <row r="174" spans="1:31" ht="18" x14ac:dyDescent="0.15">
      <c r="A174" s="421">
        <v>152</v>
      </c>
      <c r="B174" s="9" t="s">
        <v>340</v>
      </c>
      <c r="C174" s="424">
        <v>21045.333333335999</v>
      </c>
      <c r="D174" s="423">
        <v>12</v>
      </c>
      <c r="E174" s="424">
        <f t="shared" si="149"/>
        <v>252544.000000033</v>
      </c>
      <c r="F174" s="424"/>
      <c r="G174" s="425"/>
      <c r="H174" s="427"/>
      <c r="I174" s="424">
        <f t="shared" si="150"/>
        <v>252544.000000033</v>
      </c>
      <c r="J174" s="424">
        <v>200000</v>
      </c>
      <c r="K174" s="424">
        <v>0.2</v>
      </c>
      <c r="L174" s="424">
        <f t="shared" si="151"/>
        <v>50508.8000000065</v>
      </c>
      <c r="M174" s="424">
        <f t="shared" si="152"/>
        <v>250508.800000007</v>
      </c>
      <c r="N174" s="424">
        <f t="shared" si="153"/>
        <v>250508.800000007</v>
      </c>
      <c r="O174" s="424">
        <f t="shared" si="154"/>
        <v>2035.20000002609</v>
      </c>
      <c r="P174" s="424">
        <f t="shared" si="155"/>
        <v>142.46400000182601</v>
      </c>
      <c r="Q174" s="424">
        <f t="shared" si="156"/>
        <v>0</v>
      </c>
      <c r="R174" s="424">
        <f t="shared" si="157"/>
        <v>0</v>
      </c>
      <c r="S174" s="424">
        <f t="shared" si="158"/>
        <v>0</v>
      </c>
      <c r="T174" s="424">
        <f t="shared" si="159"/>
        <v>0</v>
      </c>
      <c r="U174" s="424"/>
      <c r="V174" s="424">
        <f t="shared" si="160"/>
        <v>142.46400000182601</v>
      </c>
      <c r="W174" s="431">
        <v>12</v>
      </c>
      <c r="X174" s="424">
        <f t="shared" si="161"/>
        <v>11.8720000001522</v>
      </c>
      <c r="Y174" s="427"/>
      <c r="Z174" s="424">
        <f t="shared" si="162"/>
        <v>11.8720000001522</v>
      </c>
      <c r="AA174" s="436">
        <v>9152.5997900000002</v>
      </c>
      <c r="AB174" s="436">
        <f t="shared" si="148"/>
        <v>-9140.7277899998498</v>
      </c>
      <c r="AC174" s="436"/>
      <c r="AD174" s="436"/>
      <c r="AE174" s="436"/>
    </row>
    <row r="175" spans="1:31" ht="18" x14ac:dyDescent="0.15">
      <c r="A175" s="421">
        <v>153</v>
      </c>
      <c r="B175" s="16" t="s">
        <v>341</v>
      </c>
      <c r="C175" s="424">
        <v>21045.333333335999</v>
      </c>
      <c r="D175" s="423">
        <v>12</v>
      </c>
      <c r="E175" s="424">
        <f t="shared" si="149"/>
        <v>252544.000000033</v>
      </c>
      <c r="F175" s="424"/>
      <c r="G175" s="425"/>
      <c r="H175" s="427"/>
      <c r="I175" s="424">
        <f t="shared" si="150"/>
        <v>252544.000000033</v>
      </c>
      <c r="J175" s="424">
        <v>200000</v>
      </c>
      <c r="K175" s="424">
        <v>0.2</v>
      </c>
      <c r="L175" s="424">
        <f t="shared" si="151"/>
        <v>50508.8000000065</v>
      </c>
      <c r="M175" s="424">
        <f t="shared" si="152"/>
        <v>250508.800000007</v>
      </c>
      <c r="N175" s="424">
        <f t="shared" si="153"/>
        <v>250508.800000007</v>
      </c>
      <c r="O175" s="424">
        <f t="shared" si="154"/>
        <v>2035.20000002609</v>
      </c>
      <c r="P175" s="424">
        <f t="shared" si="155"/>
        <v>142.46400000182601</v>
      </c>
      <c r="Q175" s="424">
        <f t="shared" si="156"/>
        <v>0</v>
      </c>
      <c r="R175" s="424">
        <f t="shared" si="157"/>
        <v>0</v>
      </c>
      <c r="S175" s="424">
        <f t="shared" si="158"/>
        <v>0</v>
      </c>
      <c r="T175" s="424">
        <f t="shared" si="159"/>
        <v>0</v>
      </c>
      <c r="U175" s="424"/>
      <c r="V175" s="424">
        <f t="shared" si="160"/>
        <v>142.46400000182601</v>
      </c>
      <c r="W175" s="431">
        <v>12</v>
      </c>
      <c r="X175" s="424">
        <f t="shared" si="161"/>
        <v>11.8720000001522</v>
      </c>
      <c r="Y175" s="427"/>
      <c r="Z175" s="424">
        <f t="shared" si="162"/>
        <v>11.8720000001522</v>
      </c>
      <c r="AA175" s="436">
        <v>9504.2041399999998</v>
      </c>
      <c r="AB175" s="436">
        <f t="shared" si="148"/>
        <v>-9492.3321399998495</v>
      </c>
      <c r="AC175" s="436"/>
      <c r="AD175" s="436"/>
      <c r="AE175" s="436"/>
    </row>
    <row r="176" spans="1:31" ht="29.25" customHeight="1" x14ac:dyDescent="0.15">
      <c r="A176" s="421">
        <v>154</v>
      </c>
      <c r="B176" s="16" t="s">
        <v>342</v>
      </c>
      <c r="C176" s="424">
        <v>21045.333333335999</v>
      </c>
      <c r="D176" s="423">
        <v>12</v>
      </c>
      <c r="E176" s="424">
        <f t="shared" si="149"/>
        <v>252544.000000033</v>
      </c>
      <c r="F176" s="424"/>
      <c r="G176" s="425"/>
      <c r="H176" s="427"/>
      <c r="I176" s="424">
        <f t="shared" si="150"/>
        <v>252544.000000033</v>
      </c>
      <c r="J176" s="424">
        <v>200000</v>
      </c>
      <c r="K176" s="424">
        <v>0.2</v>
      </c>
      <c r="L176" s="424">
        <f t="shared" si="151"/>
        <v>50508.8000000065</v>
      </c>
      <c r="M176" s="424">
        <f t="shared" si="152"/>
        <v>250508.800000007</v>
      </c>
      <c r="N176" s="424">
        <f t="shared" si="153"/>
        <v>250508.800000007</v>
      </c>
      <c r="O176" s="424">
        <f t="shared" si="154"/>
        <v>2035.20000002609</v>
      </c>
      <c r="P176" s="424">
        <f t="shared" si="155"/>
        <v>142.46400000182601</v>
      </c>
      <c r="Q176" s="424">
        <f t="shared" si="156"/>
        <v>0</v>
      </c>
      <c r="R176" s="424">
        <f t="shared" si="157"/>
        <v>0</v>
      </c>
      <c r="S176" s="424">
        <f t="shared" si="158"/>
        <v>0</v>
      </c>
      <c r="T176" s="424">
        <f t="shared" si="159"/>
        <v>0</v>
      </c>
      <c r="U176" s="424"/>
      <c r="V176" s="424">
        <f t="shared" si="160"/>
        <v>142.46400000182601</v>
      </c>
      <c r="W176" s="431">
        <v>12</v>
      </c>
      <c r="X176" s="424">
        <f t="shared" si="161"/>
        <v>11.8720000001522</v>
      </c>
      <c r="Y176" s="427"/>
      <c r="Z176" s="424">
        <f t="shared" si="162"/>
        <v>11.8720000001522</v>
      </c>
      <c r="AA176" s="436">
        <v>4365.3307546666701</v>
      </c>
      <c r="AB176" s="436">
        <f t="shared" si="148"/>
        <v>-4353.4587546665198</v>
      </c>
      <c r="AC176" s="436"/>
      <c r="AD176" s="436"/>
      <c r="AE176" s="436"/>
    </row>
    <row r="177" spans="1:31" ht="31.5" x14ac:dyDescent="0.2">
      <c r="A177" s="421">
        <v>155</v>
      </c>
      <c r="B177" s="9" t="s">
        <v>343</v>
      </c>
      <c r="C177" s="424">
        <v>21045.333333332001</v>
      </c>
      <c r="D177" s="423">
        <v>12</v>
      </c>
      <c r="E177" s="424">
        <f t="shared" si="149"/>
        <v>252543.99999998399</v>
      </c>
      <c r="F177" s="424"/>
      <c r="G177" s="425"/>
      <c r="H177" s="427"/>
      <c r="I177" s="424">
        <f t="shared" si="150"/>
        <v>252543.99999998399</v>
      </c>
      <c r="J177" s="424">
        <v>200000</v>
      </c>
      <c r="K177" s="424">
        <v>0.2</v>
      </c>
      <c r="L177" s="424">
        <f t="shared" si="151"/>
        <v>50508.7999999967</v>
      </c>
      <c r="M177" s="424">
        <f t="shared" si="152"/>
        <v>250508.79999999699</v>
      </c>
      <c r="N177" s="424">
        <f t="shared" si="153"/>
        <v>250508.79999999699</v>
      </c>
      <c r="O177" s="424">
        <f t="shared" si="154"/>
        <v>2035.1999999869699</v>
      </c>
      <c r="P177" s="424">
        <f t="shared" si="155"/>
        <v>142.463999999088</v>
      </c>
      <c r="Q177" s="424">
        <f t="shared" si="156"/>
        <v>0</v>
      </c>
      <c r="R177" s="424">
        <f t="shared" si="157"/>
        <v>0</v>
      </c>
      <c r="S177" s="424">
        <f t="shared" si="158"/>
        <v>0</v>
      </c>
      <c r="T177" s="424">
        <f t="shared" si="159"/>
        <v>0</v>
      </c>
      <c r="U177" s="424"/>
      <c r="V177" s="424">
        <f t="shared" si="160"/>
        <v>142.463999999088</v>
      </c>
      <c r="W177" s="431">
        <v>12</v>
      </c>
      <c r="X177" s="424">
        <f t="shared" si="161"/>
        <v>11.871999999924</v>
      </c>
      <c r="Y177" s="427"/>
      <c r="Z177" s="424">
        <f t="shared" si="162"/>
        <v>11.871999999924</v>
      </c>
      <c r="AA177" s="436">
        <v>4227.5237226666704</v>
      </c>
      <c r="AB177" s="436">
        <f t="shared" si="148"/>
        <v>-4215.6517226667502</v>
      </c>
      <c r="AC177" s="436"/>
      <c r="AD177" s="436"/>
      <c r="AE177" s="436"/>
    </row>
    <row r="178" spans="1:31" ht="18" x14ac:dyDescent="0.15">
      <c r="A178" s="421">
        <v>156</v>
      </c>
      <c r="B178" s="9" t="s">
        <v>346</v>
      </c>
      <c r="C178" s="424">
        <v>21045.333333332001</v>
      </c>
      <c r="D178" s="423">
        <v>12</v>
      </c>
      <c r="E178" s="424">
        <f t="shared" si="149"/>
        <v>252543.99999998399</v>
      </c>
      <c r="F178" s="424"/>
      <c r="G178" s="425"/>
      <c r="H178" s="427"/>
      <c r="I178" s="424">
        <f t="shared" si="150"/>
        <v>252543.99999998399</v>
      </c>
      <c r="J178" s="424">
        <v>200000</v>
      </c>
      <c r="K178" s="424">
        <v>0.2</v>
      </c>
      <c r="L178" s="424">
        <f t="shared" si="151"/>
        <v>50508.7999999967</v>
      </c>
      <c r="M178" s="424">
        <f t="shared" si="152"/>
        <v>250508.79999999699</v>
      </c>
      <c r="N178" s="424">
        <f t="shared" si="153"/>
        <v>250508.79999999699</v>
      </c>
      <c r="O178" s="424">
        <f t="shared" si="154"/>
        <v>2035.1999999869699</v>
      </c>
      <c r="P178" s="424">
        <f t="shared" si="155"/>
        <v>142.463999999088</v>
      </c>
      <c r="Q178" s="424">
        <f t="shared" si="156"/>
        <v>0</v>
      </c>
      <c r="R178" s="424">
        <f t="shared" si="157"/>
        <v>0</v>
      </c>
      <c r="S178" s="424">
        <f t="shared" si="158"/>
        <v>0</v>
      </c>
      <c r="T178" s="424">
        <f t="shared" si="159"/>
        <v>0</v>
      </c>
      <c r="U178" s="424"/>
      <c r="V178" s="424">
        <f t="shared" si="160"/>
        <v>142.463999999088</v>
      </c>
      <c r="W178" s="431">
        <v>12</v>
      </c>
      <c r="X178" s="424">
        <f t="shared" si="161"/>
        <v>11.871999999924</v>
      </c>
      <c r="Y178" s="427"/>
      <c r="Z178" s="424">
        <f t="shared" si="162"/>
        <v>11.871999999924</v>
      </c>
      <c r="AA178" s="436">
        <v>3963.52372266667</v>
      </c>
      <c r="AB178" s="436">
        <f t="shared" si="148"/>
        <v>-3951.6517226667502</v>
      </c>
      <c r="AC178" s="436"/>
      <c r="AD178" s="436"/>
      <c r="AE178" s="436"/>
    </row>
    <row r="179" spans="1:31" ht="18" x14ac:dyDescent="0.15">
      <c r="A179" s="421">
        <v>157</v>
      </c>
      <c r="B179" s="16" t="s">
        <v>347</v>
      </c>
      <c r="C179" s="424">
        <v>21045.333333332001</v>
      </c>
      <c r="D179" s="423">
        <v>12</v>
      </c>
      <c r="E179" s="424">
        <f t="shared" si="149"/>
        <v>252543.99999998399</v>
      </c>
      <c r="F179" s="424"/>
      <c r="G179" s="425"/>
      <c r="H179" s="427"/>
      <c r="I179" s="424">
        <f t="shared" si="150"/>
        <v>252543.99999998399</v>
      </c>
      <c r="J179" s="424">
        <v>200000</v>
      </c>
      <c r="K179" s="424">
        <v>0.2</v>
      </c>
      <c r="L179" s="424">
        <f t="shared" si="151"/>
        <v>50508.7999999967</v>
      </c>
      <c r="M179" s="424">
        <f t="shared" si="152"/>
        <v>250508.79999999699</v>
      </c>
      <c r="N179" s="424">
        <f t="shared" si="153"/>
        <v>250508.79999999699</v>
      </c>
      <c r="O179" s="424">
        <f t="shared" si="154"/>
        <v>2035.1999999869699</v>
      </c>
      <c r="P179" s="424">
        <f t="shared" si="155"/>
        <v>142.463999999088</v>
      </c>
      <c r="Q179" s="424">
        <f t="shared" si="156"/>
        <v>0</v>
      </c>
      <c r="R179" s="424">
        <f t="shared" si="157"/>
        <v>0</v>
      </c>
      <c r="S179" s="424">
        <f t="shared" si="158"/>
        <v>0</v>
      </c>
      <c r="T179" s="424">
        <f t="shared" si="159"/>
        <v>0</v>
      </c>
      <c r="U179" s="424"/>
      <c r="V179" s="424">
        <f t="shared" si="160"/>
        <v>142.463999999088</v>
      </c>
      <c r="W179" s="431">
        <v>12</v>
      </c>
      <c r="X179" s="424">
        <f t="shared" si="161"/>
        <v>11.871999999924</v>
      </c>
      <c r="Y179" s="427"/>
      <c r="Z179" s="424">
        <f t="shared" si="162"/>
        <v>11.871999999924</v>
      </c>
      <c r="AA179" s="436">
        <v>4227.5237226666704</v>
      </c>
      <c r="AB179" s="436">
        <f t="shared" si="148"/>
        <v>-4215.6517226667502</v>
      </c>
      <c r="AC179" s="436"/>
      <c r="AD179" s="436"/>
      <c r="AE179" s="436"/>
    </row>
    <row r="180" spans="1:31" ht="18" x14ac:dyDescent="0.15">
      <c r="A180" s="432"/>
      <c r="B180" s="9" t="s">
        <v>349</v>
      </c>
      <c r="C180" s="424"/>
      <c r="D180" s="423"/>
      <c r="E180" s="424"/>
      <c r="F180" s="424"/>
      <c r="G180" s="427"/>
      <c r="H180" s="427"/>
      <c r="I180" s="424"/>
      <c r="J180" s="424"/>
      <c r="K180" s="424"/>
      <c r="L180" s="424"/>
      <c r="M180" s="424"/>
      <c r="N180" s="424"/>
      <c r="O180" s="424"/>
      <c r="P180" s="424"/>
      <c r="Q180" s="424"/>
      <c r="R180" s="424"/>
      <c r="S180" s="424"/>
      <c r="T180" s="424"/>
      <c r="U180" s="424"/>
      <c r="V180" s="424"/>
      <c r="W180" s="431"/>
      <c r="X180" s="424"/>
      <c r="Y180" s="427"/>
      <c r="Z180" s="424"/>
      <c r="AA180" s="436"/>
      <c r="AB180" s="436">
        <f t="shared" si="148"/>
        <v>0</v>
      </c>
      <c r="AC180" s="436"/>
      <c r="AD180" s="436"/>
      <c r="AE180" s="436"/>
    </row>
    <row r="181" spans="1:31" ht="18" x14ac:dyDescent="0.15">
      <c r="A181" s="432"/>
      <c r="B181" s="9" t="s">
        <v>352</v>
      </c>
      <c r="C181" s="440">
        <v>10191</v>
      </c>
      <c r="D181" s="423">
        <v>12</v>
      </c>
      <c r="E181" s="424">
        <f t="shared" si="149"/>
        <v>122292</v>
      </c>
      <c r="F181" s="424"/>
      <c r="G181" s="425"/>
      <c r="H181" s="427"/>
      <c r="I181" s="424">
        <f t="shared" si="150"/>
        <v>122292</v>
      </c>
      <c r="J181" s="424">
        <v>200000</v>
      </c>
      <c r="K181" s="424">
        <v>0.2</v>
      </c>
      <c r="L181" s="424">
        <f t="shared" si="151"/>
        <v>24458.400000000001</v>
      </c>
      <c r="M181" s="424">
        <f t="shared" si="152"/>
        <v>224458.4</v>
      </c>
      <c r="N181" s="424">
        <f t="shared" si="153"/>
        <v>224458.4</v>
      </c>
      <c r="O181" s="424">
        <f t="shared" si="154"/>
        <v>-102166.39999999999</v>
      </c>
      <c r="P181" s="424">
        <f t="shared" si="155"/>
        <v>-7151.6480000000001</v>
      </c>
      <c r="Q181" s="424">
        <f t="shared" si="156"/>
        <v>0</v>
      </c>
      <c r="R181" s="424">
        <f t="shared" si="157"/>
        <v>0</v>
      </c>
      <c r="S181" s="424">
        <f t="shared" si="158"/>
        <v>0</v>
      </c>
      <c r="T181" s="424">
        <f t="shared" si="159"/>
        <v>0</v>
      </c>
      <c r="U181" s="424"/>
      <c r="V181" s="424">
        <f t="shared" si="160"/>
        <v>-7151.6480000000001</v>
      </c>
      <c r="W181" s="431">
        <v>12</v>
      </c>
      <c r="X181" s="424">
        <f t="shared" si="161"/>
        <v>-595.97066666666694</v>
      </c>
      <c r="Y181" s="427"/>
      <c r="Z181" s="424">
        <f t="shared" si="162"/>
        <v>-595.97066666666694</v>
      </c>
      <c r="AA181" s="436">
        <v>4227.5237226666704</v>
      </c>
      <c r="AB181" s="436">
        <f t="shared" si="148"/>
        <v>-4823.4943893333402</v>
      </c>
    </row>
    <row r="182" spans="1:31" ht="18" x14ac:dyDescent="0.15">
      <c r="B182" s="9" t="s">
        <v>355</v>
      </c>
      <c r="C182" s="436">
        <v>10191</v>
      </c>
      <c r="D182" s="423">
        <v>12</v>
      </c>
      <c r="E182" s="424">
        <f t="shared" si="149"/>
        <v>122292</v>
      </c>
      <c r="G182" s="425"/>
      <c r="I182" s="424">
        <f t="shared" si="150"/>
        <v>122292</v>
      </c>
      <c r="J182" s="424">
        <v>200000</v>
      </c>
      <c r="K182" s="424">
        <v>0.2</v>
      </c>
      <c r="L182" s="424">
        <f t="shared" si="151"/>
        <v>24458.400000000001</v>
      </c>
      <c r="M182" s="424">
        <f t="shared" si="152"/>
        <v>224458.4</v>
      </c>
      <c r="N182" s="424">
        <f t="shared" si="153"/>
        <v>224458.4</v>
      </c>
      <c r="O182" s="424">
        <f t="shared" si="154"/>
        <v>-102166.39999999999</v>
      </c>
      <c r="P182" s="424">
        <f t="shared" si="155"/>
        <v>-7151.6480000000001</v>
      </c>
      <c r="Q182" s="424">
        <f t="shared" si="156"/>
        <v>0</v>
      </c>
      <c r="R182" s="424">
        <f t="shared" si="157"/>
        <v>0</v>
      </c>
      <c r="S182" s="424">
        <f t="shared" si="158"/>
        <v>0</v>
      </c>
      <c r="T182" s="424">
        <f t="shared" si="159"/>
        <v>0</v>
      </c>
      <c r="U182" s="424"/>
      <c r="V182" s="424">
        <f t="shared" si="160"/>
        <v>-7151.6480000000001</v>
      </c>
      <c r="W182" s="431">
        <v>12</v>
      </c>
      <c r="X182" s="424">
        <f t="shared" si="161"/>
        <v>-595.97066666666694</v>
      </c>
      <c r="Z182" s="424">
        <f t="shared" si="162"/>
        <v>-595.97066666666694</v>
      </c>
      <c r="AA182" s="436">
        <v>3963.52372266667</v>
      </c>
      <c r="AB182" s="436">
        <f t="shared" si="148"/>
        <v>-4559.4943893333402</v>
      </c>
    </row>
    <row r="183" spans="1:31" ht="18" x14ac:dyDescent="0.15">
      <c r="B183" s="9" t="s">
        <v>356</v>
      </c>
      <c r="C183" s="436">
        <v>10191</v>
      </c>
      <c r="D183" s="423">
        <v>12</v>
      </c>
      <c r="E183" s="424">
        <f t="shared" si="149"/>
        <v>122292</v>
      </c>
      <c r="G183" s="425"/>
      <c r="I183" s="424">
        <f t="shared" si="150"/>
        <v>122292</v>
      </c>
      <c r="J183" s="424">
        <v>200000</v>
      </c>
      <c r="K183" s="424">
        <v>0.2</v>
      </c>
      <c r="L183" s="424">
        <f t="shared" si="151"/>
        <v>24458.400000000001</v>
      </c>
      <c r="M183" s="424">
        <f t="shared" si="152"/>
        <v>224458.4</v>
      </c>
      <c r="N183" s="424">
        <f t="shared" si="153"/>
        <v>224458.4</v>
      </c>
      <c r="O183" s="424">
        <f t="shared" si="154"/>
        <v>-102166.39999999999</v>
      </c>
      <c r="P183" s="424">
        <f t="shared" si="155"/>
        <v>-7151.6480000000001</v>
      </c>
      <c r="Q183" s="424">
        <f t="shared" si="156"/>
        <v>0</v>
      </c>
      <c r="R183" s="424">
        <f t="shared" si="157"/>
        <v>0</v>
      </c>
      <c r="S183" s="424">
        <f t="shared" si="158"/>
        <v>0</v>
      </c>
      <c r="T183" s="424">
        <f t="shared" si="159"/>
        <v>0</v>
      </c>
      <c r="U183" s="424"/>
      <c r="V183" s="424">
        <f t="shared" si="160"/>
        <v>-7151.6480000000001</v>
      </c>
      <c r="W183" s="431">
        <v>12</v>
      </c>
      <c r="X183" s="424">
        <f t="shared" si="161"/>
        <v>-595.97066666666694</v>
      </c>
      <c r="Z183" s="424">
        <f t="shared" si="162"/>
        <v>-595.97066666666694</v>
      </c>
      <c r="AA183" s="436">
        <v>4227.5237226666704</v>
      </c>
      <c r="AB183" s="436">
        <f t="shared" si="148"/>
        <v>-4823.4943893333402</v>
      </c>
    </row>
    <row r="184" spans="1:31" ht="18" x14ac:dyDescent="0.15">
      <c r="B184" s="9" t="s">
        <v>357</v>
      </c>
      <c r="C184" s="436">
        <v>10191</v>
      </c>
      <c r="D184" s="423">
        <v>12</v>
      </c>
      <c r="E184" s="424">
        <f t="shared" si="149"/>
        <v>122292</v>
      </c>
      <c r="G184" s="425"/>
      <c r="I184" s="424">
        <f t="shared" si="150"/>
        <v>122292</v>
      </c>
      <c r="J184" s="424">
        <v>200000</v>
      </c>
      <c r="K184" s="424">
        <v>0.2</v>
      </c>
      <c r="L184" s="424">
        <f t="shared" si="151"/>
        <v>24458.400000000001</v>
      </c>
      <c r="M184" s="424">
        <f t="shared" si="152"/>
        <v>224458.4</v>
      </c>
      <c r="N184" s="424">
        <f t="shared" si="153"/>
        <v>224458.4</v>
      </c>
      <c r="O184" s="424">
        <f t="shared" si="154"/>
        <v>-102166.39999999999</v>
      </c>
      <c r="P184" s="424">
        <f t="shared" si="155"/>
        <v>-7151.6480000000001</v>
      </c>
      <c r="Q184" s="424">
        <f t="shared" si="156"/>
        <v>0</v>
      </c>
      <c r="R184" s="424">
        <f t="shared" si="157"/>
        <v>0</v>
      </c>
      <c r="S184" s="424">
        <f t="shared" si="158"/>
        <v>0</v>
      </c>
      <c r="T184" s="424">
        <f t="shared" si="159"/>
        <v>0</v>
      </c>
      <c r="V184" s="424">
        <f t="shared" si="160"/>
        <v>-7151.6480000000001</v>
      </c>
      <c r="W184" s="431">
        <v>12</v>
      </c>
      <c r="X184" s="424">
        <f t="shared" si="161"/>
        <v>-595.97066666666694</v>
      </c>
      <c r="Z184" s="424">
        <f t="shared" si="162"/>
        <v>-595.97066666666694</v>
      </c>
      <c r="AA184" s="436">
        <v>4089.7166906666698</v>
      </c>
      <c r="AB184" s="436">
        <f t="shared" si="148"/>
        <v>-4685.6873573333396</v>
      </c>
    </row>
    <row r="185" spans="1:31" ht="18" x14ac:dyDescent="0.15">
      <c r="B185" s="9" t="s">
        <v>358</v>
      </c>
      <c r="C185" s="436">
        <v>10191</v>
      </c>
      <c r="D185" s="423">
        <v>12</v>
      </c>
      <c r="E185" s="424">
        <f t="shared" si="149"/>
        <v>122292</v>
      </c>
      <c r="G185" s="425"/>
      <c r="I185" s="424">
        <f t="shared" si="150"/>
        <v>122292</v>
      </c>
      <c r="J185" s="424">
        <v>200000</v>
      </c>
      <c r="K185" s="424">
        <v>0.2</v>
      </c>
      <c r="L185" s="424">
        <f t="shared" si="151"/>
        <v>24458.400000000001</v>
      </c>
      <c r="M185" s="424">
        <f t="shared" si="152"/>
        <v>224458.4</v>
      </c>
      <c r="N185" s="424">
        <f t="shared" si="153"/>
        <v>224458.4</v>
      </c>
      <c r="O185" s="424">
        <f t="shared" si="154"/>
        <v>-102166.39999999999</v>
      </c>
      <c r="P185" s="424">
        <f t="shared" si="155"/>
        <v>-7151.6480000000001</v>
      </c>
      <c r="Q185" s="424">
        <f t="shared" si="156"/>
        <v>0</v>
      </c>
      <c r="R185" s="424">
        <f t="shared" si="157"/>
        <v>0</v>
      </c>
      <c r="S185" s="424">
        <f t="shared" si="158"/>
        <v>0</v>
      </c>
      <c r="T185" s="424">
        <f t="shared" si="159"/>
        <v>0</v>
      </c>
      <c r="V185" s="424">
        <f t="shared" si="160"/>
        <v>-7151.6480000000001</v>
      </c>
      <c r="W185" s="431">
        <v>12</v>
      </c>
      <c r="X185" s="424">
        <f t="shared" si="161"/>
        <v>-595.97066666666694</v>
      </c>
      <c r="Z185" s="424">
        <f t="shared" si="162"/>
        <v>-595.97066666666694</v>
      </c>
      <c r="AA185" s="436">
        <v>4227.5237226666704</v>
      </c>
      <c r="AB185" s="436">
        <f t="shared" si="148"/>
        <v>-4823.4943893333402</v>
      </c>
    </row>
    <row r="186" spans="1:31" ht="18" x14ac:dyDescent="0.15">
      <c r="B186" s="16" t="s">
        <v>359</v>
      </c>
      <c r="C186" s="436">
        <v>10191</v>
      </c>
      <c r="D186" s="423">
        <v>12</v>
      </c>
      <c r="E186" s="424">
        <f t="shared" si="149"/>
        <v>122292</v>
      </c>
      <c r="G186" s="425"/>
      <c r="I186" s="424">
        <f t="shared" si="150"/>
        <v>122292</v>
      </c>
      <c r="J186" s="424">
        <v>200000</v>
      </c>
      <c r="K186" s="424">
        <v>0.2</v>
      </c>
      <c r="L186" s="424">
        <f t="shared" si="151"/>
        <v>24458.400000000001</v>
      </c>
      <c r="M186" s="424">
        <f t="shared" si="152"/>
        <v>224458.4</v>
      </c>
      <c r="N186" s="424">
        <f t="shared" si="153"/>
        <v>224458.4</v>
      </c>
      <c r="O186" s="424">
        <f t="shared" si="154"/>
        <v>-102166.39999999999</v>
      </c>
      <c r="P186" s="424">
        <f t="shared" si="155"/>
        <v>-7151.6480000000001</v>
      </c>
      <c r="Q186" s="424">
        <f t="shared" si="156"/>
        <v>0</v>
      </c>
      <c r="R186" s="424">
        <f t="shared" si="157"/>
        <v>0</v>
      </c>
      <c r="S186" s="424">
        <f t="shared" si="158"/>
        <v>0</v>
      </c>
      <c r="T186" s="424">
        <f t="shared" si="159"/>
        <v>0</v>
      </c>
      <c r="V186" s="424">
        <f t="shared" si="160"/>
        <v>-7151.6480000000001</v>
      </c>
      <c r="W186" s="431">
        <v>12</v>
      </c>
      <c r="X186" s="424">
        <f t="shared" si="161"/>
        <v>-595.97066666666694</v>
      </c>
      <c r="Z186" s="424">
        <f t="shared" si="162"/>
        <v>-595.97066666666694</v>
      </c>
      <c r="AA186" s="436">
        <v>4089.7166906666698</v>
      </c>
      <c r="AB186" s="436">
        <f t="shared" si="148"/>
        <v>-4685.6873573333396</v>
      </c>
    </row>
    <row r="187" spans="1:31" ht="18" x14ac:dyDescent="0.15">
      <c r="B187" s="16" t="s">
        <v>360</v>
      </c>
      <c r="C187" s="436">
        <v>10191</v>
      </c>
      <c r="D187" s="423">
        <v>12</v>
      </c>
      <c r="E187" s="424">
        <f t="shared" si="149"/>
        <v>122292</v>
      </c>
      <c r="G187" s="425"/>
      <c r="I187" s="424">
        <f t="shared" si="150"/>
        <v>122292</v>
      </c>
      <c r="J187" s="424">
        <v>200000</v>
      </c>
      <c r="K187" s="424">
        <v>0.2</v>
      </c>
      <c r="L187" s="424">
        <f t="shared" si="151"/>
        <v>24458.400000000001</v>
      </c>
      <c r="M187" s="424">
        <f t="shared" si="152"/>
        <v>224458.4</v>
      </c>
      <c r="N187" s="424">
        <f t="shared" si="153"/>
        <v>224458.4</v>
      </c>
      <c r="O187" s="424">
        <f t="shared" si="154"/>
        <v>-102166.39999999999</v>
      </c>
      <c r="P187" s="424">
        <f t="shared" si="155"/>
        <v>-7151.6480000000001</v>
      </c>
      <c r="Q187" s="424">
        <f t="shared" si="156"/>
        <v>0</v>
      </c>
      <c r="R187" s="424">
        <f t="shared" si="157"/>
        <v>0</v>
      </c>
      <c r="S187" s="424">
        <f t="shared" si="158"/>
        <v>0</v>
      </c>
      <c r="T187" s="424">
        <f t="shared" si="159"/>
        <v>0</v>
      </c>
      <c r="V187" s="424">
        <f t="shared" si="160"/>
        <v>-7151.6480000000001</v>
      </c>
      <c r="W187" s="431">
        <v>12</v>
      </c>
      <c r="X187" s="424">
        <f t="shared" si="161"/>
        <v>-595.97066666666694</v>
      </c>
      <c r="Z187" s="424">
        <f t="shared" si="162"/>
        <v>-595.97066666666694</v>
      </c>
      <c r="AA187" s="436">
        <v>3210.1544048666701</v>
      </c>
      <c r="AB187" s="436">
        <f t="shared" si="148"/>
        <v>-3806.1250715333399</v>
      </c>
    </row>
    <row r="188" spans="1:31" ht="18" x14ac:dyDescent="0.15">
      <c r="B188" s="9" t="s">
        <v>493</v>
      </c>
      <c r="C188" s="436">
        <v>10191</v>
      </c>
      <c r="D188" s="423">
        <v>12</v>
      </c>
      <c r="E188" s="424">
        <f t="shared" si="149"/>
        <v>122292</v>
      </c>
      <c r="G188" s="425"/>
      <c r="I188" s="424">
        <f t="shared" si="150"/>
        <v>122292</v>
      </c>
      <c r="J188" s="424">
        <v>200000</v>
      </c>
      <c r="K188" s="424">
        <v>0.2</v>
      </c>
      <c r="L188" s="424">
        <f t="shared" si="151"/>
        <v>24458.400000000001</v>
      </c>
      <c r="M188" s="424">
        <f t="shared" si="152"/>
        <v>224458.4</v>
      </c>
      <c r="N188" s="424">
        <f t="shared" si="153"/>
        <v>224458.4</v>
      </c>
      <c r="O188" s="424">
        <f t="shared" si="154"/>
        <v>-102166.39999999999</v>
      </c>
      <c r="P188" s="424">
        <f t="shared" si="155"/>
        <v>-7151.6480000000001</v>
      </c>
      <c r="Q188" s="424">
        <f t="shared" si="156"/>
        <v>0</v>
      </c>
      <c r="R188" s="424">
        <f t="shared" si="157"/>
        <v>0</v>
      </c>
      <c r="S188" s="424">
        <f t="shared" si="158"/>
        <v>0</v>
      </c>
      <c r="T188" s="424">
        <f t="shared" si="159"/>
        <v>0</v>
      </c>
      <c r="V188" s="424">
        <f t="shared" si="160"/>
        <v>-7151.6480000000001</v>
      </c>
      <c r="W188" s="431">
        <v>12</v>
      </c>
      <c r="X188" s="424">
        <f t="shared" si="161"/>
        <v>-595.97066666666694</v>
      </c>
      <c r="Z188" s="424">
        <f t="shared" si="162"/>
        <v>-595.97066666666694</v>
      </c>
      <c r="AA188" s="436">
        <v>2708.9136406666698</v>
      </c>
      <c r="AB188" s="436">
        <f t="shared" si="148"/>
        <v>-3304.8843073333401</v>
      </c>
    </row>
    <row r="189" spans="1:31" ht="18" x14ac:dyDescent="0.15">
      <c r="B189" s="9" t="s">
        <v>361</v>
      </c>
      <c r="C189" s="436">
        <v>10191</v>
      </c>
      <c r="D189" s="423">
        <v>12</v>
      </c>
      <c r="E189" s="424">
        <f t="shared" si="149"/>
        <v>122292</v>
      </c>
      <c r="G189" s="425"/>
      <c r="I189" s="424">
        <f t="shared" si="150"/>
        <v>122292</v>
      </c>
      <c r="J189" s="424">
        <v>200000</v>
      </c>
      <c r="K189" s="424">
        <v>0.2</v>
      </c>
      <c r="L189" s="424">
        <f t="shared" si="151"/>
        <v>24458.400000000001</v>
      </c>
      <c r="M189" s="424">
        <f t="shared" si="152"/>
        <v>224458.4</v>
      </c>
      <c r="N189" s="424">
        <f t="shared" si="153"/>
        <v>224458.4</v>
      </c>
      <c r="O189" s="424">
        <f t="shared" si="154"/>
        <v>-102166.39999999999</v>
      </c>
      <c r="P189" s="424">
        <f t="shared" si="155"/>
        <v>-7151.6480000000001</v>
      </c>
      <c r="Q189" s="424">
        <f t="shared" si="156"/>
        <v>0</v>
      </c>
      <c r="R189" s="424">
        <f t="shared" si="157"/>
        <v>0</v>
      </c>
      <c r="S189" s="424">
        <f t="shared" si="158"/>
        <v>0</v>
      </c>
      <c r="T189" s="424">
        <f t="shared" si="159"/>
        <v>0</v>
      </c>
      <c r="V189" s="424">
        <f t="shared" si="160"/>
        <v>-7151.6480000000001</v>
      </c>
      <c r="W189" s="431">
        <v>12</v>
      </c>
      <c r="X189" s="424">
        <f t="shared" si="161"/>
        <v>-595.97066666666694</v>
      </c>
      <c r="Z189" s="424">
        <f t="shared" si="162"/>
        <v>-595.97066666666694</v>
      </c>
      <c r="AA189" s="436">
        <v>2708.9136406666698</v>
      </c>
      <c r="AB189" s="436">
        <f t="shared" si="148"/>
        <v>-3304.8843073333401</v>
      </c>
    </row>
    <row r="190" spans="1:31" ht="18" x14ac:dyDescent="0.15">
      <c r="B190" s="16" t="s">
        <v>362</v>
      </c>
      <c r="C190" s="436">
        <v>10191</v>
      </c>
      <c r="D190" s="423">
        <v>12</v>
      </c>
      <c r="E190" s="424">
        <f t="shared" si="149"/>
        <v>122292</v>
      </c>
      <c r="G190" s="425"/>
      <c r="I190" s="424">
        <f t="shared" si="150"/>
        <v>122292</v>
      </c>
      <c r="J190" s="424">
        <v>200000</v>
      </c>
      <c r="K190" s="424">
        <v>0.2</v>
      </c>
      <c r="L190" s="424">
        <f t="shared" si="151"/>
        <v>24458.400000000001</v>
      </c>
      <c r="M190" s="424">
        <f t="shared" si="152"/>
        <v>224458.4</v>
      </c>
      <c r="N190" s="424">
        <f t="shared" si="153"/>
        <v>224458.4</v>
      </c>
      <c r="O190" s="424">
        <f t="shared" si="154"/>
        <v>-102166.39999999999</v>
      </c>
      <c r="P190" s="424">
        <f t="shared" si="155"/>
        <v>-7151.6480000000001</v>
      </c>
      <c r="Q190" s="424">
        <f t="shared" si="156"/>
        <v>0</v>
      </c>
      <c r="R190" s="424">
        <f t="shared" si="157"/>
        <v>0</v>
      </c>
      <c r="S190" s="424">
        <f t="shared" si="158"/>
        <v>0</v>
      </c>
      <c r="T190" s="424">
        <f t="shared" si="159"/>
        <v>0</v>
      </c>
      <c r="V190" s="424">
        <f t="shared" si="160"/>
        <v>-7151.6480000000001</v>
      </c>
      <c r="W190" s="431">
        <v>12</v>
      </c>
      <c r="X190" s="424">
        <f t="shared" si="161"/>
        <v>-595.97066666666694</v>
      </c>
      <c r="Z190" s="424">
        <f t="shared" si="162"/>
        <v>-595.97066666666694</v>
      </c>
      <c r="AA190" s="436">
        <v>2708.9136406666698</v>
      </c>
      <c r="AB190" s="436">
        <f t="shared" si="148"/>
        <v>-3304.8843073333401</v>
      </c>
    </row>
    <row r="191" spans="1:31" ht="18" x14ac:dyDescent="0.15">
      <c r="B191" s="16" t="s">
        <v>365</v>
      </c>
      <c r="C191" s="436">
        <v>10190</v>
      </c>
      <c r="D191" s="442">
        <v>12</v>
      </c>
      <c r="E191" s="443">
        <f t="shared" si="149"/>
        <v>122280</v>
      </c>
      <c r="G191" s="444"/>
      <c r="I191" s="443">
        <f t="shared" si="150"/>
        <v>122280</v>
      </c>
      <c r="J191" s="424">
        <v>200000</v>
      </c>
      <c r="K191" s="424">
        <v>0.2</v>
      </c>
      <c r="L191" s="424">
        <f t="shared" si="151"/>
        <v>24456</v>
      </c>
      <c r="M191" s="424">
        <f t="shared" si="152"/>
        <v>224456</v>
      </c>
      <c r="N191" s="424">
        <f t="shared" si="153"/>
        <v>224456</v>
      </c>
      <c r="O191" s="424">
        <f t="shared" si="154"/>
        <v>-102176</v>
      </c>
      <c r="P191" s="424">
        <f t="shared" si="155"/>
        <v>-7152.32</v>
      </c>
      <c r="Q191" s="424">
        <f t="shared" si="156"/>
        <v>0</v>
      </c>
      <c r="R191" s="424">
        <f t="shared" si="157"/>
        <v>0</v>
      </c>
      <c r="S191" s="424">
        <f t="shared" si="158"/>
        <v>0</v>
      </c>
      <c r="T191" s="424">
        <f t="shared" si="159"/>
        <v>0</v>
      </c>
      <c r="V191" s="424">
        <f t="shared" si="160"/>
        <v>-7152.32</v>
      </c>
      <c r="W191" s="431">
        <v>12</v>
      </c>
      <c r="X191" s="424">
        <f t="shared" si="161"/>
        <v>-596.02666666666698</v>
      </c>
      <c r="Z191" s="424">
        <f t="shared" si="162"/>
        <v>-596.02666666666698</v>
      </c>
      <c r="AA191" s="436">
        <v>3511.7966226666699</v>
      </c>
      <c r="AB191" s="436">
        <f t="shared" si="148"/>
        <v>-4107.8232893333397</v>
      </c>
    </row>
    <row r="192" spans="1:31" ht="18" x14ac:dyDescent="0.15">
      <c r="B192" s="16" t="s">
        <v>367</v>
      </c>
      <c r="C192" s="424"/>
      <c r="D192" s="423"/>
      <c r="E192" s="424"/>
      <c r="F192" s="424"/>
      <c r="G192" s="427"/>
      <c r="H192" s="427"/>
      <c r="I192" s="424"/>
      <c r="J192" s="424"/>
      <c r="K192" s="424"/>
      <c r="L192" s="424"/>
      <c r="M192" s="424"/>
      <c r="N192" s="424"/>
      <c r="O192" s="424"/>
      <c r="P192" s="424"/>
      <c r="Q192" s="424"/>
      <c r="R192" s="424"/>
      <c r="S192" s="424"/>
      <c r="T192" s="424"/>
      <c r="U192" s="424"/>
      <c r="V192" s="424"/>
      <c r="W192" s="431"/>
      <c r="X192" s="424"/>
      <c r="Y192" s="427"/>
      <c r="Z192" s="424"/>
      <c r="AA192" s="436"/>
      <c r="AB192" s="436">
        <f t="shared" si="148"/>
        <v>0</v>
      </c>
    </row>
    <row r="193" spans="2:28" ht="35.25" customHeight="1" x14ac:dyDescent="0.15">
      <c r="B193" s="16" t="s">
        <v>369</v>
      </c>
      <c r="C193" s="753">
        <v>8772.3333333331993</v>
      </c>
      <c r="D193" s="442">
        <v>12</v>
      </c>
      <c r="E193" s="443">
        <f t="shared" ref="E193:E197" si="163">C193*D193</f>
        <v>105267.99999999801</v>
      </c>
      <c r="G193" s="444"/>
      <c r="I193" s="443">
        <f t="shared" ref="I193:I197" si="164">E193-F193-G193-H193</f>
        <v>105267.99999999801</v>
      </c>
      <c r="J193" s="424">
        <v>200000</v>
      </c>
      <c r="K193" s="424">
        <v>0.2</v>
      </c>
      <c r="L193" s="424">
        <f t="shared" ref="L193:L197" si="165">I193*K193</f>
        <v>21053.5999999997</v>
      </c>
      <c r="M193" s="424">
        <f t="shared" ref="M193:M197" si="166">J193+L193</f>
        <v>221053.6</v>
      </c>
      <c r="N193" s="424">
        <f t="shared" ref="N193:N197" si="167">F193+G193+H193+M193</f>
        <v>221053.6</v>
      </c>
      <c r="O193" s="424">
        <f t="shared" ref="O193:O197" si="168">E193-N193</f>
        <v>-115785.600000001</v>
      </c>
      <c r="P193" s="424">
        <f t="shared" ref="P193:P197" si="169">IF(O193&lt;300000,0.07*O193,21000)</f>
        <v>-8104.9920000000902</v>
      </c>
      <c r="Q193" s="424">
        <f t="shared" ref="Q193:Q197" si="170">IF((O193-300000)&lt;0,0,IF((O193-300000)&lt;300000,0.11*(O193-300000),33000))</f>
        <v>0</v>
      </c>
      <c r="R193" s="424">
        <f t="shared" ref="R193:R197" si="171">IF((O193-600000)&lt;0,0,IF((O193-600000)&lt;500000,0.15*(O193-600000),75000))</f>
        <v>0</v>
      </c>
      <c r="S193" s="424">
        <f t="shared" ref="S193:S197" si="172">IF((O193-1100000)&lt;0,0,IF((O193-1100000)&lt;500000,0.19*(O193-1100000),95000))</f>
        <v>0</v>
      </c>
      <c r="T193" s="424">
        <f t="shared" ref="T193:T197" si="173">IF((O193-1600000)&lt;0,0,IF((O193-1600000)&lt;1600000,0.21*(O193-1600000),336000))</f>
        <v>0</v>
      </c>
      <c r="V193" s="424">
        <f t="shared" ref="V193:V197" si="174">P193+Q193+R193+S193+T193+U193</f>
        <v>-8104.9920000000902</v>
      </c>
      <c r="W193" s="431">
        <v>12</v>
      </c>
      <c r="X193" s="424">
        <f t="shared" ref="X193:X197" si="175">V193/W193</f>
        <v>-675.41600000000801</v>
      </c>
      <c r="Z193" s="424">
        <f t="shared" ref="Z193:Z197" si="176">X193</f>
        <v>-675.41600000000801</v>
      </c>
      <c r="AA193" s="436">
        <v>3511.7966226666699</v>
      </c>
      <c r="AB193" s="436">
        <f t="shared" si="148"/>
        <v>-4187.2126226666796</v>
      </c>
    </row>
    <row r="194" spans="2:28" ht="26.25" customHeight="1" x14ac:dyDescent="0.15">
      <c r="B194" s="16" t="s">
        <v>372</v>
      </c>
      <c r="C194" s="753">
        <v>8772.3333333331993</v>
      </c>
      <c r="D194" s="442">
        <v>12</v>
      </c>
      <c r="E194" s="443">
        <f t="shared" si="163"/>
        <v>105267.99999999801</v>
      </c>
      <c r="G194" s="444"/>
      <c r="I194" s="443">
        <f t="shared" si="164"/>
        <v>105267.99999999801</v>
      </c>
      <c r="J194" s="424">
        <v>200000</v>
      </c>
      <c r="K194" s="424">
        <v>0.2</v>
      </c>
      <c r="L194" s="424">
        <f t="shared" si="165"/>
        <v>21053.5999999997</v>
      </c>
      <c r="M194" s="424">
        <f t="shared" si="166"/>
        <v>221053.6</v>
      </c>
      <c r="N194" s="424">
        <f t="shared" si="167"/>
        <v>221053.6</v>
      </c>
      <c r="O194" s="424">
        <f t="shared" si="168"/>
        <v>-115785.600000001</v>
      </c>
      <c r="P194" s="424">
        <f t="shared" si="169"/>
        <v>-8104.9920000000902</v>
      </c>
      <c r="Q194" s="424">
        <f t="shared" si="170"/>
        <v>0</v>
      </c>
      <c r="R194" s="424">
        <f t="shared" si="171"/>
        <v>0</v>
      </c>
      <c r="S194" s="424">
        <f t="shared" si="172"/>
        <v>0</v>
      </c>
      <c r="T194" s="424">
        <f t="shared" si="173"/>
        <v>0</v>
      </c>
      <c r="V194" s="424">
        <f t="shared" si="174"/>
        <v>-8104.9920000000902</v>
      </c>
      <c r="W194" s="431">
        <v>12</v>
      </c>
      <c r="X194" s="424">
        <f t="shared" si="175"/>
        <v>-675.41600000000801</v>
      </c>
      <c r="Z194" s="424">
        <f t="shared" si="176"/>
        <v>-675.41600000000801</v>
      </c>
      <c r="AA194" s="436">
        <v>3511.7966226666699</v>
      </c>
      <c r="AB194" s="436">
        <f t="shared" si="148"/>
        <v>-4187.2126226666796</v>
      </c>
    </row>
    <row r="195" spans="2:28" ht="18" x14ac:dyDescent="0.15">
      <c r="B195" s="16" t="s">
        <v>373</v>
      </c>
      <c r="C195" s="754">
        <v>8772.3333333331993</v>
      </c>
      <c r="D195" s="442">
        <v>12</v>
      </c>
      <c r="E195" s="443">
        <f t="shared" si="163"/>
        <v>105267.99999999801</v>
      </c>
      <c r="G195" s="444"/>
      <c r="I195" s="443">
        <f t="shared" si="164"/>
        <v>105267.99999999801</v>
      </c>
      <c r="J195" s="424">
        <v>200000</v>
      </c>
      <c r="K195" s="424">
        <v>0.2</v>
      </c>
      <c r="L195" s="424">
        <f t="shared" si="165"/>
        <v>21053.5999999997</v>
      </c>
      <c r="M195" s="424">
        <f t="shared" si="166"/>
        <v>221053.6</v>
      </c>
      <c r="N195" s="424">
        <f t="shared" si="167"/>
        <v>221053.6</v>
      </c>
      <c r="O195" s="424">
        <f t="shared" si="168"/>
        <v>-115785.600000001</v>
      </c>
      <c r="P195" s="424">
        <f t="shared" si="169"/>
        <v>-8104.9920000000902</v>
      </c>
      <c r="Q195" s="424">
        <f t="shared" si="170"/>
        <v>0</v>
      </c>
      <c r="R195" s="424">
        <f t="shared" si="171"/>
        <v>0</v>
      </c>
      <c r="S195" s="424">
        <f t="shared" si="172"/>
        <v>0</v>
      </c>
      <c r="T195" s="424">
        <f t="shared" si="173"/>
        <v>0</v>
      </c>
      <c r="V195" s="424">
        <f t="shared" si="174"/>
        <v>-8104.9920000000902</v>
      </c>
      <c r="W195" s="431">
        <v>12</v>
      </c>
      <c r="X195" s="424">
        <f t="shared" si="175"/>
        <v>-675.41600000000801</v>
      </c>
      <c r="Z195" s="424">
        <f t="shared" si="176"/>
        <v>-675.41600000000801</v>
      </c>
      <c r="AA195" s="436">
        <v>3511.7966226666699</v>
      </c>
      <c r="AB195" s="436">
        <f t="shared" si="148"/>
        <v>-4187.2126226666796</v>
      </c>
    </row>
    <row r="196" spans="2:28" ht="18" x14ac:dyDescent="0.15">
      <c r="B196" s="16" t="s">
        <v>374</v>
      </c>
      <c r="C196" s="755">
        <v>10191</v>
      </c>
      <c r="D196" s="442">
        <v>12</v>
      </c>
      <c r="E196" s="443">
        <f t="shared" si="163"/>
        <v>122292</v>
      </c>
      <c r="G196" s="444"/>
      <c r="I196" s="443">
        <f t="shared" si="164"/>
        <v>122292</v>
      </c>
      <c r="J196" s="424">
        <v>200000</v>
      </c>
      <c r="K196" s="424">
        <v>0.2</v>
      </c>
      <c r="L196" s="424">
        <f t="shared" si="165"/>
        <v>24458.400000000001</v>
      </c>
      <c r="M196" s="424">
        <f t="shared" si="166"/>
        <v>224458.4</v>
      </c>
      <c r="N196" s="424">
        <f t="shared" si="167"/>
        <v>224458.4</v>
      </c>
      <c r="O196" s="424">
        <f t="shared" si="168"/>
        <v>-102166.39999999999</v>
      </c>
      <c r="P196" s="424">
        <f t="shared" si="169"/>
        <v>-7151.6480000000001</v>
      </c>
      <c r="Q196" s="424">
        <f t="shared" si="170"/>
        <v>0</v>
      </c>
      <c r="R196" s="424">
        <f t="shared" si="171"/>
        <v>0</v>
      </c>
      <c r="S196" s="424">
        <f t="shared" si="172"/>
        <v>0</v>
      </c>
      <c r="T196" s="424">
        <f t="shared" si="173"/>
        <v>0</v>
      </c>
      <c r="V196" s="424">
        <f t="shared" si="174"/>
        <v>-7151.6480000000001</v>
      </c>
      <c r="W196" s="431">
        <v>12</v>
      </c>
      <c r="X196" s="424">
        <f t="shared" si="175"/>
        <v>-595.97066666666694</v>
      </c>
      <c r="Z196" s="424">
        <f t="shared" si="176"/>
        <v>-595.97066666666694</v>
      </c>
      <c r="AA196" s="436">
        <v>3511.7966226666699</v>
      </c>
      <c r="AB196" s="436">
        <f t="shared" si="148"/>
        <v>-4107.7672893333402</v>
      </c>
    </row>
    <row r="197" spans="2:28" ht="18" x14ac:dyDescent="0.15">
      <c r="B197" s="16" t="s">
        <v>377</v>
      </c>
      <c r="C197" s="755">
        <v>10191</v>
      </c>
      <c r="D197" s="442">
        <v>12</v>
      </c>
      <c r="E197" s="443">
        <f t="shared" si="163"/>
        <v>122292</v>
      </c>
      <c r="G197" s="444"/>
      <c r="I197" s="443">
        <f t="shared" si="164"/>
        <v>122292</v>
      </c>
      <c r="J197" s="424">
        <v>200000</v>
      </c>
      <c r="K197" s="424">
        <v>0.2</v>
      </c>
      <c r="L197" s="424">
        <f t="shared" si="165"/>
        <v>24458.400000000001</v>
      </c>
      <c r="M197" s="424">
        <f t="shared" si="166"/>
        <v>224458.4</v>
      </c>
      <c r="N197" s="424">
        <f t="shared" si="167"/>
        <v>224458.4</v>
      </c>
      <c r="O197" s="424">
        <f t="shared" si="168"/>
        <v>-102166.39999999999</v>
      </c>
      <c r="P197" s="424">
        <f t="shared" si="169"/>
        <v>-7151.6480000000001</v>
      </c>
      <c r="Q197" s="424">
        <f t="shared" si="170"/>
        <v>0</v>
      </c>
      <c r="R197" s="424">
        <f t="shared" si="171"/>
        <v>0</v>
      </c>
      <c r="S197" s="424">
        <f t="shared" si="172"/>
        <v>0</v>
      </c>
      <c r="T197" s="424">
        <f t="shared" si="173"/>
        <v>0</v>
      </c>
      <c r="V197" s="424">
        <f t="shared" si="174"/>
        <v>-7151.6480000000001</v>
      </c>
      <c r="W197" s="431">
        <v>12</v>
      </c>
      <c r="X197" s="424">
        <f t="shared" si="175"/>
        <v>-595.97066666666694</v>
      </c>
      <c r="Z197" s="424">
        <f t="shared" si="176"/>
        <v>-595.97066666666694</v>
      </c>
      <c r="AA197" s="436">
        <v>3511.7966226666699</v>
      </c>
      <c r="AB197" s="436">
        <f t="shared" si="148"/>
        <v>-4107.7672893333402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191"/>
  <sheetViews>
    <sheetView topLeftCell="A4" workbookViewId="0">
      <selection activeCell="X182" sqref="X182"/>
    </sheetView>
  </sheetViews>
  <sheetFormatPr defaultColWidth="9.16796875" defaultRowHeight="12.75" x14ac:dyDescent="0.15"/>
  <cols>
    <col min="1" max="1" width="6.875" style="259" customWidth="1"/>
    <col min="2" max="2" width="39.1054687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259" customWidth="1"/>
    <col min="27" max="27" width="16.31640625" style="259" customWidth="1"/>
    <col min="28" max="28" width="14.6953125" style="259" customWidth="1"/>
    <col min="29" max="29" width="27.375" style="259" customWidth="1"/>
    <col min="30" max="16384" width="9.16796875" style="259"/>
  </cols>
  <sheetData>
    <row r="1" spans="1:31" ht="13.5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t="13.5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t="13.5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" x14ac:dyDescent="0.2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1.5" x14ac:dyDescent="0.2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" x14ac:dyDescent="0.1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" x14ac:dyDescent="0.1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" x14ac:dyDescent="0.1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" x14ac:dyDescent="0.2">
      <c r="A10" s="421">
        <v>7</v>
      </c>
      <c r="B10" s="12" t="s">
        <v>271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" x14ac:dyDescent="0.15">
      <c r="A11" s="421">
        <v>8</v>
      </c>
      <c r="B11" s="16" t="s">
        <v>530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</v>
      </c>
      <c r="M11" s="424">
        <f t="shared" si="3"/>
        <v>2725695.6</v>
      </c>
      <c r="N11" s="424">
        <f t="shared" si="4"/>
        <v>2725695.6</v>
      </c>
      <c r="O11" s="424">
        <f t="shared" si="5"/>
        <v>9902782.4000000004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1608667.7760000001</v>
      </c>
      <c r="V11" s="424">
        <f t="shared" si="12"/>
        <v>2168667.7760000001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78894.363247999703</v>
      </c>
      <c r="AC11" s="436"/>
      <c r="AD11" s="436"/>
      <c r="AE11" s="436"/>
    </row>
    <row r="12" spans="1:31" ht="18" x14ac:dyDescent="0.1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" x14ac:dyDescent="0.1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" x14ac:dyDescent="0.1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" x14ac:dyDescent="0.1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" x14ac:dyDescent="0.1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" x14ac:dyDescent="0.1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" x14ac:dyDescent="0.1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" x14ac:dyDescent="0.1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" x14ac:dyDescent="0.1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" x14ac:dyDescent="0.1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" x14ac:dyDescent="0.1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" x14ac:dyDescent="0.1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" x14ac:dyDescent="0.2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" x14ac:dyDescent="0.1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" x14ac:dyDescent="0.1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18" x14ac:dyDescent="0.1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" x14ac:dyDescent="0.1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1.5" x14ac:dyDescent="0.2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" x14ac:dyDescent="0.1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" x14ac:dyDescent="0.1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" x14ac:dyDescent="0.1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" x14ac:dyDescent="0.2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" x14ac:dyDescent="0.1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" x14ac:dyDescent="0.15">
      <c r="A35" s="421"/>
      <c r="B35" s="16" t="s">
        <v>113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" x14ac:dyDescent="0.15">
      <c r="A36" s="421"/>
      <c r="B36" s="16" t="s">
        <v>116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" x14ac:dyDescent="0.1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" x14ac:dyDescent="0.2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" x14ac:dyDescent="0.1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1.5" x14ac:dyDescent="0.2">
      <c r="A40" s="421">
        <v>35</v>
      </c>
      <c r="B40" s="9" t="s">
        <v>536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" x14ac:dyDescent="0.15">
      <c r="A41" s="421">
        <v>36</v>
      </c>
      <c r="B41" s="9" t="s">
        <v>538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" x14ac:dyDescent="0.1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2304161.5119999899</v>
      </c>
      <c r="M42" s="424">
        <f t="shared" si="34"/>
        <v>2504161.5119999899</v>
      </c>
      <c r="N42" s="424">
        <f t="shared" si="35"/>
        <v>3213796.9519999898</v>
      </c>
      <c r="O42" s="424">
        <f t="shared" si="36"/>
        <v>9016646.0479999706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1395995.05151999</v>
      </c>
      <c r="V42" s="424">
        <f t="shared" si="42"/>
        <v>1955995.05151999</v>
      </c>
      <c r="W42" s="431">
        <v>12</v>
      </c>
      <c r="X42" s="424">
        <f t="shared" si="43"/>
        <v>162999.58762666601</v>
      </c>
      <c r="Y42" s="427"/>
      <c r="Z42" s="424">
        <f t="shared" si="44"/>
        <v>162999.58762666601</v>
      </c>
      <c r="AA42" s="436">
        <v>97273.513850666699</v>
      </c>
      <c r="AB42" s="436">
        <f t="shared" si="45"/>
        <v>65726.073775999306</v>
      </c>
      <c r="AC42" s="436"/>
      <c r="AD42" s="436"/>
      <c r="AE42" s="436"/>
    </row>
    <row r="43" spans="1:31" ht="18" x14ac:dyDescent="0.1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" x14ac:dyDescent="0.1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" x14ac:dyDescent="0.1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" x14ac:dyDescent="0.1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" x14ac:dyDescent="0.1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" x14ac:dyDescent="0.1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" x14ac:dyDescent="0.15">
      <c r="A49" s="421">
        <v>44</v>
      </c>
      <c r="B49" s="9" t="s">
        <v>539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" x14ac:dyDescent="0.1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" x14ac:dyDescent="0.2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" x14ac:dyDescent="0.1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" x14ac:dyDescent="0.1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" x14ac:dyDescent="0.1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" x14ac:dyDescent="0.2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1.5" x14ac:dyDescent="0.2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" x14ac:dyDescent="0.15">
      <c r="A57" s="421">
        <v>50</v>
      </c>
      <c r="B57" s="9" t="s">
        <v>541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 x14ac:dyDescent="0.15">
      <c r="A58" s="421">
        <v>51</v>
      </c>
      <c r="B58" s="313" t="s">
        <v>543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" x14ac:dyDescent="0.1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" x14ac:dyDescent="0.15">
      <c r="A60" s="421">
        <v>53</v>
      </c>
      <c r="B60" s="16" t="s">
        <v>545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" x14ac:dyDescent="0.15">
      <c r="A61" s="421">
        <v>54</v>
      </c>
      <c r="B61" s="12" t="s">
        <v>546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18" x14ac:dyDescent="0.1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" x14ac:dyDescent="0.1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" x14ac:dyDescent="0.1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" x14ac:dyDescent="0.1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" x14ac:dyDescent="0.1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" x14ac:dyDescent="0.2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" x14ac:dyDescent="0.2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" x14ac:dyDescent="0.1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" x14ac:dyDescent="0.15">
      <c r="A70" s="421"/>
      <c r="B70" s="9" t="s">
        <v>170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" x14ac:dyDescent="0.15">
      <c r="A71" s="421">
        <v>62</v>
      </c>
      <c r="B71" s="12" t="s">
        <v>547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1.5" x14ac:dyDescent="0.2">
      <c r="A72" s="421">
        <v>63</v>
      </c>
      <c r="B72" s="16" t="s">
        <v>550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" x14ac:dyDescent="0.15">
      <c r="A73" s="421">
        <v>64</v>
      </c>
      <c r="B73" s="9" t="s">
        <v>174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" x14ac:dyDescent="0.15">
      <c r="A74" s="421">
        <v>65</v>
      </c>
      <c r="B74" s="9" t="s">
        <v>181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 x14ac:dyDescent="0.15">
      <c r="A75" s="421"/>
      <c r="B75" s="9" t="s">
        <v>183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" x14ac:dyDescent="0.15">
      <c r="A76" s="421"/>
      <c r="B76" s="9" t="s">
        <v>185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" x14ac:dyDescent="0.1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" x14ac:dyDescent="0.2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18" x14ac:dyDescent="0.15">
      <c r="A79" s="421">
        <v>67</v>
      </c>
      <c r="B79" s="18" t="s">
        <v>187</v>
      </c>
      <c r="C79" s="424"/>
      <c r="AB79" s="259" t="s">
        <v>649</v>
      </c>
      <c r="AC79" s="436"/>
      <c r="AD79" s="436"/>
      <c r="AE79" s="436"/>
    </row>
    <row r="80" spans="1:31" ht="18" x14ac:dyDescent="0.15">
      <c r="A80" s="421">
        <v>68</v>
      </c>
      <c r="B80" s="9" t="s">
        <v>190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190</v>
      </c>
      <c r="AD80" s="436"/>
      <c r="AE80" s="436"/>
    </row>
    <row r="81" spans="1:31" ht="18" x14ac:dyDescent="0.15">
      <c r="A81" s="421">
        <v>69</v>
      </c>
      <c r="B81" s="9" t="s">
        <v>188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3405432.22000001</v>
      </c>
      <c r="M81" s="424">
        <f t="shared" si="82"/>
        <v>3605432.22000001</v>
      </c>
      <c r="N81" s="424">
        <f t="shared" si="83"/>
        <v>5202783.1200000104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2453214.9312000098</v>
      </c>
      <c r="V81" s="424">
        <f t="shared" si="91"/>
        <v>3013214.9312000098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152105.141120001</v>
      </c>
      <c r="AC81" s="436" t="s">
        <v>188</v>
      </c>
      <c r="AD81" s="436"/>
      <c r="AE81" s="436"/>
    </row>
    <row r="82" spans="1:31" ht="31.5" x14ac:dyDescent="0.2">
      <c r="A82" s="421">
        <v>70</v>
      </c>
      <c r="B82" s="9" t="s">
        <v>193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193</v>
      </c>
      <c r="AD82" s="436"/>
      <c r="AE82" s="436"/>
    </row>
    <row r="83" spans="1:31" ht="18" x14ac:dyDescent="0.15">
      <c r="A83" s="421">
        <v>71</v>
      </c>
      <c r="B83" s="9" t="s">
        <v>194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194</v>
      </c>
      <c r="AD83" s="436"/>
      <c r="AE83" s="436"/>
    </row>
    <row r="84" spans="1:31" ht="18" x14ac:dyDescent="0.15">
      <c r="A84" s="421">
        <v>72</v>
      </c>
      <c r="B84" s="9" t="s">
        <v>195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195</v>
      </c>
      <c r="AD84" s="436"/>
      <c r="AE84" s="436"/>
    </row>
    <row r="85" spans="1:31" ht="31.5" x14ac:dyDescent="0.2">
      <c r="A85" s="421">
        <v>73</v>
      </c>
      <c r="B85" s="9" t="s">
        <v>196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196</v>
      </c>
      <c r="AD85" s="436"/>
      <c r="AE85" s="436"/>
    </row>
    <row r="86" spans="1:31" ht="18" x14ac:dyDescent="0.15">
      <c r="A86" s="421">
        <v>74</v>
      </c>
      <c r="B86" s="9" t="s">
        <v>198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198</v>
      </c>
      <c r="AD86" s="436"/>
      <c r="AE86" s="436"/>
    </row>
    <row r="87" spans="1:31" ht="24" customHeight="1" x14ac:dyDescent="0.15">
      <c r="A87" s="421">
        <v>75</v>
      </c>
      <c r="B87" s="9" t="s">
        <v>199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199</v>
      </c>
      <c r="AD87" s="436"/>
      <c r="AE87" s="436"/>
    </row>
    <row r="88" spans="1:31" ht="18" x14ac:dyDescent="0.15">
      <c r="A88" s="421">
        <v>76</v>
      </c>
      <c r="B88" s="9" t="s">
        <v>202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202</v>
      </c>
      <c r="AD88" s="436"/>
      <c r="AE88" s="436"/>
    </row>
    <row r="89" spans="1:31" ht="18" x14ac:dyDescent="0.15">
      <c r="A89" s="421"/>
      <c r="B89" s="9" t="s">
        <v>204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204</v>
      </c>
      <c r="AD89" s="436"/>
      <c r="AE89" s="436"/>
    </row>
    <row r="90" spans="1:31" ht="18" x14ac:dyDescent="0.2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" x14ac:dyDescent="0.2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" x14ac:dyDescent="0.15">
      <c r="A92" s="421">
        <v>78</v>
      </c>
      <c r="B92" s="18" t="s">
        <v>207</v>
      </c>
      <c r="C92" s="424"/>
      <c r="AC92" s="436"/>
      <c r="AD92" s="436"/>
      <c r="AE92" s="436"/>
    </row>
    <row r="93" spans="1:31" ht="31.5" x14ac:dyDescent="0.2">
      <c r="A93" s="421">
        <v>79</v>
      </c>
      <c r="B93" s="12" t="s">
        <v>208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208</v>
      </c>
      <c r="AD93" s="436"/>
      <c r="AE93" s="436"/>
    </row>
    <row r="94" spans="1:31" ht="18" x14ac:dyDescent="0.15">
      <c r="A94" s="421">
        <v>80</v>
      </c>
      <c r="B94" s="9" t="s">
        <v>211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211</v>
      </c>
      <c r="AD94" s="436"/>
      <c r="AE94" s="436"/>
    </row>
    <row r="95" spans="1:31" ht="31.5" x14ac:dyDescent="0.2">
      <c r="A95" s="421">
        <v>81</v>
      </c>
      <c r="B95" s="9" t="s">
        <v>217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217</v>
      </c>
      <c r="AD95" s="436"/>
      <c r="AE95" s="436"/>
    </row>
    <row r="96" spans="1:31" ht="18" x14ac:dyDescent="0.15">
      <c r="A96" s="421"/>
      <c r="B96" s="9" t="s">
        <v>219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219</v>
      </c>
      <c r="AD96" s="436"/>
      <c r="AE96" s="436"/>
    </row>
    <row r="97" spans="1:31" ht="18" x14ac:dyDescent="0.1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" x14ac:dyDescent="0.2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1.5" x14ac:dyDescent="0.2">
      <c r="A99" s="421">
        <v>84</v>
      </c>
      <c r="B99" s="18" t="s">
        <v>221</v>
      </c>
      <c r="C99" s="424"/>
      <c r="G99" s="259">
        <v>0</v>
      </c>
      <c r="AB99" s="259" t="s">
        <v>648</v>
      </c>
      <c r="AC99" s="436"/>
      <c r="AD99" s="436"/>
      <c r="AE99" s="436"/>
    </row>
    <row r="100" spans="1:31" ht="18" x14ac:dyDescent="0.15">
      <c r="A100" s="421">
        <v>85</v>
      </c>
      <c r="B100" s="9" t="s">
        <v>222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222</v>
      </c>
      <c r="AD100" s="436"/>
      <c r="AE100" s="436"/>
    </row>
    <row r="101" spans="1:31" ht="18" x14ac:dyDescent="0.15">
      <c r="A101" s="421">
        <v>86</v>
      </c>
      <c r="B101" s="9" t="s">
        <v>224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224</v>
      </c>
      <c r="AD101" s="436"/>
      <c r="AE101" s="436"/>
    </row>
    <row r="102" spans="1:31" ht="18" x14ac:dyDescent="0.15">
      <c r="A102" s="421">
        <v>87</v>
      </c>
      <c r="B102" s="9" t="s">
        <v>226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226</v>
      </c>
      <c r="AD102" s="436"/>
      <c r="AE102" s="436"/>
    </row>
    <row r="103" spans="1:31" ht="18" x14ac:dyDescent="0.15">
      <c r="A103" s="421">
        <v>88</v>
      </c>
      <c r="B103" s="9" t="s">
        <v>228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 t="shared" ref="U103:U105" si="127"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228</v>
      </c>
      <c r="AD103" s="436"/>
      <c r="AE103" s="436"/>
    </row>
    <row r="104" spans="1:31" ht="18" x14ac:dyDescent="0.15">
      <c r="A104" s="421">
        <v>89</v>
      </c>
      <c r="B104" s="9" t="s">
        <v>230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 t="shared" si="127"/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230</v>
      </c>
      <c r="AD104" s="436"/>
      <c r="AE104" s="436"/>
    </row>
    <row r="105" spans="1:31" ht="31.5" x14ac:dyDescent="0.2">
      <c r="A105" s="421"/>
      <c r="B105" s="16" t="s">
        <v>233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 t="shared" si="127"/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87883.384340906705</v>
      </c>
      <c r="Y105" s="427"/>
      <c r="Z105" s="424">
        <f t="shared" si="125"/>
        <v>87883.384340906705</v>
      </c>
      <c r="AA105" s="436">
        <v>58631.439944426696</v>
      </c>
      <c r="AB105" s="436">
        <f t="shared" si="126"/>
        <v>29251.944396480001</v>
      </c>
      <c r="AC105" s="436" t="s">
        <v>233</v>
      </c>
      <c r="AD105" s="436"/>
      <c r="AE105" s="436"/>
    </row>
    <row r="106" spans="1:31" ht="18" x14ac:dyDescent="0.15">
      <c r="A106" s="421"/>
      <c r="B106" s="16" t="s">
        <v>234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234</v>
      </c>
      <c r="AD106" s="436"/>
      <c r="AE106" s="436"/>
    </row>
    <row r="107" spans="1:31" ht="18" x14ac:dyDescent="0.1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" x14ac:dyDescent="0.2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1.5" x14ac:dyDescent="0.2">
      <c r="A109" s="421">
        <v>91</v>
      </c>
      <c r="B109" s="18" t="s">
        <v>235</v>
      </c>
      <c r="C109" s="424"/>
      <c r="G109" s="425"/>
      <c r="U109" s="424"/>
      <c r="AC109" s="436"/>
      <c r="AD109" s="436"/>
      <c r="AE109" s="436"/>
    </row>
    <row r="110" spans="1:31" ht="31.5" x14ac:dyDescent="0.2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8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9">E110-F110-G110-H110</f>
        <v>10069943.279999999</v>
      </c>
      <c r="J110" s="424">
        <v>200000</v>
      </c>
      <c r="K110" s="424">
        <v>0.2</v>
      </c>
      <c r="L110" s="424">
        <f t="shared" ref="L110:L112" si="130">I110*K110</f>
        <v>2013988.656</v>
      </c>
      <c r="M110" s="424">
        <f t="shared" ref="M110:M112" si="131">J110+L110</f>
        <v>2213988.656</v>
      </c>
      <c r="N110" s="424">
        <f t="shared" ref="N110:N112" si="132">F110+G110+H110+M110</f>
        <v>2801008.5759999999</v>
      </c>
      <c r="O110" s="424">
        <f t="shared" ref="O110:O112" si="133">E110-N110</f>
        <v>7855954.6239999998</v>
      </c>
      <c r="P110" s="424">
        <f t="shared" ref="P110:P112" si="134">IF(O110&lt;300000,0.07*O110,21000)</f>
        <v>21000</v>
      </c>
      <c r="Q110" s="424">
        <f t="shared" ref="Q110:Q112" si="135">IF((O110-300000)&lt;0,0,IF((O110-300000)&lt;300000,0.11*(O110-300000),33000))</f>
        <v>33000</v>
      </c>
      <c r="R110" s="424">
        <f t="shared" ref="R110:R112" si="136">IF((O110-600000)&lt;0,0,IF((O110-600000)&lt;500000,0.15*(O110-600000),75000))</f>
        <v>75000</v>
      </c>
      <c r="S110" s="424">
        <f t="shared" ref="S110:S112" si="137">IF((O110-1100000)&lt;0,0,IF((O110-1100000)&lt;500000,0.19*(O110-1100000),95000))</f>
        <v>95000</v>
      </c>
      <c r="T110" s="424">
        <f t="shared" ref="T110:T112" si="138">IF((O110-1600000)&lt;0,0,IF((O110-1600000)&lt;1600000,0.21*(O110-1600000),336000))</f>
        <v>336000</v>
      </c>
      <c r="U110" s="424">
        <f t="shared" ref="U110:U112" si="139">0.24*(O110-3200000)</f>
        <v>1117429.1097599999</v>
      </c>
      <c r="V110" s="424">
        <f t="shared" ref="V110:V112" si="140">P110+Q110+R110+S110+T110+U110</f>
        <v>1677429.1097599999</v>
      </c>
      <c r="W110" s="431">
        <v>12</v>
      </c>
      <c r="X110" s="424">
        <f t="shared" ref="X110:X112" si="141">V110/W110</f>
        <v>139785.759146667</v>
      </c>
      <c r="Y110" s="427"/>
      <c r="Z110" s="424">
        <f t="shared" ref="Z110:Z112" si="142">X110</f>
        <v>139785.759146667</v>
      </c>
      <c r="AA110" s="436">
        <v>77610.116906666706</v>
      </c>
      <c r="AB110" s="436">
        <f t="shared" ref="AB110:AB112" si="143">Z110-AA110</f>
        <v>62175.642240000001</v>
      </c>
      <c r="AC110" s="436"/>
      <c r="AD110" s="436"/>
      <c r="AE110" s="436"/>
    </row>
    <row r="111" spans="1:31" ht="18" x14ac:dyDescent="0.15">
      <c r="A111" s="421">
        <v>93</v>
      </c>
      <c r="B111" s="9" t="s">
        <v>236</v>
      </c>
      <c r="C111" s="424">
        <v>487895.16666666698</v>
      </c>
      <c r="D111" s="423">
        <v>12</v>
      </c>
      <c r="E111" s="424">
        <f t="shared" si="128"/>
        <v>5854742</v>
      </c>
      <c r="F111" s="424"/>
      <c r="G111" s="425">
        <v>362779.36</v>
      </c>
      <c r="H111" s="427"/>
      <c r="I111" s="424">
        <f t="shared" si="129"/>
        <v>5491962.6399999997</v>
      </c>
      <c r="J111" s="424">
        <v>200000</v>
      </c>
      <c r="K111" s="424">
        <v>0.2</v>
      </c>
      <c r="L111" s="424">
        <f t="shared" si="130"/>
        <v>1098392.5279999999</v>
      </c>
      <c r="M111" s="424">
        <f t="shared" si="131"/>
        <v>1298392.5279999999</v>
      </c>
      <c r="N111" s="424">
        <f t="shared" si="132"/>
        <v>1661171.888</v>
      </c>
      <c r="O111" s="424">
        <f t="shared" si="133"/>
        <v>4193570.1120000002</v>
      </c>
      <c r="P111" s="424">
        <f t="shared" si="134"/>
        <v>21000</v>
      </c>
      <c r="Q111" s="424">
        <f t="shared" si="135"/>
        <v>33000</v>
      </c>
      <c r="R111" s="424">
        <f t="shared" si="136"/>
        <v>75000</v>
      </c>
      <c r="S111" s="424">
        <f t="shared" si="137"/>
        <v>95000</v>
      </c>
      <c r="T111" s="424">
        <f t="shared" si="138"/>
        <v>336000</v>
      </c>
      <c r="U111" s="424">
        <f t="shared" si="139"/>
        <v>238456.826880001</v>
      </c>
      <c r="V111" s="424">
        <f t="shared" si="140"/>
        <v>798456.826880001</v>
      </c>
      <c r="W111" s="431">
        <v>12</v>
      </c>
      <c r="X111" s="424">
        <f t="shared" si="141"/>
        <v>66538.068906666696</v>
      </c>
      <c r="Y111" s="427"/>
      <c r="Z111" s="424">
        <f t="shared" si="142"/>
        <v>66538.068906666696</v>
      </c>
      <c r="AA111" s="436">
        <v>43368.882414666703</v>
      </c>
      <c r="AB111" s="436">
        <f t="shared" si="143"/>
        <v>23169.186492000001</v>
      </c>
      <c r="AC111" s="436"/>
      <c r="AD111" s="436"/>
      <c r="AE111" s="436"/>
    </row>
    <row r="112" spans="1:31" ht="18" x14ac:dyDescent="0.15">
      <c r="A112" s="421">
        <v>94</v>
      </c>
      <c r="B112" s="9" t="s">
        <v>177</v>
      </c>
      <c r="C112" s="430">
        <v>450086.5</v>
      </c>
      <c r="D112" s="423">
        <v>12</v>
      </c>
      <c r="E112" s="424">
        <f t="shared" si="128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9"/>
        <v>5019635.5049999999</v>
      </c>
      <c r="J112" s="424">
        <v>200000</v>
      </c>
      <c r="K112" s="424">
        <v>0.2</v>
      </c>
      <c r="L112" s="424">
        <f t="shared" si="130"/>
        <v>1003927.101</v>
      </c>
      <c r="M112" s="424">
        <f t="shared" si="131"/>
        <v>1203927.101</v>
      </c>
      <c r="N112" s="424">
        <f t="shared" si="132"/>
        <v>1585329.5959999999</v>
      </c>
      <c r="O112" s="424">
        <f t="shared" si="133"/>
        <v>3815708.4040000001</v>
      </c>
      <c r="P112" s="424">
        <f t="shared" si="134"/>
        <v>21000</v>
      </c>
      <c r="Q112" s="424">
        <f t="shared" si="135"/>
        <v>33000</v>
      </c>
      <c r="R112" s="424">
        <f t="shared" si="136"/>
        <v>75000</v>
      </c>
      <c r="S112" s="424">
        <f t="shared" si="137"/>
        <v>95000</v>
      </c>
      <c r="T112" s="424">
        <f t="shared" si="138"/>
        <v>336000</v>
      </c>
      <c r="U112" s="424">
        <f t="shared" si="139"/>
        <v>147770.01696000001</v>
      </c>
      <c r="V112" s="424">
        <f t="shared" si="140"/>
        <v>707770.01696000004</v>
      </c>
      <c r="W112" s="431">
        <v>12</v>
      </c>
      <c r="X112" s="424">
        <f t="shared" si="141"/>
        <v>58980.834746666696</v>
      </c>
      <c r="Y112" s="427"/>
      <c r="Z112" s="424">
        <f t="shared" si="142"/>
        <v>58980.834746666696</v>
      </c>
      <c r="AA112" s="436">
        <v>35221.954086666701</v>
      </c>
      <c r="AB112" s="436">
        <f t="shared" si="143"/>
        <v>23758.880659999999</v>
      </c>
      <c r="AC112" s="436"/>
      <c r="AD112" s="436"/>
      <c r="AE112" s="436"/>
    </row>
    <row r="113" spans="1:31" ht="18" x14ac:dyDescent="0.2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" x14ac:dyDescent="0.2">
      <c r="A114" s="421">
        <v>96</v>
      </c>
      <c r="B114" s="20"/>
      <c r="C114" s="424"/>
      <c r="U114" s="437"/>
      <c r="AC114" s="436"/>
      <c r="AD114" s="436"/>
      <c r="AE114" s="436"/>
    </row>
    <row r="115" spans="1:31" ht="18" x14ac:dyDescent="0.15">
      <c r="A115" s="421">
        <v>97</v>
      </c>
      <c r="B115" s="18" t="s">
        <v>250</v>
      </c>
      <c r="C115" s="424"/>
      <c r="U115" s="437"/>
      <c r="AC115" s="436"/>
      <c r="AD115" s="436"/>
      <c r="AE115" s="436"/>
    </row>
    <row r="116" spans="1:31" ht="18" x14ac:dyDescent="0.15">
      <c r="A116" s="421">
        <v>98</v>
      </c>
      <c r="B116" s="9" t="s">
        <v>251</v>
      </c>
      <c r="C116" s="424">
        <v>1635720</v>
      </c>
      <c r="D116" s="423">
        <v>12</v>
      </c>
      <c r="E116" s="424">
        <f t="shared" ref="E116:E125" si="144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5">E116-F116-G116-H116</f>
        <v>18225826.794</v>
      </c>
      <c r="J116" s="424">
        <v>200000</v>
      </c>
      <c r="K116" s="424">
        <v>0.2</v>
      </c>
      <c r="L116" s="424">
        <f t="shared" ref="L116:L125" si="146">I116*K116</f>
        <v>3645165.3588</v>
      </c>
      <c r="M116" s="424">
        <f t="shared" ref="M116:M125" si="147">J116+L116</f>
        <v>3845165.3588</v>
      </c>
      <c r="N116" s="424">
        <f t="shared" ref="N116:N125" si="148">F116+G116+H116+M116</f>
        <v>5247978.5647999998</v>
      </c>
      <c r="O116" s="424">
        <f t="shared" ref="O116:O125" si="149">E116-N116</f>
        <v>14380661.4352</v>
      </c>
      <c r="P116" s="424">
        <f t="shared" ref="P116:P125" si="150">IF(O116&lt;300000,0.07*O116,21000)</f>
        <v>21000</v>
      </c>
      <c r="Q116" s="424">
        <f t="shared" ref="Q116:Q125" si="151">IF((O116-300000)&lt;0,0,IF((O116-300000)&lt;300000,0.11*(O116-300000),33000))</f>
        <v>33000</v>
      </c>
      <c r="R116" s="424">
        <f t="shared" ref="R116:R125" si="152">IF((O116-600000)&lt;0,0,IF((O116-600000)&lt;500000,0.15*(O116-600000),75000))</f>
        <v>75000</v>
      </c>
      <c r="S116" s="424">
        <f t="shared" ref="S116:S125" si="153">IF((O116-1100000)&lt;0,0,IF((O116-1100000)&lt;500000,0.19*(O116-1100000),95000))</f>
        <v>95000</v>
      </c>
      <c r="T116" s="424">
        <f t="shared" ref="T116:T125" si="154">IF((O116-1600000)&lt;0,0,IF((O116-1600000)&lt;1600000,0.21*(O116-1600000),336000))</f>
        <v>336000</v>
      </c>
      <c r="U116" s="424">
        <f t="shared" ref="U116:U122" si="155">0.24*(O116-3200000)</f>
        <v>2683358.7444480001</v>
      </c>
      <c r="V116" s="424">
        <f t="shared" ref="V116:V125" si="156">P116+Q116+R116+S116+T116+U116</f>
        <v>3243358.7444480001</v>
      </c>
      <c r="W116" s="431">
        <v>12</v>
      </c>
      <c r="X116" s="424">
        <f t="shared" ref="X116:X125" si="157">V116/W116</f>
        <v>270279.89537066699</v>
      </c>
      <c r="Y116" s="427"/>
      <c r="Z116" s="424">
        <f t="shared" ref="Z116:Z125" si="158">X116</f>
        <v>270279.89537066699</v>
      </c>
      <c r="AA116" s="436">
        <v>179914.45476266701</v>
      </c>
      <c r="AB116" s="436">
        <f t="shared" ref="AB116:AB125" si="159">Z116-AA116</f>
        <v>90365.440607999699</v>
      </c>
      <c r="AC116" s="436"/>
      <c r="AD116" s="436"/>
      <c r="AE116" s="436"/>
    </row>
    <row r="117" spans="1:31" ht="18" x14ac:dyDescent="0.15">
      <c r="A117" s="421">
        <v>99</v>
      </c>
      <c r="B117" s="9" t="s">
        <v>253</v>
      </c>
      <c r="C117" s="424">
        <v>929203.58333333302</v>
      </c>
      <c r="D117" s="423">
        <v>12</v>
      </c>
      <c r="E117" s="424">
        <f t="shared" si="144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5"/>
        <v>10321040.76</v>
      </c>
      <c r="J117" s="424">
        <v>200000</v>
      </c>
      <c r="K117" s="424">
        <v>0.2</v>
      </c>
      <c r="L117" s="424">
        <f t="shared" si="146"/>
        <v>2064208.152</v>
      </c>
      <c r="M117" s="424">
        <f t="shared" si="147"/>
        <v>2264208.1519999998</v>
      </c>
      <c r="N117" s="424">
        <f t="shared" si="148"/>
        <v>3093610.392</v>
      </c>
      <c r="O117" s="424">
        <f t="shared" si="149"/>
        <v>8056832.608</v>
      </c>
      <c r="P117" s="424">
        <f t="shared" si="150"/>
        <v>21000</v>
      </c>
      <c r="Q117" s="424">
        <f t="shared" si="151"/>
        <v>33000</v>
      </c>
      <c r="R117" s="424">
        <f t="shared" si="152"/>
        <v>75000</v>
      </c>
      <c r="S117" s="424">
        <f t="shared" si="153"/>
        <v>95000</v>
      </c>
      <c r="T117" s="424">
        <f t="shared" si="154"/>
        <v>336000</v>
      </c>
      <c r="U117" s="424">
        <f t="shared" si="155"/>
        <v>1165639.82592</v>
      </c>
      <c r="V117" s="424">
        <f t="shared" si="156"/>
        <v>1725639.82592</v>
      </c>
      <c r="W117" s="431">
        <v>12</v>
      </c>
      <c r="X117" s="424">
        <f t="shared" si="157"/>
        <v>143803.318826667</v>
      </c>
      <c r="Y117" s="427"/>
      <c r="Z117" s="424">
        <f t="shared" si="158"/>
        <v>143803.318826667</v>
      </c>
      <c r="AA117" s="436">
        <v>98995.956938666699</v>
      </c>
      <c r="AB117" s="436">
        <f t="shared" si="159"/>
        <v>44807.361887999898</v>
      </c>
      <c r="AC117" s="436"/>
      <c r="AD117" s="436"/>
      <c r="AE117" s="436"/>
    </row>
    <row r="118" spans="1:31" ht="18" x14ac:dyDescent="0.15">
      <c r="A118" s="421"/>
      <c r="B118" s="12" t="s">
        <v>255</v>
      </c>
      <c r="C118" s="424">
        <v>936034</v>
      </c>
      <c r="D118" s="423">
        <v>12</v>
      </c>
      <c r="E118" s="424">
        <f t="shared" si="144"/>
        <v>11232408</v>
      </c>
      <c r="F118" s="424">
        <f>9678.96*12</f>
        <v>116147.52</v>
      </c>
      <c r="G118" s="425">
        <v>709636.44</v>
      </c>
      <c r="H118" s="427"/>
      <c r="I118" s="424">
        <f t="shared" si="145"/>
        <v>10406624.039999999</v>
      </c>
      <c r="J118" s="424">
        <v>200000</v>
      </c>
      <c r="K118" s="424">
        <v>0.2</v>
      </c>
      <c r="L118" s="424">
        <f t="shared" si="146"/>
        <v>2081324.808</v>
      </c>
      <c r="M118" s="424">
        <f t="shared" si="147"/>
        <v>2281324.8080000002</v>
      </c>
      <c r="N118" s="424">
        <f t="shared" si="148"/>
        <v>3107108.7680000002</v>
      </c>
      <c r="O118" s="424">
        <f t="shared" si="149"/>
        <v>8125299.2319999998</v>
      </c>
      <c r="P118" s="424">
        <f t="shared" si="150"/>
        <v>21000</v>
      </c>
      <c r="Q118" s="424">
        <f t="shared" si="151"/>
        <v>33000</v>
      </c>
      <c r="R118" s="424">
        <f t="shared" si="152"/>
        <v>75000</v>
      </c>
      <c r="S118" s="424">
        <f t="shared" si="153"/>
        <v>95000</v>
      </c>
      <c r="T118" s="424">
        <f t="shared" si="154"/>
        <v>336000</v>
      </c>
      <c r="U118" s="424">
        <f t="shared" si="155"/>
        <v>1182071.81568</v>
      </c>
      <c r="V118" s="424">
        <f t="shared" si="156"/>
        <v>1742071.81568</v>
      </c>
      <c r="W118" s="431">
        <v>12</v>
      </c>
      <c r="X118" s="424">
        <f t="shared" si="157"/>
        <v>145172.65130666699</v>
      </c>
      <c r="Y118" s="427"/>
      <c r="Z118" s="424">
        <f t="shared" si="158"/>
        <v>145172.65130666699</v>
      </c>
      <c r="AA118" s="436">
        <v>89396.103146666603</v>
      </c>
      <c r="AB118" s="436">
        <f t="shared" si="159"/>
        <v>55776.5481600001</v>
      </c>
      <c r="AC118" s="436"/>
      <c r="AD118" s="436"/>
      <c r="AE118" s="436"/>
    </row>
    <row r="119" spans="1:31" ht="18" x14ac:dyDescent="0.15">
      <c r="A119" s="421"/>
      <c r="B119" s="12" t="s">
        <v>556</v>
      </c>
      <c r="C119" s="424">
        <v>662118.08333333302</v>
      </c>
      <c r="D119" s="423">
        <v>12</v>
      </c>
      <c r="E119" s="424">
        <f t="shared" si="144"/>
        <v>7945417</v>
      </c>
      <c r="F119" s="424"/>
      <c r="G119" s="425">
        <v>0</v>
      </c>
      <c r="H119" s="427"/>
      <c r="I119" s="424">
        <f t="shared" si="145"/>
        <v>7945417</v>
      </c>
      <c r="J119" s="424">
        <v>200000</v>
      </c>
      <c r="K119" s="424">
        <v>0.2</v>
      </c>
      <c r="L119" s="424">
        <f t="shared" si="146"/>
        <v>1589083.4</v>
      </c>
      <c r="M119" s="424">
        <f t="shared" si="147"/>
        <v>1789083.4</v>
      </c>
      <c r="N119" s="424">
        <f t="shared" si="148"/>
        <v>1789083.4</v>
      </c>
      <c r="O119" s="424">
        <f t="shared" si="149"/>
        <v>6156333.5999999996</v>
      </c>
      <c r="P119" s="424">
        <f t="shared" si="150"/>
        <v>21000</v>
      </c>
      <c r="Q119" s="424">
        <f t="shared" si="151"/>
        <v>33000</v>
      </c>
      <c r="R119" s="424">
        <f t="shared" si="152"/>
        <v>75000</v>
      </c>
      <c r="S119" s="424">
        <f t="shared" si="153"/>
        <v>95000</v>
      </c>
      <c r="T119" s="424">
        <f t="shared" si="154"/>
        <v>336000</v>
      </c>
      <c r="U119" s="424">
        <f t="shared" si="155"/>
        <v>709520.06399999897</v>
      </c>
      <c r="V119" s="424">
        <f t="shared" si="156"/>
        <v>1269520.064</v>
      </c>
      <c r="W119" s="431">
        <v>12</v>
      </c>
      <c r="X119" s="424">
        <f t="shared" si="157"/>
        <v>105793.338666667</v>
      </c>
      <c r="Y119" s="427"/>
      <c r="Z119" s="424">
        <f t="shared" si="158"/>
        <v>105793.338666667</v>
      </c>
      <c r="AA119" s="436">
        <v>60214.677290666703</v>
      </c>
      <c r="AB119" s="436">
        <f t="shared" si="159"/>
        <v>45578.661375999902</v>
      </c>
      <c r="AC119" s="436"/>
      <c r="AD119" s="436"/>
      <c r="AE119" s="436"/>
    </row>
    <row r="120" spans="1:31" ht="18" x14ac:dyDescent="0.15">
      <c r="A120" s="421">
        <v>101</v>
      </c>
      <c r="B120" s="9" t="s">
        <v>257</v>
      </c>
      <c r="C120" s="424">
        <v>540498</v>
      </c>
      <c r="D120" s="423">
        <v>12</v>
      </c>
      <c r="E120" s="424">
        <f t="shared" si="144"/>
        <v>6485976</v>
      </c>
      <c r="F120" s="424"/>
      <c r="G120" s="425">
        <v>451678.08</v>
      </c>
      <c r="H120" s="427"/>
      <c r="I120" s="424">
        <f t="shared" si="145"/>
        <v>6034297.9199999999</v>
      </c>
      <c r="J120" s="424">
        <v>200000</v>
      </c>
      <c r="K120" s="424">
        <v>0.2</v>
      </c>
      <c r="L120" s="424">
        <f t="shared" si="146"/>
        <v>1206859.584</v>
      </c>
      <c r="M120" s="424">
        <f t="shared" si="147"/>
        <v>1406859.584</v>
      </c>
      <c r="N120" s="424">
        <f t="shared" si="148"/>
        <v>1858537.6640000001</v>
      </c>
      <c r="O120" s="424">
        <f t="shared" si="149"/>
        <v>4627438.3360000001</v>
      </c>
      <c r="P120" s="424">
        <f t="shared" si="150"/>
        <v>21000</v>
      </c>
      <c r="Q120" s="424">
        <f t="shared" si="151"/>
        <v>33000</v>
      </c>
      <c r="R120" s="424">
        <f t="shared" si="152"/>
        <v>75000</v>
      </c>
      <c r="S120" s="424">
        <f t="shared" si="153"/>
        <v>95000</v>
      </c>
      <c r="T120" s="424">
        <f t="shared" si="154"/>
        <v>336000</v>
      </c>
      <c r="U120" s="424">
        <f t="shared" si="155"/>
        <v>342585.20064</v>
      </c>
      <c r="V120" s="424">
        <f t="shared" si="156"/>
        <v>902585.20064000005</v>
      </c>
      <c r="W120" s="431">
        <v>12</v>
      </c>
      <c r="X120" s="424">
        <f t="shared" si="157"/>
        <v>75215.4333866667</v>
      </c>
      <c r="Y120" s="427"/>
      <c r="Z120" s="424">
        <f t="shared" si="158"/>
        <v>75215.4333866667</v>
      </c>
      <c r="AA120" s="436">
        <v>44846.6165886667</v>
      </c>
      <c r="AB120" s="436">
        <f t="shared" si="159"/>
        <v>30368.816798</v>
      </c>
      <c r="AC120" s="436"/>
      <c r="AD120" s="436"/>
      <c r="AE120" s="436"/>
    </row>
    <row r="121" spans="1:31" ht="18" x14ac:dyDescent="0.15">
      <c r="A121" s="421">
        <v>103</v>
      </c>
      <c r="B121" s="9" t="s">
        <v>259</v>
      </c>
      <c r="C121" s="424">
        <v>512746.5</v>
      </c>
      <c r="D121" s="423">
        <v>12</v>
      </c>
      <c r="E121" s="424">
        <f t="shared" si="144"/>
        <v>6152958</v>
      </c>
      <c r="F121" s="430">
        <f>646.3525*12</f>
        <v>7756.23</v>
      </c>
      <c r="G121" s="425">
        <v>425036.64</v>
      </c>
      <c r="H121" s="427"/>
      <c r="I121" s="424">
        <f t="shared" si="145"/>
        <v>5720165.1299999999</v>
      </c>
      <c r="J121" s="424">
        <v>200000</v>
      </c>
      <c r="K121" s="424">
        <v>0.2</v>
      </c>
      <c r="L121" s="424">
        <f t="shared" si="146"/>
        <v>1144033.0260000001</v>
      </c>
      <c r="M121" s="424">
        <f t="shared" si="147"/>
        <v>1344033.0260000001</v>
      </c>
      <c r="N121" s="424">
        <f t="shared" si="148"/>
        <v>1776825.8959999999</v>
      </c>
      <c r="O121" s="424">
        <f t="shared" si="149"/>
        <v>4376132.1040000003</v>
      </c>
      <c r="P121" s="424">
        <f t="shared" si="150"/>
        <v>21000</v>
      </c>
      <c r="Q121" s="424">
        <f t="shared" si="151"/>
        <v>33000</v>
      </c>
      <c r="R121" s="424">
        <f t="shared" si="152"/>
        <v>75000</v>
      </c>
      <c r="S121" s="424">
        <f t="shared" si="153"/>
        <v>95000</v>
      </c>
      <c r="T121" s="424">
        <f t="shared" si="154"/>
        <v>336000</v>
      </c>
      <c r="U121" s="424">
        <f t="shared" si="155"/>
        <v>282271.70496</v>
      </c>
      <c r="V121" s="424">
        <f t="shared" si="156"/>
        <v>842271.70496</v>
      </c>
      <c r="W121" s="431">
        <v>12</v>
      </c>
      <c r="X121" s="424">
        <f t="shared" si="157"/>
        <v>70189.308746666706</v>
      </c>
      <c r="Y121" s="427"/>
      <c r="Z121" s="424">
        <f t="shared" si="158"/>
        <v>70189.308746666706</v>
      </c>
      <c r="AA121" s="436">
        <v>42029.589186666701</v>
      </c>
      <c r="AB121" s="436">
        <f t="shared" si="159"/>
        <v>28159.719560000001</v>
      </c>
      <c r="AC121" s="436"/>
      <c r="AD121" s="436"/>
      <c r="AE121" s="436"/>
    </row>
    <row r="122" spans="1:31" ht="18" x14ac:dyDescent="0.15">
      <c r="A122" s="421">
        <v>105</v>
      </c>
      <c r="B122" s="9" t="s">
        <v>260</v>
      </c>
      <c r="C122" s="424">
        <v>526622.25</v>
      </c>
      <c r="D122" s="423">
        <v>12</v>
      </c>
      <c r="E122" s="424">
        <f t="shared" si="144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5"/>
        <v>5873089.8449999997</v>
      </c>
      <c r="J122" s="424">
        <v>200000</v>
      </c>
      <c r="K122" s="424">
        <v>0.2</v>
      </c>
      <c r="L122" s="424">
        <f t="shared" si="146"/>
        <v>1174617.969</v>
      </c>
      <c r="M122" s="424">
        <f t="shared" si="147"/>
        <v>1374617.969</v>
      </c>
      <c r="N122" s="424">
        <f t="shared" si="148"/>
        <v>1820995.1240000001</v>
      </c>
      <c r="O122" s="424">
        <f t="shared" si="149"/>
        <v>4498471.8760000002</v>
      </c>
      <c r="P122" s="424">
        <f t="shared" si="150"/>
        <v>21000</v>
      </c>
      <c r="Q122" s="424">
        <f t="shared" si="151"/>
        <v>33000</v>
      </c>
      <c r="R122" s="424">
        <f t="shared" si="152"/>
        <v>75000</v>
      </c>
      <c r="S122" s="424">
        <f t="shared" si="153"/>
        <v>95000</v>
      </c>
      <c r="T122" s="424">
        <f t="shared" si="154"/>
        <v>336000</v>
      </c>
      <c r="U122" s="424">
        <f t="shared" si="155"/>
        <v>311633.25024000002</v>
      </c>
      <c r="V122" s="424">
        <f t="shared" si="156"/>
        <v>871633.25023999996</v>
      </c>
      <c r="W122" s="431">
        <v>12</v>
      </c>
      <c r="X122" s="424">
        <f t="shared" si="157"/>
        <v>72636.104186666693</v>
      </c>
      <c r="Y122" s="427"/>
      <c r="Z122" s="424">
        <f t="shared" si="158"/>
        <v>72636.104186666693</v>
      </c>
      <c r="AA122" s="436">
        <v>43380.096246666697</v>
      </c>
      <c r="AB122" s="436">
        <f t="shared" si="159"/>
        <v>29256.00794</v>
      </c>
      <c r="AC122" s="436"/>
      <c r="AD122" s="436"/>
      <c r="AE122" s="436"/>
    </row>
    <row r="123" spans="1:31" ht="18" x14ac:dyDescent="0.15">
      <c r="A123" s="421">
        <v>106</v>
      </c>
      <c r="B123" s="9" t="s">
        <v>263</v>
      </c>
      <c r="C123" s="424">
        <v>330481.66666666698</v>
      </c>
      <c r="D123" s="423">
        <v>12</v>
      </c>
      <c r="E123" s="424">
        <f t="shared" si="144"/>
        <v>3965780</v>
      </c>
      <c r="F123" s="424"/>
      <c r="G123" s="425">
        <v>259662.4</v>
      </c>
      <c r="H123" s="427"/>
      <c r="I123" s="424">
        <f t="shared" si="145"/>
        <v>3706117.6</v>
      </c>
      <c r="J123" s="424">
        <v>200000</v>
      </c>
      <c r="K123" s="424">
        <v>0.2</v>
      </c>
      <c r="L123" s="424">
        <f t="shared" si="146"/>
        <v>741223.52000000095</v>
      </c>
      <c r="M123" s="424">
        <f t="shared" si="147"/>
        <v>941223.52000000095</v>
      </c>
      <c r="N123" s="424">
        <f t="shared" si="148"/>
        <v>1200885.92</v>
      </c>
      <c r="O123" s="424">
        <f t="shared" si="149"/>
        <v>2764894.08</v>
      </c>
      <c r="P123" s="424">
        <f t="shared" si="150"/>
        <v>21000</v>
      </c>
      <c r="Q123" s="424">
        <f t="shared" si="151"/>
        <v>33000</v>
      </c>
      <c r="R123" s="424">
        <f t="shared" si="152"/>
        <v>75000</v>
      </c>
      <c r="S123" s="424">
        <f t="shared" si="153"/>
        <v>95000</v>
      </c>
      <c r="T123" s="424">
        <f t="shared" si="154"/>
        <v>244627.75680000099</v>
      </c>
      <c r="U123" s="424"/>
      <c r="V123" s="424">
        <f t="shared" si="156"/>
        <v>468627.75680000102</v>
      </c>
      <c r="W123" s="431">
        <v>12</v>
      </c>
      <c r="X123" s="424">
        <f t="shared" si="157"/>
        <v>39052.313066666698</v>
      </c>
      <c r="Y123" s="427"/>
      <c r="Z123" s="424">
        <f t="shared" si="158"/>
        <v>39052.313066666698</v>
      </c>
      <c r="AA123" s="436">
        <v>23036.012346666699</v>
      </c>
      <c r="AB123" s="436">
        <f t="shared" si="159"/>
        <v>16016.300719999999</v>
      </c>
      <c r="AC123" s="436"/>
      <c r="AD123" s="436"/>
      <c r="AE123" s="436"/>
    </row>
    <row r="124" spans="1:31" ht="18" x14ac:dyDescent="0.15">
      <c r="A124" s="421">
        <v>107</v>
      </c>
      <c r="B124" s="16" t="s">
        <v>265</v>
      </c>
      <c r="C124" s="424">
        <v>274459.75</v>
      </c>
      <c r="D124" s="423">
        <v>12</v>
      </c>
      <c r="E124" s="424">
        <f t="shared" si="144"/>
        <v>3293517</v>
      </c>
      <c r="F124" s="424"/>
      <c r="G124" s="425">
        <v>215481.36</v>
      </c>
      <c r="H124" s="427"/>
      <c r="I124" s="424">
        <f t="shared" si="145"/>
        <v>3078035.64</v>
      </c>
      <c r="J124" s="424">
        <v>200000</v>
      </c>
      <c r="K124" s="424">
        <v>0.2</v>
      </c>
      <c r="L124" s="424">
        <f t="shared" si="146"/>
        <v>615607.12800000003</v>
      </c>
      <c r="M124" s="424">
        <f t="shared" si="147"/>
        <v>815607.12800000003</v>
      </c>
      <c r="N124" s="424">
        <f t="shared" si="148"/>
        <v>1031088.488</v>
      </c>
      <c r="O124" s="424">
        <f t="shared" si="149"/>
        <v>2262428.5120000001</v>
      </c>
      <c r="P124" s="424">
        <f t="shared" si="150"/>
        <v>21000</v>
      </c>
      <c r="Q124" s="424">
        <f t="shared" si="151"/>
        <v>33000</v>
      </c>
      <c r="R124" s="424">
        <f t="shared" si="152"/>
        <v>75000</v>
      </c>
      <c r="S124" s="424">
        <f t="shared" si="153"/>
        <v>95000</v>
      </c>
      <c r="T124" s="424">
        <f t="shared" si="154"/>
        <v>139109.98752</v>
      </c>
      <c r="U124" s="424"/>
      <c r="V124" s="424">
        <f t="shared" si="156"/>
        <v>363109.98752000002</v>
      </c>
      <c r="W124" s="431">
        <v>12</v>
      </c>
      <c r="X124" s="424">
        <f t="shared" si="157"/>
        <v>30259.165626666701</v>
      </c>
      <c r="Y124" s="427"/>
      <c r="Z124" s="424">
        <f t="shared" si="158"/>
        <v>30259.165626666701</v>
      </c>
      <c r="AA124" s="436">
        <v>17042.713866666702</v>
      </c>
      <c r="AB124" s="436">
        <f t="shared" si="159"/>
        <v>13216.45176</v>
      </c>
      <c r="AC124" s="436"/>
      <c r="AD124" s="436"/>
      <c r="AE124" s="436"/>
    </row>
    <row r="125" spans="1:31" ht="18" x14ac:dyDescent="0.15">
      <c r="A125" s="421">
        <v>108</v>
      </c>
      <c r="B125" s="16" t="s">
        <v>267</v>
      </c>
      <c r="C125" s="424">
        <v>274459.75</v>
      </c>
      <c r="D125" s="423">
        <v>12</v>
      </c>
      <c r="E125" s="424">
        <f t="shared" si="144"/>
        <v>3293517</v>
      </c>
      <c r="F125" s="424"/>
      <c r="G125" s="425">
        <v>215481.36</v>
      </c>
      <c r="H125" s="427"/>
      <c r="I125" s="424">
        <f t="shared" si="145"/>
        <v>3078035.64</v>
      </c>
      <c r="J125" s="424">
        <v>200000</v>
      </c>
      <c r="K125" s="424">
        <v>0.2</v>
      </c>
      <c r="L125" s="424">
        <f t="shared" si="146"/>
        <v>615607.12800000003</v>
      </c>
      <c r="M125" s="424">
        <f t="shared" si="147"/>
        <v>815607.12800000003</v>
      </c>
      <c r="N125" s="424">
        <f t="shared" si="148"/>
        <v>1031088.488</v>
      </c>
      <c r="O125" s="424">
        <f t="shared" si="149"/>
        <v>2262428.5120000001</v>
      </c>
      <c r="P125" s="424">
        <f t="shared" si="150"/>
        <v>21000</v>
      </c>
      <c r="Q125" s="424">
        <f t="shared" si="151"/>
        <v>33000</v>
      </c>
      <c r="R125" s="424">
        <f t="shared" si="152"/>
        <v>75000</v>
      </c>
      <c r="S125" s="424">
        <f t="shared" si="153"/>
        <v>95000</v>
      </c>
      <c r="T125" s="424">
        <f t="shared" si="154"/>
        <v>139109.98752</v>
      </c>
      <c r="U125" s="424"/>
      <c r="V125" s="424">
        <f t="shared" si="156"/>
        <v>363109.98752000002</v>
      </c>
      <c r="W125" s="431">
        <v>12</v>
      </c>
      <c r="X125" s="424">
        <f t="shared" si="157"/>
        <v>30259.165626666701</v>
      </c>
      <c r="Y125" s="427"/>
      <c r="Z125" s="424">
        <f t="shared" si="158"/>
        <v>30259.165626666701</v>
      </c>
      <c r="AA125" s="436">
        <v>17042.713866666702</v>
      </c>
      <c r="AB125" s="436">
        <f t="shared" si="159"/>
        <v>13216.45176</v>
      </c>
      <c r="AC125" s="436"/>
      <c r="AD125" s="436"/>
      <c r="AE125" s="436"/>
    </row>
    <row r="126" spans="1:31" ht="18" x14ac:dyDescent="0.1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" x14ac:dyDescent="0.2">
      <c r="A127" s="421">
        <v>110</v>
      </c>
      <c r="B127" s="20"/>
      <c r="C127" s="424"/>
      <c r="U127" s="437"/>
      <c r="AC127" s="436"/>
      <c r="AD127" s="436"/>
      <c r="AE127" s="436"/>
    </row>
    <row r="128" spans="1:31" ht="18" x14ac:dyDescent="0.15">
      <c r="A128" s="421">
        <v>111</v>
      </c>
      <c r="B128" s="18" t="s">
        <v>270</v>
      </c>
      <c r="C128" s="424"/>
      <c r="U128" s="437"/>
      <c r="AC128" s="436"/>
      <c r="AD128" s="436"/>
      <c r="AE128" s="436"/>
    </row>
    <row r="129" spans="1:31" ht="18" x14ac:dyDescent="0.15">
      <c r="A129" s="421">
        <v>112</v>
      </c>
      <c r="B129" s="9" t="s">
        <v>557</v>
      </c>
      <c r="C129" s="424">
        <v>1535720</v>
      </c>
      <c r="D129" s="423">
        <v>12</v>
      </c>
      <c r="E129" s="424">
        <f t="shared" ref="E129:E187" si="160">C129*D129</f>
        <v>18428640</v>
      </c>
      <c r="F129" s="424"/>
      <c r="G129" s="425">
        <v>1378291.2</v>
      </c>
      <c r="H129" s="427"/>
      <c r="I129" s="424">
        <f t="shared" ref="I129:I187" si="161">E129-F129-G129-H129</f>
        <v>17050348.800000001</v>
      </c>
      <c r="J129" s="424">
        <v>200000</v>
      </c>
      <c r="K129" s="424">
        <v>0.2</v>
      </c>
      <c r="L129" s="424">
        <f t="shared" ref="L129:L187" si="162">I129*K129</f>
        <v>3410069.76</v>
      </c>
      <c r="M129" s="424">
        <f t="shared" ref="M129:M187" si="163">J129+L129</f>
        <v>3610069.76</v>
      </c>
      <c r="N129" s="424">
        <f t="shared" ref="N129:N187" si="164">F129+G129+H129+M129</f>
        <v>4988360.96</v>
      </c>
      <c r="O129" s="424">
        <f t="shared" ref="O129:O187" si="165">E129-N129</f>
        <v>13440279.039999999</v>
      </c>
      <c r="P129" s="424">
        <f t="shared" ref="P129:P187" si="166">IF(O129&lt;300000,0.07*O129,21000)</f>
        <v>21000</v>
      </c>
      <c r="Q129" s="424">
        <f t="shared" ref="Q129:Q187" si="167">IF((O129-300000)&lt;0,0,IF((O129-300000)&lt;300000,0.11*(O129-300000),33000))</f>
        <v>33000</v>
      </c>
      <c r="R129" s="424">
        <f t="shared" ref="R129:R187" si="168">IF((O129-600000)&lt;0,0,IF((O129-600000)&lt;500000,0.15*(O129-600000),75000))</f>
        <v>75000</v>
      </c>
      <c r="S129" s="424">
        <f t="shared" ref="S129:S187" si="169">IF((O129-1100000)&lt;0,0,IF((O129-1100000)&lt;500000,0.19*(O129-1100000),95000))</f>
        <v>95000</v>
      </c>
      <c r="T129" s="424">
        <f t="shared" ref="T129:T187" si="170">IF((O129-1600000)&lt;0,0,IF((O129-1600000)&lt;1600000,0.21*(O129-1600000),336000))</f>
        <v>336000</v>
      </c>
      <c r="U129" s="424">
        <f t="shared" ref="U129:U141" si="171">0.24*(O129-3200000)</f>
        <v>2457666.9696</v>
      </c>
      <c r="V129" s="424">
        <f t="shared" ref="V129:V187" si="172">P129+Q129+R129+S129+T129+U129</f>
        <v>3017666.9696</v>
      </c>
      <c r="W129" s="431">
        <v>12</v>
      </c>
      <c r="X129" s="424">
        <f t="shared" ref="X129:X187" si="173">V129/W129</f>
        <v>251472.247466667</v>
      </c>
      <c r="Y129" s="427"/>
      <c r="Z129" s="424">
        <f t="shared" ref="Z129:Z187" si="174">X129</f>
        <v>251472.247466667</v>
      </c>
      <c r="AA129" s="436">
        <v>161106.806858667</v>
      </c>
      <c r="AB129" s="436">
        <f t="shared" ref="AB129:AB187" si="175">Z129-AA129</f>
        <v>90365.440607999597</v>
      </c>
      <c r="AC129" s="436"/>
      <c r="AD129" s="436"/>
      <c r="AE129" s="436"/>
    </row>
    <row r="130" spans="1:31" ht="18" x14ac:dyDescent="0.15">
      <c r="A130" s="421">
        <v>113</v>
      </c>
      <c r="B130" s="9" t="s">
        <v>559</v>
      </c>
      <c r="C130" s="424">
        <v>852373.16666666698</v>
      </c>
      <c r="D130" s="423">
        <v>12</v>
      </c>
      <c r="E130" s="424">
        <f t="shared" si="160"/>
        <v>10228478</v>
      </c>
      <c r="F130" s="424"/>
      <c r="G130" s="425">
        <v>0</v>
      </c>
      <c r="H130" s="427"/>
      <c r="I130" s="424">
        <f t="shared" si="161"/>
        <v>10228478</v>
      </c>
      <c r="J130" s="424">
        <v>200000</v>
      </c>
      <c r="K130" s="424">
        <v>0.2</v>
      </c>
      <c r="L130" s="424">
        <f t="shared" si="162"/>
        <v>2045695.6</v>
      </c>
      <c r="M130" s="424">
        <f t="shared" si="163"/>
        <v>2245695.6</v>
      </c>
      <c r="N130" s="424">
        <f t="shared" si="164"/>
        <v>2245695.6</v>
      </c>
      <c r="O130" s="424">
        <f t="shared" si="165"/>
        <v>7982782.4000000004</v>
      </c>
      <c r="P130" s="424">
        <f t="shared" si="166"/>
        <v>21000</v>
      </c>
      <c r="Q130" s="424">
        <f t="shared" si="167"/>
        <v>33000</v>
      </c>
      <c r="R130" s="424">
        <f t="shared" si="168"/>
        <v>75000</v>
      </c>
      <c r="S130" s="424">
        <f t="shared" si="169"/>
        <v>95000</v>
      </c>
      <c r="T130" s="424">
        <f t="shared" si="170"/>
        <v>336000</v>
      </c>
      <c r="U130" s="424">
        <f t="shared" si="171"/>
        <v>1147867.7760000001</v>
      </c>
      <c r="V130" s="424">
        <f t="shared" si="172"/>
        <v>1707867.7760000001</v>
      </c>
      <c r="W130" s="431">
        <v>12</v>
      </c>
      <c r="X130" s="424">
        <f t="shared" si="173"/>
        <v>142322.31466666699</v>
      </c>
      <c r="Y130" s="427"/>
      <c r="Z130" s="424">
        <f t="shared" si="174"/>
        <v>142322.31466666699</v>
      </c>
      <c r="AA130" s="436">
        <v>82627.951418666693</v>
      </c>
      <c r="AB130" s="436">
        <f t="shared" si="175"/>
        <v>59694.363248000001</v>
      </c>
      <c r="AC130" s="436"/>
      <c r="AD130" s="436"/>
      <c r="AE130" s="436"/>
    </row>
    <row r="131" spans="1:31" ht="18" x14ac:dyDescent="0.15">
      <c r="A131" s="421">
        <v>114</v>
      </c>
      <c r="B131" s="12" t="s">
        <v>274</v>
      </c>
      <c r="C131" s="424">
        <v>902373.16666666698</v>
      </c>
      <c r="D131" s="423">
        <v>12</v>
      </c>
      <c r="E131" s="424">
        <f t="shared" si="160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1"/>
        <v>10083803.809</v>
      </c>
      <c r="J131" s="424">
        <v>200000</v>
      </c>
      <c r="K131" s="424">
        <v>0.2</v>
      </c>
      <c r="L131" s="424">
        <f t="shared" si="162"/>
        <v>2016760.7618</v>
      </c>
      <c r="M131" s="424">
        <f t="shared" si="163"/>
        <v>2216760.7618</v>
      </c>
      <c r="N131" s="424">
        <f t="shared" si="164"/>
        <v>2961434.9528000001</v>
      </c>
      <c r="O131" s="424">
        <f t="shared" si="165"/>
        <v>7867043.0471999999</v>
      </c>
      <c r="P131" s="424">
        <f t="shared" si="166"/>
        <v>21000</v>
      </c>
      <c r="Q131" s="424">
        <f t="shared" si="167"/>
        <v>33000</v>
      </c>
      <c r="R131" s="424">
        <f t="shared" si="168"/>
        <v>75000</v>
      </c>
      <c r="S131" s="424">
        <f t="shared" si="169"/>
        <v>95000</v>
      </c>
      <c r="T131" s="424">
        <f t="shared" si="170"/>
        <v>336000</v>
      </c>
      <c r="U131" s="424">
        <f t="shared" si="171"/>
        <v>1120090.3313279999</v>
      </c>
      <c r="V131" s="424">
        <f t="shared" si="172"/>
        <v>1680090.3313279999</v>
      </c>
      <c r="W131" s="431">
        <v>12</v>
      </c>
      <c r="X131" s="424">
        <f t="shared" si="173"/>
        <v>140007.52761066699</v>
      </c>
      <c r="Y131" s="427"/>
      <c r="Z131" s="424">
        <f t="shared" si="174"/>
        <v>140007.52761066699</v>
      </c>
      <c r="AA131" s="436">
        <v>92023.216202666707</v>
      </c>
      <c r="AB131" s="436">
        <f t="shared" si="175"/>
        <v>47984.311408000001</v>
      </c>
      <c r="AC131" s="436"/>
      <c r="AD131" s="436"/>
      <c r="AE131" s="436"/>
    </row>
    <row r="132" spans="1:31" ht="18" x14ac:dyDescent="0.15">
      <c r="A132" s="421">
        <v>115</v>
      </c>
      <c r="B132" s="9" t="s">
        <v>276</v>
      </c>
      <c r="C132" s="424">
        <v>554373.75</v>
      </c>
      <c r="D132" s="423">
        <v>12</v>
      </c>
      <c r="E132" s="424">
        <f t="shared" si="160"/>
        <v>6652485</v>
      </c>
      <c r="F132" s="424">
        <f t="shared" ref="F132:F134" si="176">712.24525*12</f>
        <v>8546.9429999999993</v>
      </c>
      <c r="G132" s="425">
        <v>464998.8</v>
      </c>
      <c r="H132" s="427"/>
      <c r="I132" s="424">
        <f t="shared" si="161"/>
        <v>6178939.2570000002</v>
      </c>
      <c r="J132" s="424">
        <v>200000</v>
      </c>
      <c r="K132" s="424">
        <v>0.2</v>
      </c>
      <c r="L132" s="424">
        <f t="shared" si="162"/>
        <v>1235787.8514</v>
      </c>
      <c r="M132" s="424">
        <f t="shared" si="163"/>
        <v>1435787.8514</v>
      </c>
      <c r="N132" s="424">
        <f t="shared" si="164"/>
        <v>1909333.5944000001</v>
      </c>
      <c r="O132" s="424">
        <f t="shared" si="165"/>
        <v>4743151.4056000002</v>
      </c>
      <c r="P132" s="424">
        <f t="shared" si="166"/>
        <v>21000</v>
      </c>
      <c r="Q132" s="424">
        <f t="shared" si="167"/>
        <v>33000</v>
      </c>
      <c r="R132" s="424">
        <f t="shared" si="168"/>
        <v>75000</v>
      </c>
      <c r="S132" s="424">
        <f t="shared" si="169"/>
        <v>95000</v>
      </c>
      <c r="T132" s="424">
        <f t="shared" si="170"/>
        <v>336000</v>
      </c>
      <c r="U132" s="424">
        <f t="shared" si="171"/>
        <v>370356.337344</v>
      </c>
      <c r="V132" s="424">
        <f t="shared" si="172"/>
        <v>930356.337344</v>
      </c>
      <c r="W132" s="431">
        <v>12</v>
      </c>
      <c r="X132" s="424">
        <f t="shared" si="173"/>
        <v>77529.694778666701</v>
      </c>
      <c r="Y132" s="427"/>
      <c r="Z132" s="424">
        <f t="shared" si="174"/>
        <v>77529.694778666701</v>
      </c>
      <c r="AA132" s="436">
        <v>46081.202598666699</v>
      </c>
      <c r="AB132" s="436">
        <f t="shared" si="175"/>
        <v>31448.492180000001</v>
      </c>
      <c r="AC132" s="436"/>
      <c r="AD132" s="436"/>
      <c r="AE132" s="436"/>
    </row>
    <row r="133" spans="1:31" ht="18" x14ac:dyDescent="0.15">
      <c r="A133" s="421">
        <v>116</v>
      </c>
      <c r="B133" s="9" t="s">
        <v>278</v>
      </c>
      <c r="C133" s="424">
        <v>554373.75</v>
      </c>
      <c r="D133" s="423">
        <v>12</v>
      </c>
      <c r="E133" s="424">
        <f t="shared" si="160"/>
        <v>6652485</v>
      </c>
      <c r="F133" s="424">
        <f t="shared" si="176"/>
        <v>8546.9429999999993</v>
      </c>
      <c r="G133" s="425">
        <v>464998.8</v>
      </c>
      <c r="H133" s="427"/>
      <c r="I133" s="424">
        <f t="shared" si="161"/>
        <v>6178939.2570000002</v>
      </c>
      <c r="J133" s="424">
        <v>200000</v>
      </c>
      <c r="K133" s="424">
        <v>0.2</v>
      </c>
      <c r="L133" s="424">
        <f t="shared" si="162"/>
        <v>1235787.8514</v>
      </c>
      <c r="M133" s="424">
        <f t="shared" si="163"/>
        <v>1435787.8514</v>
      </c>
      <c r="N133" s="424">
        <f t="shared" si="164"/>
        <v>1909333.5944000001</v>
      </c>
      <c r="O133" s="424">
        <f t="shared" si="165"/>
        <v>4743151.4056000002</v>
      </c>
      <c r="P133" s="424">
        <f t="shared" si="166"/>
        <v>21000</v>
      </c>
      <c r="Q133" s="424">
        <f t="shared" si="167"/>
        <v>33000</v>
      </c>
      <c r="R133" s="424">
        <f t="shared" si="168"/>
        <v>75000</v>
      </c>
      <c r="S133" s="424">
        <f t="shared" si="169"/>
        <v>95000</v>
      </c>
      <c r="T133" s="424">
        <f t="shared" si="170"/>
        <v>336000</v>
      </c>
      <c r="U133" s="424">
        <f t="shared" si="171"/>
        <v>370356.337344</v>
      </c>
      <c r="V133" s="424">
        <f t="shared" si="172"/>
        <v>930356.337344</v>
      </c>
      <c r="W133" s="431">
        <v>12</v>
      </c>
      <c r="X133" s="424">
        <f t="shared" si="173"/>
        <v>77529.694778666701</v>
      </c>
      <c r="Y133" s="427"/>
      <c r="Z133" s="424">
        <f t="shared" si="174"/>
        <v>77529.694778666701</v>
      </c>
      <c r="AA133" s="436">
        <v>46081.202598666699</v>
      </c>
      <c r="AB133" s="436">
        <f t="shared" si="175"/>
        <v>31448.492180000001</v>
      </c>
      <c r="AC133" s="436"/>
      <c r="AD133" s="436"/>
      <c r="AE133" s="436"/>
    </row>
    <row r="134" spans="1:31" ht="18" x14ac:dyDescent="0.15">
      <c r="A134" s="421">
        <v>117</v>
      </c>
      <c r="B134" s="9" t="s">
        <v>280</v>
      </c>
      <c r="C134" s="424">
        <v>554373.75</v>
      </c>
      <c r="D134" s="423">
        <v>12</v>
      </c>
      <c r="E134" s="424">
        <f t="shared" si="160"/>
        <v>6652485</v>
      </c>
      <c r="F134" s="424">
        <f t="shared" si="176"/>
        <v>8546.9429999999993</v>
      </c>
      <c r="G134" s="425">
        <v>464998.8</v>
      </c>
      <c r="H134" s="427"/>
      <c r="I134" s="424">
        <f t="shared" si="161"/>
        <v>6178939.2570000002</v>
      </c>
      <c r="J134" s="424">
        <v>200000</v>
      </c>
      <c r="K134" s="424">
        <v>0.2</v>
      </c>
      <c r="L134" s="424">
        <f t="shared" si="162"/>
        <v>1235787.8514</v>
      </c>
      <c r="M134" s="424">
        <f t="shared" si="163"/>
        <v>1435787.8514</v>
      </c>
      <c r="N134" s="424">
        <f t="shared" si="164"/>
        <v>1909333.5944000001</v>
      </c>
      <c r="O134" s="424">
        <f t="shared" si="165"/>
        <v>4743151.4056000002</v>
      </c>
      <c r="P134" s="424">
        <f t="shared" si="166"/>
        <v>21000</v>
      </c>
      <c r="Q134" s="424">
        <f t="shared" si="167"/>
        <v>33000</v>
      </c>
      <c r="R134" s="424">
        <f t="shared" si="168"/>
        <v>75000</v>
      </c>
      <c r="S134" s="424">
        <f t="shared" si="169"/>
        <v>95000</v>
      </c>
      <c r="T134" s="424">
        <f t="shared" si="170"/>
        <v>336000</v>
      </c>
      <c r="U134" s="424">
        <f t="shared" si="171"/>
        <v>370356.337344</v>
      </c>
      <c r="V134" s="424">
        <f t="shared" si="172"/>
        <v>930356.337344</v>
      </c>
      <c r="W134" s="431">
        <v>12</v>
      </c>
      <c r="X134" s="424">
        <f t="shared" si="173"/>
        <v>77529.694778666701</v>
      </c>
      <c r="Y134" s="427"/>
      <c r="Z134" s="424">
        <f t="shared" si="174"/>
        <v>77529.694778666701</v>
      </c>
      <c r="AA134" s="436">
        <v>46081.202598666699</v>
      </c>
      <c r="AB134" s="436">
        <f t="shared" si="175"/>
        <v>31448.492180000001</v>
      </c>
      <c r="AC134" s="436"/>
      <c r="AD134" s="436"/>
      <c r="AE134" s="436"/>
    </row>
    <row r="135" spans="1:31" ht="18" x14ac:dyDescent="0.15">
      <c r="A135" s="421">
        <v>118</v>
      </c>
      <c r="B135" s="9" t="s">
        <v>213</v>
      </c>
      <c r="C135" s="424">
        <v>450086.5</v>
      </c>
      <c r="D135" s="423">
        <v>12</v>
      </c>
      <c r="E135" s="424">
        <f t="shared" si="160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1"/>
        <v>5019635.5049999999</v>
      </c>
      <c r="J135" s="424">
        <v>200000</v>
      </c>
      <c r="K135" s="424">
        <v>0.2</v>
      </c>
      <c r="L135" s="424">
        <f t="shared" si="162"/>
        <v>1003927.101</v>
      </c>
      <c r="M135" s="424">
        <f t="shared" si="163"/>
        <v>1203927.101</v>
      </c>
      <c r="N135" s="424">
        <f t="shared" si="164"/>
        <v>1585329.5959999999</v>
      </c>
      <c r="O135" s="424">
        <f t="shared" si="165"/>
        <v>3815708.4040000001</v>
      </c>
      <c r="P135" s="424">
        <f t="shared" si="166"/>
        <v>21000</v>
      </c>
      <c r="Q135" s="424">
        <f t="shared" si="167"/>
        <v>33000</v>
      </c>
      <c r="R135" s="424">
        <f t="shared" si="168"/>
        <v>75000</v>
      </c>
      <c r="S135" s="424">
        <f t="shared" si="169"/>
        <v>95000</v>
      </c>
      <c r="T135" s="424">
        <f t="shared" si="170"/>
        <v>336000</v>
      </c>
      <c r="U135" s="424">
        <f t="shared" si="171"/>
        <v>147770.01696000001</v>
      </c>
      <c r="V135" s="424">
        <f t="shared" si="172"/>
        <v>707770.01696000004</v>
      </c>
      <c r="W135" s="431">
        <v>12</v>
      </c>
      <c r="X135" s="424">
        <f t="shared" si="173"/>
        <v>58980.834746666696</v>
      </c>
      <c r="Y135" s="427"/>
      <c r="Z135" s="424">
        <f t="shared" si="174"/>
        <v>58980.834746666696</v>
      </c>
      <c r="AA135" s="436">
        <v>35221.954086666701</v>
      </c>
      <c r="AB135" s="436">
        <f t="shared" si="175"/>
        <v>23758.880659999999</v>
      </c>
      <c r="AC135" s="436"/>
      <c r="AD135" s="436"/>
      <c r="AE135" s="436"/>
    </row>
    <row r="136" spans="1:31" ht="18" x14ac:dyDescent="0.15">
      <c r="A136" s="421">
        <v>119</v>
      </c>
      <c r="B136" s="9" t="s">
        <v>281</v>
      </c>
      <c r="C136" s="424">
        <v>450086.5</v>
      </c>
      <c r="D136" s="423">
        <v>12</v>
      </c>
      <c r="E136" s="424">
        <f t="shared" si="160"/>
        <v>5401038</v>
      </c>
      <c r="F136" s="424"/>
      <c r="G136" s="425">
        <v>374483.04</v>
      </c>
      <c r="H136" s="427"/>
      <c r="I136" s="424">
        <f t="shared" si="161"/>
        <v>5026554.96</v>
      </c>
      <c r="J136" s="424">
        <v>200000</v>
      </c>
      <c r="K136" s="424">
        <v>0.2</v>
      </c>
      <c r="L136" s="424">
        <f t="shared" si="162"/>
        <v>1005310.992</v>
      </c>
      <c r="M136" s="424">
        <f t="shared" si="163"/>
        <v>1205310.9920000001</v>
      </c>
      <c r="N136" s="424">
        <f t="shared" si="164"/>
        <v>1579794.0319999999</v>
      </c>
      <c r="O136" s="424">
        <f t="shared" si="165"/>
        <v>3821243.9679999999</v>
      </c>
      <c r="P136" s="424">
        <f t="shared" si="166"/>
        <v>21000</v>
      </c>
      <c r="Q136" s="424">
        <f t="shared" si="167"/>
        <v>33000</v>
      </c>
      <c r="R136" s="424">
        <f t="shared" si="168"/>
        <v>75000</v>
      </c>
      <c r="S136" s="424">
        <f t="shared" si="169"/>
        <v>95000</v>
      </c>
      <c r="T136" s="424">
        <f t="shared" si="170"/>
        <v>336000</v>
      </c>
      <c r="U136" s="424">
        <f t="shared" si="171"/>
        <v>149098.55231999999</v>
      </c>
      <c r="V136" s="424">
        <f t="shared" si="172"/>
        <v>709098.55232000002</v>
      </c>
      <c r="W136" s="431">
        <v>12</v>
      </c>
      <c r="X136" s="424">
        <f t="shared" si="173"/>
        <v>59091.5460266667</v>
      </c>
      <c r="Y136" s="427"/>
      <c r="Z136" s="424">
        <f t="shared" si="174"/>
        <v>59091.5460266667</v>
      </c>
      <c r="AA136" s="436">
        <v>35318.826456666699</v>
      </c>
      <c r="AB136" s="436">
        <f t="shared" si="175"/>
        <v>23772.719570000001</v>
      </c>
      <c r="AC136" s="436"/>
      <c r="AD136" s="436"/>
      <c r="AE136" s="436"/>
    </row>
    <row r="137" spans="1:31" ht="18" x14ac:dyDescent="0.15">
      <c r="A137" s="421">
        <v>120</v>
      </c>
      <c r="B137" s="9" t="s">
        <v>282</v>
      </c>
      <c r="C137" s="424">
        <v>510248.91666666698</v>
      </c>
      <c r="D137" s="423">
        <v>12</v>
      </c>
      <c r="E137" s="424">
        <f t="shared" si="160"/>
        <v>6122987</v>
      </c>
      <c r="F137" s="424"/>
      <c r="G137" s="425">
        <v>374483.04</v>
      </c>
      <c r="H137" s="427"/>
      <c r="I137" s="424">
        <f t="shared" si="161"/>
        <v>5748503.96</v>
      </c>
      <c r="J137" s="424">
        <v>200000</v>
      </c>
      <c r="K137" s="424">
        <v>0.2</v>
      </c>
      <c r="L137" s="424">
        <f t="shared" si="162"/>
        <v>1149700.7919999999</v>
      </c>
      <c r="M137" s="424">
        <f t="shared" si="163"/>
        <v>1349700.7919999999</v>
      </c>
      <c r="N137" s="424">
        <f t="shared" si="164"/>
        <v>1724183.8319999999</v>
      </c>
      <c r="O137" s="424">
        <f t="shared" si="165"/>
        <v>4398803.1679999996</v>
      </c>
      <c r="P137" s="424">
        <f t="shared" si="166"/>
        <v>21000</v>
      </c>
      <c r="Q137" s="424">
        <f t="shared" si="167"/>
        <v>33000</v>
      </c>
      <c r="R137" s="424">
        <f t="shared" si="168"/>
        <v>75000</v>
      </c>
      <c r="S137" s="424">
        <f t="shared" si="169"/>
        <v>95000</v>
      </c>
      <c r="T137" s="424">
        <f t="shared" si="170"/>
        <v>336000</v>
      </c>
      <c r="U137" s="424">
        <f t="shared" si="171"/>
        <v>287712.76032000099</v>
      </c>
      <c r="V137" s="424">
        <f t="shared" si="172"/>
        <v>847712.76032000105</v>
      </c>
      <c r="W137" s="431">
        <v>12</v>
      </c>
      <c r="X137" s="424">
        <f t="shared" si="173"/>
        <v>70642.730026666701</v>
      </c>
      <c r="Y137" s="427"/>
      <c r="Z137" s="424">
        <f t="shared" si="174"/>
        <v>70642.730026666701</v>
      </c>
      <c r="AA137" s="436">
        <v>35318.826456666699</v>
      </c>
      <c r="AB137" s="436">
        <f t="shared" si="175"/>
        <v>35323.903570000002</v>
      </c>
      <c r="AC137" s="436"/>
      <c r="AD137" s="436"/>
      <c r="AE137" s="436"/>
    </row>
    <row r="138" spans="1:31" ht="31.5" x14ac:dyDescent="0.2">
      <c r="A138" s="421">
        <v>121</v>
      </c>
      <c r="B138" s="9" t="s">
        <v>284</v>
      </c>
      <c r="C138" s="424">
        <v>437895.16666666698</v>
      </c>
      <c r="D138" s="423">
        <v>12</v>
      </c>
      <c r="E138" s="424">
        <f t="shared" si="160"/>
        <v>5254742</v>
      </c>
      <c r="F138" s="424"/>
      <c r="G138" s="425">
        <v>362779.36</v>
      </c>
      <c r="H138" s="427"/>
      <c r="I138" s="424">
        <f t="shared" si="161"/>
        <v>4891962.6399999997</v>
      </c>
      <c r="J138" s="424">
        <v>200000</v>
      </c>
      <c r="K138" s="424">
        <v>0.2</v>
      </c>
      <c r="L138" s="424">
        <f t="shared" si="162"/>
        <v>978392.52800000098</v>
      </c>
      <c r="M138" s="424">
        <f t="shared" si="163"/>
        <v>1178392.5279999999</v>
      </c>
      <c r="N138" s="424">
        <f t="shared" si="164"/>
        <v>1541171.888</v>
      </c>
      <c r="O138" s="424">
        <f t="shared" si="165"/>
        <v>3713570.1120000002</v>
      </c>
      <c r="P138" s="424">
        <f t="shared" si="166"/>
        <v>21000</v>
      </c>
      <c r="Q138" s="424">
        <f t="shared" si="167"/>
        <v>33000</v>
      </c>
      <c r="R138" s="424">
        <f t="shared" si="168"/>
        <v>75000</v>
      </c>
      <c r="S138" s="424">
        <f t="shared" si="169"/>
        <v>95000</v>
      </c>
      <c r="T138" s="424">
        <f t="shared" si="170"/>
        <v>336000</v>
      </c>
      <c r="U138" s="424">
        <f t="shared" si="171"/>
        <v>123256.826880001</v>
      </c>
      <c r="V138" s="424">
        <f t="shared" si="172"/>
        <v>683256.826880001</v>
      </c>
      <c r="W138" s="431">
        <v>12</v>
      </c>
      <c r="X138" s="424">
        <f t="shared" si="173"/>
        <v>56938.068906666696</v>
      </c>
      <c r="Y138" s="427"/>
      <c r="Z138" s="424">
        <f t="shared" si="174"/>
        <v>56938.068906666696</v>
      </c>
      <c r="AA138" s="436">
        <v>34968.882414666703</v>
      </c>
      <c r="AB138" s="436">
        <f t="shared" si="175"/>
        <v>21969.186492000001</v>
      </c>
      <c r="AC138" s="436"/>
      <c r="AD138" s="436"/>
      <c r="AE138" s="436"/>
    </row>
    <row r="139" spans="1:31" ht="18" x14ac:dyDescent="0.15">
      <c r="A139" s="421">
        <v>122</v>
      </c>
      <c r="B139" s="9" t="s">
        <v>286</v>
      </c>
      <c r="C139" s="424">
        <v>425703.83333333302</v>
      </c>
      <c r="D139" s="423">
        <v>12</v>
      </c>
      <c r="E139" s="424">
        <f t="shared" si="160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1"/>
        <v>4750914.0559999999</v>
      </c>
      <c r="J139" s="424">
        <v>200000</v>
      </c>
      <c r="K139" s="424">
        <v>0.2</v>
      </c>
      <c r="L139" s="424">
        <f t="shared" si="162"/>
        <v>950182.81119999895</v>
      </c>
      <c r="M139" s="424">
        <f t="shared" si="163"/>
        <v>1150182.8112000001</v>
      </c>
      <c r="N139" s="424">
        <f t="shared" si="164"/>
        <v>1507714.7552</v>
      </c>
      <c r="O139" s="424">
        <f t="shared" si="165"/>
        <v>3600731.2448</v>
      </c>
      <c r="P139" s="424">
        <f t="shared" si="166"/>
        <v>21000</v>
      </c>
      <c r="Q139" s="424">
        <f t="shared" si="167"/>
        <v>33000</v>
      </c>
      <c r="R139" s="424">
        <f t="shared" si="168"/>
        <v>75000</v>
      </c>
      <c r="S139" s="424">
        <f t="shared" si="169"/>
        <v>95000</v>
      </c>
      <c r="T139" s="424">
        <f t="shared" si="170"/>
        <v>336000</v>
      </c>
      <c r="U139" s="424">
        <f t="shared" si="171"/>
        <v>96175.498751999199</v>
      </c>
      <c r="V139" s="424">
        <f t="shared" si="172"/>
        <v>656175.498751999</v>
      </c>
      <c r="W139" s="431">
        <v>12</v>
      </c>
      <c r="X139" s="424">
        <f t="shared" si="173"/>
        <v>54681.2915626666</v>
      </c>
      <c r="Y139" s="427"/>
      <c r="Z139" s="424">
        <f t="shared" si="174"/>
        <v>54681.2915626666</v>
      </c>
      <c r="AA139" s="436">
        <v>32848.563402666703</v>
      </c>
      <c r="AB139" s="436">
        <f t="shared" si="175"/>
        <v>21832.728159999901</v>
      </c>
      <c r="AC139" s="436"/>
      <c r="AD139" s="436"/>
      <c r="AE139" s="436"/>
    </row>
    <row r="140" spans="1:31" ht="18" x14ac:dyDescent="0.1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60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1"/>
        <v>6719635.5049999999</v>
      </c>
      <c r="J140" s="424">
        <v>200000</v>
      </c>
      <c r="K140" s="424">
        <v>0.2</v>
      </c>
      <c r="L140" s="424">
        <f t="shared" si="162"/>
        <v>1343927.101</v>
      </c>
      <c r="M140" s="424">
        <f t="shared" si="163"/>
        <v>1543927.101</v>
      </c>
      <c r="N140" s="424">
        <f t="shared" si="164"/>
        <v>1925329.5959999999</v>
      </c>
      <c r="O140" s="424">
        <f t="shared" si="165"/>
        <v>5175708.4040000001</v>
      </c>
      <c r="P140" s="424">
        <f t="shared" si="166"/>
        <v>21000</v>
      </c>
      <c r="Q140" s="424">
        <f t="shared" si="167"/>
        <v>33000</v>
      </c>
      <c r="R140" s="424">
        <f t="shared" si="168"/>
        <v>75000</v>
      </c>
      <c r="S140" s="424">
        <f t="shared" si="169"/>
        <v>95000</v>
      </c>
      <c r="T140" s="424">
        <f t="shared" si="170"/>
        <v>336000</v>
      </c>
      <c r="U140" s="424">
        <f t="shared" si="171"/>
        <v>474170.01696000103</v>
      </c>
      <c r="V140" s="424">
        <f t="shared" si="172"/>
        <v>1034170.01696</v>
      </c>
      <c r="W140" s="431">
        <v>12</v>
      </c>
      <c r="X140" s="424">
        <f t="shared" si="173"/>
        <v>86180.834746666704</v>
      </c>
      <c r="Y140" s="427"/>
      <c r="Z140" s="424">
        <f t="shared" si="174"/>
        <v>86180.834746666704</v>
      </c>
      <c r="AA140" s="436">
        <v>35221.954086666701</v>
      </c>
      <c r="AB140" s="436">
        <f t="shared" si="175"/>
        <v>50958.880660000003</v>
      </c>
      <c r="AC140" s="436"/>
      <c r="AD140" s="436"/>
      <c r="AE140" s="436"/>
    </row>
    <row r="141" spans="1:31" ht="18" x14ac:dyDescent="0.15">
      <c r="A141" s="421">
        <v>124</v>
      </c>
      <c r="B141" s="16" t="s">
        <v>288</v>
      </c>
      <c r="C141" s="424">
        <v>413512.5</v>
      </c>
      <c r="D141" s="423">
        <v>12</v>
      </c>
      <c r="E141" s="424">
        <f t="shared" si="160"/>
        <v>4962150</v>
      </c>
      <c r="F141" s="424">
        <v>0</v>
      </c>
      <c r="G141" s="425">
        <v>339372</v>
      </c>
      <c r="H141" s="427"/>
      <c r="I141" s="424">
        <f t="shared" si="161"/>
        <v>4622778</v>
      </c>
      <c r="J141" s="424">
        <v>200000</v>
      </c>
      <c r="K141" s="424">
        <v>0.2</v>
      </c>
      <c r="L141" s="424">
        <f t="shared" si="162"/>
        <v>924555.6</v>
      </c>
      <c r="M141" s="424">
        <f t="shared" si="163"/>
        <v>1124555.6000000001</v>
      </c>
      <c r="N141" s="424">
        <f t="shared" si="164"/>
        <v>1463927.6</v>
      </c>
      <c r="O141" s="424">
        <f t="shared" si="165"/>
        <v>3498222.4</v>
      </c>
      <c r="P141" s="424">
        <f t="shared" si="166"/>
        <v>21000</v>
      </c>
      <c r="Q141" s="424">
        <f t="shared" si="167"/>
        <v>33000</v>
      </c>
      <c r="R141" s="424">
        <f t="shared" si="168"/>
        <v>75000</v>
      </c>
      <c r="S141" s="424">
        <f t="shared" si="169"/>
        <v>95000</v>
      </c>
      <c r="T141" s="424">
        <f t="shared" si="170"/>
        <v>336000</v>
      </c>
      <c r="U141" s="424">
        <f t="shared" si="171"/>
        <v>71573.376000000004</v>
      </c>
      <c r="V141" s="424">
        <f t="shared" si="172"/>
        <v>631573.37600000005</v>
      </c>
      <c r="W141" s="431">
        <v>12</v>
      </c>
      <c r="X141" s="424">
        <f t="shared" si="173"/>
        <v>52631.114666666697</v>
      </c>
      <c r="Y141" s="427"/>
      <c r="Z141" s="424">
        <f t="shared" si="174"/>
        <v>52631.114666666697</v>
      </c>
      <c r="AA141" s="436">
        <v>31749.175266666702</v>
      </c>
      <c r="AB141" s="436">
        <f t="shared" si="175"/>
        <v>20881.939399999999</v>
      </c>
      <c r="AC141" s="436"/>
      <c r="AD141" s="436"/>
      <c r="AE141" s="436"/>
    </row>
    <row r="142" spans="1:31" ht="18" x14ac:dyDescent="0.15">
      <c r="A142" s="421">
        <v>125</v>
      </c>
      <c r="B142" s="9" t="s">
        <v>290</v>
      </c>
      <c r="C142" s="424">
        <v>368901.5</v>
      </c>
      <c r="D142" s="423">
        <v>12</v>
      </c>
      <c r="E142" s="424">
        <f t="shared" si="160"/>
        <v>4426818</v>
      </c>
      <c r="F142" s="424"/>
      <c r="G142" s="425">
        <v>296545.44</v>
      </c>
      <c r="H142" s="427"/>
      <c r="I142" s="424">
        <f t="shared" si="161"/>
        <v>4130272.56</v>
      </c>
      <c r="J142" s="424">
        <v>200000</v>
      </c>
      <c r="K142" s="424">
        <v>0.2</v>
      </c>
      <c r="L142" s="424">
        <f t="shared" si="162"/>
        <v>826054.51199999999</v>
      </c>
      <c r="M142" s="424">
        <f t="shared" si="163"/>
        <v>1026054.512</v>
      </c>
      <c r="N142" s="424">
        <f t="shared" si="164"/>
        <v>1322599.952</v>
      </c>
      <c r="O142" s="424">
        <f t="shared" si="165"/>
        <v>3104218.048</v>
      </c>
      <c r="P142" s="424">
        <f t="shared" si="166"/>
        <v>21000</v>
      </c>
      <c r="Q142" s="424">
        <f t="shared" si="167"/>
        <v>33000</v>
      </c>
      <c r="R142" s="424">
        <f t="shared" si="168"/>
        <v>75000</v>
      </c>
      <c r="S142" s="424">
        <f t="shared" si="169"/>
        <v>95000</v>
      </c>
      <c r="T142" s="424">
        <f t="shared" si="170"/>
        <v>315885.79008000001</v>
      </c>
      <c r="U142" s="424"/>
      <c r="V142" s="424">
        <f t="shared" si="172"/>
        <v>539885.79007999995</v>
      </c>
      <c r="W142" s="431">
        <v>12</v>
      </c>
      <c r="X142" s="424">
        <f t="shared" si="173"/>
        <v>44990.482506666704</v>
      </c>
      <c r="Y142" s="427"/>
      <c r="Z142" s="424">
        <f t="shared" si="174"/>
        <v>44990.482506666704</v>
      </c>
      <c r="AA142" s="436">
        <v>27105.986562666702</v>
      </c>
      <c r="AB142" s="436">
        <f t="shared" si="175"/>
        <v>17884.495943999998</v>
      </c>
      <c r="AC142" s="436"/>
      <c r="AD142" s="436"/>
      <c r="AE142" s="436"/>
    </row>
    <row r="143" spans="1:31" ht="18" x14ac:dyDescent="0.15">
      <c r="A143" s="421">
        <v>126</v>
      </c>
      <c r="B143" s="9" t="s">
        <v>291</v>
      </c>
      <c r="C143" s="424">
        <v>376837.41666666698</v>
      </c>
      <c r="D143" s="423">
        <v>12</v>
      </c>
      <c r="E143" s="424">
        <f t="shared" si="160"/>
        <v>4522049</v>
      </c>
      <c r="F143" s="424">
        <f>469.4825*12</f>
        <v>5633.79</v>
      </c>
      <c r="G143" s="425">
        <v>304163.92</v>
      </c>
      <c r="H143" s="427"/>
      <c r="I143" s="424">
        <f t="shared" si="161"/>
        <v>4212251.29</v>
      </c>
      <c r="J143" s="424">
        <v>200000</v>
      </c>
      <c r="K143" s="424">
        <v>0.2</v>
      </c>
      <c r="L143" s="424">
        <f t="shared" si="162"/>
        <v>842450.25800000096</v>
      </c>
      <c r="M143" s="424">
        <f t="shared" si="163"/>
        <v>1042450.258</v>
      </c>
      <c r="N143" s="424">
        <f t="shared" si="164"/>
        <v>1352247.9680000001</v>
      </c>
      <c r="O143" s="424">
        <f t="shared" si="165"/>
        <v>3169801.0320000001</v>
      </c>
      <c r="P143" s="424">
        <f t="shared" si="166"/>
        <v>21000</v>
      </c>
      <c r="Q143" s="424">
        <f t="shared" si="167"/>
        <v>33000</v>
      </c>
      <c r="R143" s="424">
        <f t="shared" si="168"/>
        <v>75000</v>
      </c>
      <c r="S143" s="424">
        <f t="shared" si="169"/>
        <v>95000</v>
      </c>
      <c r="T143" s="424">
        <f t="shared" si="170"/>
        <v>329658.21672000102</v>
      </c>
      <c r="U143" s="424"/>
      <c r="V143" s="424">
        <f t="shared" si="172"/>
        <v>553658.21672000096</v>
      </c>
      <c r="W143" s="431">
        <v>12</v>
      </c>
      <c r="X143" s="424">
        <f t="shared" si="173"/>
        <v>46138.184726666703</v>
      </c>
      <c r="Y143" s="427"/>
      <c r="Z143" s="424">
        <f t="shared" si="174"/>
        <v>46138.184726666703</v>
      </c>
      <c r="AA143" s="436">
        <v>27794.206626666699</v>
      </c>
      <c r="AB143" s="436">
        <f t="shared" si="175"/>
        <v>18343.9781</v>
      </c>
      <c r="AC143" s="436"/>
      <c r="AD143" s="436"/>
      <c r="AE143" s="436"/>
    </row>
    <row r="144" spans="1:31" ht="18" x14ac:dyDescent="0.15">
      <c r="A144" s="421">
        <v>127</v>
      </c>
      <c r="B144" s="9" t="s">
        <v>293</v>
      </c>
      <c r="C144" s="424">
        <v>376837.41666666698</v>
      </c>
      <c r="D144" s="423">
        <v>12</v>
      </c>
      <c r="E144" s="424">
        <f t="shared" si="160"/>
        <v>4522049</v>
      </c>
      <c r="F144" s="424"/>
      <c r="G144" s="425">
        <v>304163.92</v>
      </c>
      <c r="H144" s="427"/>
      <c r="I144" s="424">
        <f t="shared" si="161"/>
        <v>4217885.08</v>
      </c>
      <c r="J144" s="424">
        <v>200000</v>
      </c>
      <c r="K144" s="424">
        <v>0.2</v>
      </c>
      <c r="L144" s="424">
        <f t="shared" si="162"/>
        <v>843577.01600000099</v>
      </c>
      <c r="M144" s="424">
        <f t="shared" si="163"/>
        <v>1043577.0159999999</v>
      </c>
      <c r="N144" s="424">
        <f t="shared" si="164"/>
        <v>1347740.936</v>
      </c>
      <c r="O144" s="424">
        <f t="shared" si="165"/>
        <v>3174308.0639999998</v>
      </c>
      <c r="P144" s="424">
        <f t="shared" si="166"/>
        <v>21000</v>
      </c>
      <c r="Q144" s="424">
        <f t="shared" si="167"/>
        <v>33000</v>
      </c>
      <c r="R144" s="424">
        <f t="shared" si="168"/>
        <v>75000</v>
      </c>
      <c r="S144" s="424">
        <f t="shared" si="169"/>
        <v>95000</v>
      </c>
      <c r="T144" s="424">
        <f t="shared" si="170"/>
        <v>330604.69344000099</v>
      </c>
      <c r="U144" s="424"/>
      <c r="V144" s="424">
        <f t="shared" si="172"/>
        <v>554604.69344000099</v>
      </c>
      <c r="W144" s="431">
        <v>12</v>
      </c>
      <c r="X144" s="424">
        <f t="shared" si="173"/>
        <v>46217.057786666701</v>
      </c>
      <c r="Y144" s="427"/>
      <c r="Z144" s="424">
        <f t="shared" si="174"/>
        <v>46217.057786666701</v>
      </c>
      <c r="AA144" s="436">
        <v>27873.079686666701</v>
      </c>
      <c r="AB144" s="436">
        <f t="shared" si="175"/>
        <v>18343.9781</v>
      </c>
      <c r="AC144" s="436"/>
      <c r="AD144" s="436"/>
      <c r="AE144" s="436"/>
    </row>
    <row r="145" spans="1:31" ht="18" x14ac:dyDescent="0.15">
      <c r="A145" s="421">
        <v>128</v>
      </c>
      <c r="B145" s="9" t="s">
        <v>294</v>
      </c>
      <c r="C145" s="424">
        <v>360965.58333333302</v>
      </c>
      <c r="D145" s="423">
        <v>12</v>
      </c>
      <c r="E145" s="424">
        <f t="shared" si="160"/>
        <v>4331587</v>
      </c>
      <c r="F145" s="424"/>
      <c r="G145" s="425">
        <v>288926.96000000002</v>
      </c>
      <c r="H145" s="427"/>
      <c r="I145" s="424">
        <f t="shared" si="161"/>
        <v>4042660.04</v>
      </c>
      <c r="J145" s="424">
        <v>200000</v>
      </c>
      <c r="K145" s="424">
        <v>0.2</v>
      </c>
      <c r="L145" s="424">
        <f t="shared" si="162"/>
        <v>808532.00799999898</v>
      </c>
      <c r="M145" s="424">
        <f t="shared" si="163"/>
        <v>1008532.008</v>
      </c>
      <c r="N145" s="424">
        <f t="shared" si="164"/>
        <v>1297458.9680000001</v>
      </c>
      <c r="O145" s="424">
        <f t="shared" si="165"/>
        <v>3034128.0320000001</v>
      </c>
      <c r="P145" s="424">
        <f t="shared" si="166"/>
        <v>21000</v>
      </c>
      <c r="Q145" s="424">
        <f t="shared" si="167"/>
        <v>33000</v>
      </c>
      <c r="R145" s="424">
        <f t="shared" si="168"/>
        <v>75000</v>
      </c>
      <c r="S145" s="424">
        <f t="shared" si="169"/>
        <v>95000</v>
      </c>
      <c r="T145" s="424">
        <f t="shared" si="170"/>
        <v>301166.88671999902</v>
      </c>
      <c r="U145" s="424"/>
      <c r="V145" s="424">
        <f t="shared" si="172"/>
        <v>525166.88671999902</v>
      </c>
      <c r="W145" s="431">
        <v>12</v>
      </c>
      <c r="X145" s="424">
        <f t="shared" si="173"/>
        <v>43763.907226666597</v>
      </c>
      <c r="Y145" s="427"/>
      <c r="Z145" s="424">
        <f t="shared" si="174"/>
        <v>43763.907226666597</v>
      </c>
      <c r="AA145" s="436">
        <v>27105.986562666702</v>
      </c>
      <c r="AB145" s="436">
        <f t="shared" si="175"/>
        <v>16657.920663999899</v>
      </c>
      <c r="AC145" s="436"/>
      <c r="AD145" s="436"/>
      <c r="AE145" s="436"/>
    </row>
    <row r="146" spans="1:31" ht="31.5" x14ac:dyDescent="0.2">
      <c r="A146" s="421">
        <v>129</v>
      </c>
      <c r="B146" s="9" t="s">
        <v>296</v>
      </c>
      <c r="C146" s="424">
        <v>323165.33333333302</v>
      </c>
      <c r="D146" s="423">
        <v>12</v>
      </c>
      <c r="E146" s="424">
        <f t="shared" si="160"/>
        <v>3877984</v>
      </c>
      <c r="F146" s="424"/>
      <c r="G146" s="425">
        <v>252638.72</v>
      </c>
      <c r="H146" s="427"/>
      <c r="I146" s="424">
        <f t="shared" si="161"/>
        <v>3625345.28</v>
      </c>
      <c r="J146" s="424">
        <v>200000</v>
      </c>
      <c r="K146" s="424">
        <v>0.2</v>
      </c>
      <c r="L146" s="424">
        <f t="shared" si="162"/>
        <v>725069.05599999905</v>
      </c>
      <c r="M146" s="424">
        <f t="shared" si="163"/>
        <v>925069.05599999905</v>
      </c>
      <c r="N146" s="424">
        <f t="shared" si="164"/>
        <v>1177707.7760000001</v>
      </c>
      <c r="O146" s="424">
        <f t="shared" si="165"/>
        <v>2700276.2239999999</v>
      </c>
      <c r="P146" s="424">
        <f t="shared" si="166"/>
        <v>21000</v>
      </c>
      <c r="Q146" s="424">
        <f t="shared" si="167"/>
        <v>33000</v>
      </c>
      <c r="R146" s="424">
        <f t="shared" si="168"/>
        <v>75000</v>
      </c>
      <c r="S146" s="424">
        <f t="shared" si="169"/>
        <v>95000</v>
      </c>
      <c r="T146" s="424">
        <f t="shared" si="170"/>
        <v>231058.00703999901</v>
      </c>
      <c r="U146" s="424"/>
      <c r="V146" s="424">
        <f t="shared" si="172"/>
        <v>455058.00703999901</v>
      </c>
      <c r="W146" s="431">
        <v>12</v>
      </c>
      <c r="X146" s="424">
        <f t="shared" si="173"/>
        <v>37921.500586666603</v>
      </c>
      <c r="Y146" s="427"/>
      <c r="Z146" s="424">
        <f t="shared" si="174"/>
        <v>37921.500586666603</v>
      </c>
      <c r="AA146" s="436">
        <v>22338.4826046667</v>
      </c>
      <c r="AB146" s="436">
        <f t="shared" si="175"/>
        <v>15583.017981999899</v>
      </c>
      <c r="AC146" s="436"/>
      <c r="AD146" s="436"/>
      <c r="AE146" s="436"/>
    </row>
    <row r="147" spans="1:31" ht="18" x14ac:dyDescent="0.15">
      <c r="A147" s="421">
        <v>130</v>
      </c>
      <c r="B147" s="9" t="s">
        <v>298</v>
      </c>
      <c r="C147" s="424">
        <v>368901.5</v>
      </c>
      <c r="D147" s="423">
        <v>12</v>
      </c>
      <c r="E147" s="424">
        <f t="shared" si="160"/>
        <v>4426818</v>
      </c>
      <c r="F147" s="424"/>
      <c r="G147" s="425">
        <v>296545.44</v>
      </c>
      <c r="H147" s="427"/>
      <c r="I147" s="424">
        <f t="shared" si="161"/>
        <v>4130272.56</v>
      </c>
      <c r="J147" s="424">
        <v>200000</v>
      </c>
      <c r="K147" s="424">
        <v>0.2</v>
      </c>
      <c r="L147" s="424">
        <f t="shared" si="162"/>
        <v>826054.51199999999</v>
      </c>
      <c r="M147" s="424">
        <f t="shared" si="163"/>
        <v>1026054.512</v>
      </c>
      <c r="N147" s="424">
        <f t="shared" si="164"/>
        <v>1322599.952</v>
      </c>
      <c r="O147" s="424">
        <f t="shared" si="165"/>
        <v>3104218.048</v>
      </c>
      <c r="P147" s="424">
        <f t="shared" si="166"/>
        <v>21000</v>
      </c>
      <c r="Q147" s="424">
        <f t="shared" si="167"/>
        <v>33000</v>
      </c>
      <c r="R147" s="424">
        <f t="shared" si="168"/>
        <v>75000</v>
      </c>
      <c r="S147" s="424">
        <f t="shared" si="169"/>
        <v>95000</v>
      </c>
      <c r="T147" s="424">
        <f t="shared" si="170"/>
        <v>315885.79008000001</v>
      </c>
      <c r="U147" s="424"/>
      <c r="V147" s="424">
        <f t="shared" si="172"/>
        <v>539885.79007999995</v>
      </c>
      <c r="W147" s="431">
        <v>12</v>
      </c>
      <c r="X147" s="424">
        <f t="shared" si="173"/>
        <v>44990.482506666704</v>
      </c>
      <c r="Y147" s="427"/>
      <c r="Z147" s="424">
        <f t="shared" si="174"/>
        <v>44990.482506666704</v>
      </c>
      <c r="AA147" s="436">
        <v>27105.986562666702</v>
      </c>
      <c r="AB147" s="436">
        <f t="shared" si="175"/>
        <v>17884.495943999998</v>
      </c>
      <c r="AC147" s="436"/>
      <c r="AD147" s="436"/>
      <c r="AE147" s="436"/>
    </row>
    <row r="148" spans="1:31" ht="18" x14ac:dyDescent="0.15">
      <c r="A148" s="421">
        <v>131</v>
      </c>
      <c r="B148" s="9" t="s">
        <v>301</v>
      </c>
      <c r="C148" s="424">
        <v>330481.66666666698</v>
      </c>
      <c r="D148" s="423">
        <v>12</v>
      </c>
      <c r="E148" s="424">
        <f t="shared" si="160"/>
        <v>3965780</v>
      </c>
      <c r="F148" s="424"/>
      <c r="G148" s="425">
        <v>259662.4</v>
      </c>
      <c r="H148" s="427"/>
      <c r="I148" s="424">
        <f t="shared" si="161"/>
        <v>3706117.6</v>
      </c>
      <c r="J148" s="424">
        <v>200000</v>
      </c>
      <c r="K148" s="424">
        <v>0.2</v>
      </c>
      <c r="L148" s="424">
        <f t="shared" si="162"/>
        <v>741223.52000000095</v>
      </c>
      <c r="M148" s="424">
        <f t="shared" si="163"/>
        <v>941223.52000000095</v>
      </c>
      <c r="N148" s="424">
        <f t="shared" si="164"/>
        <v>1200885.92</v>
      </c>
      <c r="O148" s="424">
        <f t="shared" si="165"/>
        <v>2764894.08</v>
      </c>
      <c r="P148" s="424">
        <f t="shared" si="166"/>
        <v>21000</v>
      </c>
      <c r="Q148" s="424">
        <f t="shared" si="167"/>
        <v>33000</v>
      </c>
      <c r="R148" s="424">
        <f t="shared" si="168"/>
        <v>75000</v>
      </c>
      <c r="S148" s="424">
        <f t="shared" si="169"/>
        <v>95000</v>
      </c>
      <c r="T148" s="424">
        <f t="shared" si="170"/>
        <v>244627.75680000099</v>
      </c>
      <c r="U148" s="424"/>
      <c r="V148" s="424">
        <f t="shared" si="172"/>
        <v>468627.75680000102</v>
      </c>
      <c r="W148" s="431">
        <v>12</v>
      </c>
      <c r="X148" s="424">
        <f t="shared" si="173"/>
        <v>39052.313066666698</v>
      </c>
      <c r="Y148" s="427"/>
      <c r="Z148" s="424">
        <f t="shared" si="174"/>
        <v>39052.313066666698</v>
      </c>
      <c r="AA148" s="436">
        <v>23036.012346666699</v>
      </c>
      <c r="AB148" s="436">
        <f t="shared" si="175"/>
        <v>16016.300719999999</v>
      </c>
      <c r="AC148" s="436"/>
      <c r="AD148" s="436"/>
      <c r="AE148" s="436"/>
    </row>
    <row r="149" spans="1:31" ht="18" x14ac:dyDescent="0.15">
      <c r="A149" s="421">
        <v>132</v>
      </c>
      <c r="B149" s="9" t="s">
        <v>303</v>
      </c>
      <c r="C149" s="424">
        <v>368901.5</v>
      </c>
      <c r="D149" s="423">
        <v>12</v>
      </c>
      <c r="E149" s="424">
        <f t="shared" si="160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1"/>
        <v>4124788.068</v>
      </c>
      <c r="J149" s="424">
        <v>200000</v>
      </c>
      <c r="K149" s="424">
        <v>0.2</v>
      </c>
      <c r="L149" s="424">
        <f t="shared" si="162"/>
        <v>824957.61360000004</v>
      </c>
      <c r="M149" s="424">
        <f t="shared" si="163"/>
        <v>1024957.6136</v>
      </c>
      <c r="N149" s="424">
        <f t="shared" si="164"/>
        <v>1326987.5456000001</v>
      </c>
      <c r="O149" s="424">
        <f t="shared" si="165"/>
        <v>3099830.4544000002</v>
      </c>
      <c r="P149" s="424">
        <f t="shared" si="166"/>
        <v>21000</v>
      </c>
      <c r="Q149" s="424">
        <f t="shared" si="167"/>
        <v>33000</v>
      </c>
      <c r="R149" s="424">
        <f t="shared" si="168"/>
        <v>75000</v>
      </c>
      <c r="S149" s="424">
        <f t="shared" si="169"/>
        <v>95000</v>
      </c>
      <c r="T149" s="424">
        <f t="shared" si="170"/>
        <v>314964.39542399999</v>
      </c>
      <c r="U149" s="424"/>
      <c r="V149" s="424">
        <f t="shared" si="172"/>
        <v>538964.39542399999</v>
      </c>
      <c r="W149" s="431">
        <v>12</v>
      </c>
      <c r="X149" s="424">
        <f t="shared" si="173"/>
        <v>44913.699618666702</v>
      </c>
      <c r="Y149" s="427"/>
      <c r="Z149" s="424">
        <f t="shared" si="174"/>
        <v>44913.699618666702</v>
      </c>
      <c r="AA149" s="436">
        <v>27029.2036746667</v>
      </c>
      <c r="AB149" s="436">
        <f t="shared" si="175"/>
        <v>17884.495943999998</v>
      </c>
      <c r="AC149" s="436"/>
      <c r="AD149" s="436"/>
      <c r="AE149" s="436"/>
    </row>
    <row r="150" spans="1:31" ht="18" x14ac:dyDescent="0.15">
      <c r="A150" s="421">
        <v>133</v>
      </c>
      <c r="B150" s="9" t="s">
        <v>305</v>
      </c>
      <c r="C150" s="424">
        <v>330481.66666666698</v>
      </c>
      <c r="D150" s="423">
        <v>12</v>
      </c>
      <c r="E150" s="424">
        <f t="shared" si="160"/>
        <v>3965780</v>
      </c>
      <c r="F150" s="424"/>
      <c r="G150" s="425">
        <v>259662.4</v>
      </c>
      <c r="H150" s="427"/>
      <c r="I150" s="424">
        <f t="shared" si="161"/>
        <v>3706117.6</v>
      </c>
      <c r="J150" s="424">
        <v>200000</v>
      </c>
      <c r="K150" s="424">
        <v>0.2</v>
      </c>
      <c r="L150" s="424">
        <f t="shared" si="162"/>
        <v>741223.52000000095</v>
      </c>
      <c r="M150" s="424">
        <f t="shared" si="163"/>
        <v>941223.52000000095</v>
      </c>
      <c r="N150" s="424">
        <f t="shared" si="164"/>
        <v>1200885.92</v>
      </c>
      <c r="O150" s="424">
        <f t="shared" si="165"/>
        <v>2764894.08</v>
      </c>
      <c r="P150" s="424">
        <f t="shared" si="166"/>
        <v>21000</v>
      </c>
      <c r="Q150" s="424">
        <f t="shared" si="167"/>
        <v>33000</v>
      </c>
      <c r="R150" s="424">
        <f t="shared" si="168"/>
        <v>75000</v>
      </c>
      <c r="S150" s="424">
        <f t="shared" si="169"/>
        <v>95000</v>
      </c>
      <c r="T150" s="424">
        <f t="shared" si="170"/>
        <v>244627.75680000099</v>
      </c>
      <c r="U150" s="424"/>
      <c r="V150" s="424">
        <f t="shared" si="172"/>
        <v>468627.75680000102</v>
      </c>
      <c r="W150" s="431">
        <v>12</v>
      </c>
      <c r="X150" s="424">
        <f t="shared" si="173"/>
        <v>39052.313066666698</v>
      </c>
      <c r="Y150" s="427"/>
      <c r="Z150" s="424">
        <f t="shared" si="174"/>
        <v>39052.313066666698</v>
      </c>
      <c r="AA150" s="436">
        <v>22338.4826046667</v>
      </c>
      <c r="AB150" s="436">
        <f t="shared" si="175"/>
        <v>16713.830462000002</v>
      </c>
      <c r="AC150" s="436"/>
      <c r="AD150" s="436"/>
      <c r="AE150" s="436"/>
    </row>
    <row r="151" spans="1:31" ht="18" x14ac:dyDescent="0.15">
      <c r="A151" s="421">
        <v>134</v>
      </c>
      <c r="B151" s="16" t="s">
        <v>307</v>
      </c>
      <c r="C151" s="424">
        <v>315849</v>
      </c>
      <c r="D151" s="423">
        <v>12</v>
      </c>
      <c r="E151" s="424">
        <f t="shared" si="160"/>
        <v>3790188</v>
      </c>
      <c r="F151" s="424"/>
      <c r="G151" s="425">
        <v>245615.04</v>
      </c>
      <c r="H151" s="427"/>
      <c r="I151" s="424">
        <f t="shared" si="161"/>
        <v>3544572.96</v>
      </c>
      <c r="J151" s="424">
        <v>200000</v>
      </c>
      <c r="K151" s="424">
        <v>0.2</v>
      </c>
      <c r="L151" s="424">
        <f t="shared" si="162"/>
        <v>708914.59199999995</v>
      </c>
      <c r="M151" s="424">
        <f t="shared" si="163"/>
        <v>908914.59199999995</v>
      </c>
      <c r="N151" s="424">
        <f t="shared" si="164"/>
        <v>1154529.632</v>
      </c>
      <c r="O151" s="424">
        <f t="shared" si="165"/>
        <v>2635658.3679999998</v>
      </c>
      <c r="P151" s="424">
        <f t="shared" si="166"/>
        <v>21000</v>
      </c>
      <c r="Q151" s="424">
        <f t="shared" si="167"/>
        <v>33000</v>
      </c>
      <c r="R151" s="424">
        <f t="shared" si="168"/>
        <v>75000</v>
      </c>
      <c r="S151" s="424">
        <f t="shared" si="169"/>
        <v>95000</v>
      </c>
      <c r="T151" s="424">
        <f t="shared" si="170"/>
        <v>217488.25727999999</v>
      </c>
      <c r="U151" s="424"/>
      <c r="V151" s="424">
        <f t="shared" si="172"/>
        <v>441488.25728000002</v>
      </c>
      <c r="W151" s="431">
        <v>12</v>
      </c>
      <c r="X151" s="424">
        <f t="shared" si="173"/>
        <v>36790.688106666697</v>
      </c>
      <c r="Y151" s="427"/>
      <c r="Z151" s="424">
        <f t="shared" si="174"/>
        <v>36790.688106666697</v>
      </c>
      <c r="AA151" s="436">
        <v>21640.952862666702</v>
      </c>
      <c r="AB151" s="436">
        <f t="shared" si="175"/>
        <v>15149.735244</v>
      </c>
      <c r="AC151" s="436"/>
      <c r="AD151" s="436"/>
      <c r="AE151" s="436"/>
    </row>
    <row r="152" spans="1:31" ht="18" x14ac:dyDescent="0.15">
      <c r="A152" s="421">
        <v>135</v>
      </c>
      <c r="B152" s="16" t="s">
        <v>312</v>
      </c>
      <c r="C152" s="424">
        <v>274459.75</v>
      </c>
      <c r="D152" s="423">
        <v>12</v>
      </c>
      <c r="E152" s="424">
        <f t="shared" si="160"/>
        <v>3293517</v>
      </c>
      <c r="F152" s="424">
        <v>0</v>
      </c>
      <c r="G152" s="425">
        <v>215481.36</v>
      </c>
      <c r="H152" s="427"/>
      <c r="I152" s="424">
        <f t="shared" si="161"/>
        <v>3078035.64</v>
      </c>
      <c r="J152" s="424">
        <v>200000</v>
      </c>
      <c r="K152" s="424">
        <v>0.2</v>
      </c>
      <c r="L152" s="424">
        <f t="shared" si="162"/>
        <v>615607.12800000003</v>
      </c>
      <c r="M152" s="424">
        <f t="shared" si="163"/>
        <v>815607.12800000003</v>
      </c>
      <c r="N152" s="424">
        <f t="shared" si="164"/>
        <v>1031088.488</v>
      </c>
      <c r="O152" s="424">
        <f t="shared" si="165"/>
        <v>2262428.5120000001</v>
      </c>
      <c r="P152" s="424">
        <f t="shared" si="166"/>
        <v>21000</v>
      </c>
      <c r="Q152" s="424">
        <f t="shared" si="167"/>
        <v>33000</v>
      </c>
      <c r="R152" s="424">
        <f t="shared" si="168"/>
        <v>75000</v>
      </c>
      <c r="S152" s="424">
        <f t="shared" si="169"/>
        <v>95000</v>
      </c>
      <c r="T152" s="424">
        <f t="shared" si="170"/>
        <v>139109.98752</v>
      </c>
      <c r="U152" s="424"/>
      <c r="V152" s="424">
        <f t="shared" si="172"/>
        <v>363109.98752000002</v>
      </c>
      <c r="W152" s="431">
        <v>12</v>
      </c>
      <c r="X152" s="424">
        <f t="shared" si="173"/>
        <v>30259.165626666701</v>
      </c>
      <c r="Y152" s="427"/>
      <c r="Z152" s="424">
        <f t="shared" si="174"/>
        <v>30259.165626666701</v>
      </c>
      <c r="AA152" s="436">
        <v>17042.713866666702</v>
      </c>
      <c r="AB152" s="436">
        <f t="shared" si="175"/>
        <v>13216.45176</v>
      </c>
      <c r="AC152" s="436"/>
      <c r="AD152" s="436"/>
      <c r="AE152" s="436"/>
    </row>
    <row r="153" spans="1:31" ht="18" x14ac:dyDescent="0.15">
      <c r="A153" s="421">
        <v>136</v>
      </c>
      <c r="B153" s="16" t="s">
        <v>314</v>
      </c>
      <c r="C153" s="424">
        <v>274459.75</v>
      </c>
      <c r="D153" s="423">
        <v>12</v>
      </c>
      <c r="E153" s="424">
        <f t="shared" si="160"/>
        <v>3293517</v>
      </c>
      <c r="F153" s="424">
        <v>0</v>
      </c>
      <c r="G153" s="425">
        <v>215481.36</v>
      </c>
      <c r="H153" s="427"/>
      <c r="I153" s="424">
        <f t="shared" si="161"/>
        <v>3078035.64</v>
      </c>
      <c r="J153" s="424">
        <v>200000</v>
      </c>
      <c r="K153" s="424">
        <v>0.2</v>
      </c>
      <c r="L153" s="424">
        <f t="shared" si="162"/>
        <v>615607.12800000003</v>
      </c>
      <c r="M153" s="424">
        <f t="shared" si="163"/>
        <v>815607.12800000003</v>
      </c>
      <c r="N153" s="424">
        <f t="shared" si="164"/>
        <v>1031088.488</v>
      </c>
      <c r="O153" s="424">
        <f t="shared" si="165"/>
        <v>2262428.5120000001</v>
      </c>
      <c r="P153" s="424">
        <f t="shared" si="166"/>
        <v>21000</v>
      </c>
      <c r="Q153" s="424">
        <f t="shared" si="167"/>
        <v>33000</v>
      </c>
      <c r="R153" s="424">
        <f t="shared" si="168"/>
        <v>75000</v>
      </c>
      <c r="S153" s="424">
        <f t="shared" si="169"/>
        <v>95000</v>
      </c>
      <c r="T153" s="424">
        <f t="shared" si="170"/>
        <v>139109.98752</v>
      </c>
      <c r="U153" s="424"/>
      <c r="V153" s="424">
        <f t="shared" si="172"/>
        <v>363109.98752000002</v>
      </c>
      <c r="W153" s="431">
        <v>12</v>
      </c>
      <c r="X153" s="424">
        <f t="shared" si="173"/>
        <v>30259.165626666701</v>
      </c>
      <c r="Y153" s="427"/>
      <c r="Z153" s="424">
        <f t="shared" si="174"/>
        <v>30259.165626666701</v>
      </c>
      <c r="AA153" s="436">
        <v>17042.713866666702</v>
      </c>
      <c r="AB153" s="436">
        <f t="shared" si="175"/>
        <v>13216.45176</v>
      </c>
      <c r="AC153" s="436"/>
      <c r="AD153" s="436"/>
      <c r="AE153" s="436"/>
    </row>
    <row r="154" spans="1:31" ht="31.5" x14ac:dyDescent="0.2">
      <c r="A154" s="421">
        <v>137</v>
      </c>
      <c r="B154" s="16" t="s">
        <v>316</v>
      </c>
      <c r="C154" s="424">
        <v>274459.75</v>
      </c>
      <c r="D154" s="423">
        <v>12</v>
      </c>
      <c r="E154" s="424">
        <f t="shared" si="160"/>
        <v>3293517</v>
      </c>
      <c r="F154" s="424">
        <v>0</v>
      </c>
      <c r="G154" s="425">
        <v>215481.36</v>
      </c>
      <c r="H154" s="427"/>
      <c r="I154" s="424">
        <f t="shared" si="161"/>
        <v>3078035.64</v>
      </c>
      <c r="J154" s="424">
        <v>200000</v>
      </c>
      <c r="K154" s="424">
        <v>0.2</v>
      </c>
      <c r="L154" s="424">
        <f t="shared" si="162"/>
        <v>615607.12800000003</v>
      </c>
      <c r="M154" s="424">
        <f t="shared" si="163"/>
        <v>815607.12800000003</v>
      </c>
      <c r="N154" s="424">
        <f t="shared" si="164"/>
        <v>1031088.488</v>
      </c>
      <c r="O154" s="424">
        <f t="shared" si="165"/>
        <v>2262428.5120000001</v>
      </c>
      <c r="P154" s="424">
        <f t="shared" si="166"/>
        <v>21000</v>
      </c>
      <c r="Q154" s="424">
        <f t="shared" si="167"/>
        <v>33000</v>
      </c>
      <c r="R154" s="424">
        <f t="shared" si="168"/>
        <v>75000</v>
      </c>
      <c r="S154" s="424">
        <f t="shared" si="169"/>
        <v>95000</v>
      </c>
      <c r="T154" s="424">
        <f t="shared" si="170"/>
        <v>139109.98752</v>
      </c>
      <c r="U154" s="424"/>
      <c r="V154" s="424">
        <f t="shared" si="172"/>
        <v>363109.98752000002</v>
      </c>
      <c r="W154" s="431">
        <v>12</v>
      </c>
      <c r="X154" s="424">
        <f t="shared" si="173"/>
        <v>30259.165626666701</v>
      </c>
      <c r="Y154" s="427"/>
      <c r="Z154" s="424">
        <f t="shared" si="174"/>
        <v>30259.165626666701</v>
      </c>
      <c r="AA154" s="436">
        <v>17042.713866666702</v>
      </c>
      <c r="AB154" s="436">
        <f t="shared" si="175"/>
        <v>13216.45176</v>
      </c>
      <c r="AC154" s="436"/>
      <c r="AD154" s="436"/>
      <c r="AE154" s="436"/>
    </row>
    <row r="155" spans="1:31" ht="18" x14ac:dyDescent="0.15">
      <c r="A155" s="421">
        <v>138</v>
      </c>
      <c r="B155" s="16" t="s">
        <v>318</v>
      </c>
      <c r="C155" s="424">
        <v>280631.91666666698</v>
      </c>
      <c r="D155" s="423">
        <v>12</v>
      </c>
      <c r="E155" s="424">
        <f t="shared" si="160"/>
        <v>3367583</v>
      </c>
      <c r="F155" s="424">
        <v>0</v>
      </c>
      <c r="G155" s="425">
        <v>221406.64</v>
      </c>
      <c r="H155" s="427"/>
      <c r="I155" s="424">
        <f t="shared" si="161"/>
        <v>3146176.36</v>
      </c>
      <c r="J155" s="424">
        <v>200000</v>
      </c>
      <c r="K155" s="424">
        <v>0.2</v>
      </c>
      <c r="L155" s="424">
        <f t="shared" si="162"/>
        <v>629235.27200000104</v>
      </c>
      <c r="M155" s="424">
        <f t="shared" si="163"/>
        <v>829235.27200000104</v>
      </c>
      <c r="N155" s="424">
        <f t="shared" si="164"/>
        <v>1050641.912</v>
      </c>
      <c r="O155" s="424">
        <f t="shared" si="165"/>
        <v>2316941.088</v>
      </c>
      <c r="P155" s="424">
        <f t="shared" si="166"/>
        <v>21000</v>
      </c>
      <c r="Q155" s="424">
        <f t="shared" si="167"/>
        <v>33000</v>
      </c>
      <c r="R155" s="424">
        <f t="shared" si="168"/>
        <v>75000</v>
      </c>
      <c r="S155" s="424">
        <f t="shared" si="169"/>
        <v>95000</v>
      </c>
      <c r="T155" s="424">
        <f t="shared" si="170"/>
        <v>150557.628480001</v>
      </c>
      <c r="U155" s="424"/>
      <c r="V155" s="424">
        <f t="shared" si="172"/>
        <v>374557.628480001</v>
      </c>
      <c r="W155" s="431">
        <v>12</v>
      </c>
      <c r="X155" s="424">
        <f t="shared" si="173"/>
        <v>31213.135706666701</v>
      </c>
      <c r="Y155" s="427"/>
      <c r="Z155" s="424">
        <f t="shared" si="174"/>
        <v>31213.135706666701</v>
      </c>
      <c r="AA155" s="436">
        <v>17572.885002666699</v>
      </c>
      <c r="AB155" s="436">
        <f t="shared" si="175"/>
        <v>13640.250704</v>
      </c>
      <c r="AC155" s="436"/>
      <c r="AD155" s="436"/>
      <c r="AE155" s="436"/>
    </row>
    <row r="156" spans="1:31" ht="18" x14ac:dyDescent="0.15">
      <c r="A156" s="421">
        <v>139</v>
      </c>
      <c r="B156" s="16" t="s">
        <v>320</v>
      </c>
      <c r="C156" s="424">
        <v>274459.75</v>
      </c>
      <c r="D156" s="423">
        <v>12</v>
      </c>
      <c r="E156" s="424">
        <f t="shared" si="160"/>
        <v>3293517</v>
      </c>
      <c r="F156" s="424">
        <v>0</v>
      </c>
      <c r="G156" s="425">
        <v>215481.36</v>
      </c>
      <c r="H156" s="427"/>
      <c r="I156" s="424">
        <f t="shared" si="161"/>
        <v>3078035.64</v>
      </c>
      <c r="J156" s="424">
        <v>200000</v>
      </c>
      <c r="K156" s="424">
        <v>0.2</v>
      </c>
      <c r="L156" s="424">
        <f t="shared" si="162"/>
        <v>615607.12800000003</v>
      </c>
      <c r="M156" s="424">
        <f t="shared" si="163"/>
        <v>815607.12800000003</v>
      </c>
      <c r="N156" s="424">
        <f t="shared" si="164"/>
        <v>1031088.488</v>
      </c>
      <c r="O156" s="424">
        <f t="shared" si="165"/>
        <v>2262428.5120000001</v>
      </c>
      <c r="P156" s="424">
        <f t="shared" si="166"/>
        <v>21000</v>
      </c>
      <c r="Q156" s="424">
        <f t="shared" si="167"/>
        <v>33000</v>
      </c>
      <c r="R156" s="424">
        <f t="shared" si="168"/>
        <v>75000</v>
      </c>
      <c r="S156" s="424">
        <f t="shared" si="169"/>
        <v>95000</v>
      </c>
      <c r="T156" s="424">
        <f t="shared" si="170"/>
        <v>139109.98752</v>
      </c>
      <c r="U156" s="424"/>
      <c r="V156" s="424">
        <f t="shared" si="172"/>
        <v>363109.98752000002</v>
      </c>
      <c r="W156" s="431">
        <v>12</v>
      </c>
      <c r="X156" s="424">
        <f t="shared" si="173"/>
        <v>30259.165626666701</v>
      </c>
      <c r="Y156" s="427"/>
      <c r="Z156" s="424">
        <f t="shared" si="174"/>
        <v>30259.165626666701</v>
      </c>
      <c r="AA156" s="436">
        <v>17042.713866666702</v>
      </c>
      <c r="AB156" s="436">
        <f t="shared" si="175"/>
        <v>13216.45176</v>
      </c>
      <c r="AC156" s="436"/>
      <c r="AD156" s="436"/>
      <c r="AE156" s="436"/>
    </row>
    <row r="157" spans="1:31" ht="18" x14ac:dyDescent="0.15">
      <c r="A157" s="421">
        <v>140</v>
      </c>
      <c r="B157" s="9" t="s">
        <v>329</v>
      </c>
      <c r="C157" s="424">
        <v>202598.16666666701</v>
      </c>
      <c r="D157" s="423">
        <v>12</v>
      </c>
      <c r="E157" s="424">
        <f t="shared" si="160"/>
        <v>2431178</v>
      </c>
      <c r="F157" s="424">
        <f>263.19*12</f>
        <v>3158.28</v>
      </c>
      <c r="G157" s="425">
        <v>161854.24</v>
      </c>
      <c r="H157" s="427"/>
      <c r="I157" s="424">
        <f t="shared" si="161"/>
        <v>2266165.48</v>
      </c>
      <c r="J157" s="424">
        <v>200000</v>
      </c>
      <c r="K157" s="424">
        <v>0.2</v>
      </c>
      <c r="L157" s="424">
        <f t="shared" si="162"/>
        <v>453233.09600000101</v>
      </c>
      <c r="M157" s="424">
        <f t="shared" si="163"/>
        <v>653233.09600000095</v>
      </c>
      <c r="N157" s="424">
        <f t="shared" si="164"/>
        <v>818245.61600000097</v>
      </c>
      <c r="O157" s="424">
        <f t="shared" si="165"/>
        <v>1612932.3840000001</v>
      </c>
      <c r="P157" s="424">
        <f t="shared" si="166"/>
        <v>21000</v>
      </c>
      <c r="Q157" s="424">
        <f t="shared" si="167"/>
        <v>33000</v>
      </c>
      <c r="R157" s="424">
        <f t="shared" si="168"/>
        <v>75000</v>
      </c>
      <c r="S157" s="424">
        <f t="shared" si="169"/>
        <v>95000</v>
      </c>
      <c r="T157" s="424">
        <f t="shared" si="170"/>
        <v>2715.8006400006998</v>
      </c>
      <c r="U157" s="424"/>
      <c r="V157" s="424">
        <f t="shared" si="172"/>
        <v>226715.80064000099</v>
      </c>
      <c r="W157" s="431">
        <v>12</v>
      </c>
      <c r="X157" s="424">
        <f t="shared" si="173"/>
        <v>18892.9833866667</v>
      </c>
      <c r="Y157" s="427"/>
      <c r="Z157" s="424">
        <f t="shared" si="174"/>
        <v>18892.9833866667</v>
      </c>
      <c r="AA157" s="436">
        <v>10739.3048</v>
      </c>
      <c r="AB157" s="436">
        <f t="shared" si="175"/>
        <v>8153.6785866667296</v>
      </c>
      <c r="AC157" s="436"/>
      <c r="AD157" s="436"/>
      <c r="AE157" s="436"/>
    </row>
    <row r="158" spans="1:31" ht="18" x14ac:dyDescent="0.15">
      <c r="A158" s="421">
        <v>141</v>
      </c>
      <c r="B158" s="9" t="s">
        <v>332</v>
      </c>
      <c r="C158" s="424">
        <v>205598.16666666701</v>
      </c>
      <c r="D158" s="423">
        <v>12</v>
      </c>
      <c r="E158" s="424">
        <f t="shared" si="160"/>
        <v>2467178</v>
      </c>
      <c r="F158" s="424"/>
      <c r="G158" s="425">
        <v>161854.24</v>
      </c>
      <c r="H158" s="427"/>
      <c r="I158" s="424">
        <f t="shared" si="161"/>
        <v>2305323.7599999998</v>
      </c>
      <c r="J158" s="424">
        <v>200000</v>
      </c>
      <c r="K158" s="424">
        <v>0.2</v>
      </c>
      <c r="L158" s="424">
        <f t="shared" si="162"/>
        <v>461064.75200000103</v>
      </c>
      <c r="M158" s="424">
        <f t="shared" si="163"/>
        <v>661064.75200000103</v>
      </c>
      <c r="N158" s="424">
        <f t="shared" si="164"/>
        <v>822918.99200000102</v>
      </c>
      <c r="O158" s="424">
        <f t="shared" si="165"/>
        <v>1644259.0079999999</v>
      </c>
      <c r="P158" s="424">
        <f t="shared" si="166"/>
        <v>21000</v>
      </c>
      <c r="Q158" s="424">
        <f t="shared" si="167"/>
        <v>33000</v>
      </c>
      <c r="R158" s="424">
        <f t="shared" si="168"/>
        <v>75000</v>
      </c>
      <c r="S158" s="424">
        <f t="shared" si="169"/>
        <v>95000</v>
      </c>
      <c r="T158" s="424">
        <f t="shared" si="170"/>
        <v>9294.39168000067</v>
      </c>
      <c r="U158" s="424"/>
      <c r="V158" s="424">
        <f t="shared" si="172"/>
        <v>233294.39168000099</v>
      </c>
      <c r="W158" s="431">
        <v>12</v>
      </c>
      <c r="X158" s="424">
        <f t="shared" si="173"/>
        <v>19441.199306666698</v>
      </c>
      <c r="Y158" s="427"/>
      <c r="Z158" s="424">
        <f t="shared" si="174"/>
        <v>19441.199306666698</v>
      </c>
      <c r="AA158" s="436">
        <v>11232.457626666701</v>
      </c>
      <c r="AB158" s="436">
        <f t="shared" si="175"/>
        <v>8208.7416800000192</v>
      </c>
      <c r="AC158" s="436"/>
      <c r="AD158" s="436"/>
      <c r="AE158" s="436"/>
    </row>
    <row r="159" spans="1:31" ht="15.75" customHeight="1" x14ac:dyDescent="0.15">
      <c r="A159" s="421">
        <v>142</v>
      </c>
      <c r="B159" s="9" t="s">
        <v>333</v>
      </c>
      <c r="C159" s="424">
        <v>202598.16666666701</v>
      </c>
      <c r="D159" s="423">
        <v>12</v>
      </c>
      <c r="E159" s="424">
        <f t="shared" si="160"/>
        <v>2431178</v>
      </c>
      <c r="F159" s="424"/>
      <c r="G159" s="425">
        <v>161854.24</v>
      </c>
      <c r="H159" s="427"/>
      <c r="I159" s="424">
        <f t="shared" si="161"/>
        <v>2269323.7599999998</v>
      </c>
      <c r="J159" s="424">
        <v>200000</v>
      </c>
      <c r="K159" s="424">
        <v>0.2</v>
      </c>
      <c r="L159" s="424">
        <f t="shared" si="162"/>
        <v>453864.75200000103</v>
      </c>
      <c r="M159" s="424">
        <f t="shared" si="163"/>
        <v>653864.75200000103</v>
      </c>
      <c r="N159" s="424">
        <f t="shared" si="164"/>
        <v>815718.99200000102</v>
      </c>
      <c r="O159" s="424">
        <f t="shared" si="165"/>
        <v>1615459.0079999999</v>
      </c>
      <c r="P159" s="424">
        <f t="shared" si="166"/>
        <v>21000</v>
      </c>
      <c r="Q159" s="424">
        <f t="shared" si="167"/>
        <v>33000</v>
      </c>
      <c r="R159" s="424">
        <f t="shared" si="168"/>
        <v>75000</v>
      </c>
      <c r="S159" s="424">
        <f t="shared" si="169"/>
        <v>95000</v>
      </c>
      <c r="T159" s="424">
        <f t="shared" si="170"/>
        <v>3246.39168000067</v>
      </c>
      <c r="U159" s="424"/>
      <c r="V159" s="424">
        <f t="shared" si="172"/>
        <v>227246.39168000099</v>
      </c>
      <c r="W159" s="431">
        <v>12</v>
      </c>
      <c r="X159" s="424">
        <f t="shared" si="173"/>
        <v>18937.199306666698</v>
      </c>
      <c r="Y159" s="427"/>
      <c r="Z159" s="424">
        <f t="shared" si="174"/>
        <v>18937.199306666698</v>
      </c>
      <c r="AA159" s="436">
        <v>10776.457626666701</v>
      </c>
      <c r="AB159" s="436">
        <f t="shared" si="175"/>
        <v>8160.7416800000201</v>
      </c>
      <c r="AC159" s="436"/>
      <c r="AD159" s="436"/>
      <c r="AE159" s="436"/>
    </row>
    <row r="160" spans="1:31" ht="18" x14ac:dyDescent="0.15">
      <c r="A160" s="421">
        <v>143</v>
      </c>
      <c r="B160" s="9" t="s">
        <v>334</v>
      </c>
      <c r="C160" s="424">
        <v>202598.16666666701</v>
      </c>
      <c r="D160" s="423">
        <v>12</v>
      </c>
      <c r="E160" s="424">
        <f t="shared" si="160"/>
        <v>2431178</v>
      </c>
      <c r="F160" s="424">
        <f>263.19*12</f>
        <v>3158.28</v>
      </c>
      <c r="G160" s="425">
        <v>161854.24</v>
      </c>
      <c r="H160" s="427"/>
      <c r="I160" s="424">
        <f t="shared" si="161"/>
        <v>2266165.48</v>
      </c>
      <c r="J160" s="424">
        <v>200000</v>
      </c>
      <c r="K160" s="424">
        <v>0.2</v>
      </c>
      <c r="L160" s="424">
        <f t="shared" si="162"/>
        <v>453233.09600000101</v>
      </c>
      <c r="M160" s="424">
        <f t="shared" si="163"/>
        <v>653233.09600000095</v>
      </c>
      <c r="N160" s="424">
        <f t="shared" si="164"/>
        <v>818245.61600000097</v>
      </c>
      <c r="O160" s="424">
        <f t="shared" si="165"/>
        <v>1612932.3840000001</v>
      </c>
      <c r="P160" s="424">
        <f t="shared" si="166"/>
        <v>21000</v>
      </c>
      <c r="Q160" s="424">
        <f t="shared" si="167"/>
        <v>33000</v>
      </c>
      <c r="R160" s="424">
        <f t="shared" si="168"/>
        <v>75000</v>
      </c>
      <c r="S160" s="424">
        <f t="shared" si="169"/>
        <v>95000</v>
      </c>
      <c r="T160" s="424">
        <f t="shared" si="170"/>
        <v>2715.8006400006998</v>
      </c>
      <c r="U160" s="424"/>
      <c r="V160" s="424">
        <f t="shared" si="172"/>
        <v>226715.80064000099</v>
      </c>
      <c r="W160" s="431">
        <v>12</v>
      </c>
      <c r="X160" s="424">
        <f t="shared" si="173"/>
        <v>18892.9833866667</v>
      </c>
      <c r="Y160" s="427"/>
      <c r="Z160" s="424">
        <f t="shared" si="174"/>
        <v>18892.9833866667</v>
      </c>
      <c r="AA160" s="436">
        <v>10739.3048</v>
      </c>
      <c r="AB160" s="436">
        <f t="shared" si="175"/>
        <v>8153.6785866667296</v>
      </c>
      <c r="AC160" s="436"/>
      <c r="AD160" s="436"/>
      <c r="AE160" s="436"/>
    </row>
    <row r="161" spans="1:31" ht="18" x14ac:dyDescent="0.15">
      <c r="A161" s="421">
        <v>144</v>
      </c>
      <c r="B161" s="9" t="s">
        <v>335</v>
      </c>
      <c r="C161" s="424">
        <v>202598.16666666701</v>
      </c>
      <c r="D161" s="423">
        <v>12</v>
      </c>
      <c r="E161" s="424">
        <f t="shared" si="160"/>
        <v>2431178</v>
      </c>
      <c r="F161" s="424"/>
      <c r="G161" s="425">
        <v>161854.24</v>
      </c>
      <c r="H161" s="427"/>
      <c r="I161" s="424">
        <f t="shared" si="161"/>
        <v>2269323.7599999998</v>
      </c>
      <c r="J161" s="424">
        <v>200000</v>
      </c>
      <c r="K161" s="424">
        <v>0.2</v>
      </c>
      <c r="L161" s="424">
        <f t="shared" si="162"/>
        <v>453864.75200000103</v>
      </c>
      <c r="M161" s="424">
        <f t="shared" si="163"/>
        <v>653864.75200000103</v>
      </c>
      <c r="N161" s="424">
        <f t="shared" si="164"/>
        <v>815718.99200000102</v>
      </c>
      <c r="O161" s="424">
        <f t="shared" si="165"/>
        <v>1615459.0079999999</v>
      </c>
      <c r="P161" s="424">
        <f t="shared" si="166"/>
        <v>21000</v>
      </c>
      <c r="Q161" s="424">
        <f t="shared" si="167"/>
        <v>33000</v>
      </c>
      <c r="R161" s="424">
        <f t="shared" si="168"/>
        <v>75000</v>
      </c>
      <c r="S161" s="424">
        <f t="shared" si="169"/>
        <v>95000</v>
      </c>
      <c r="T161" s="424">
        <f t="shared" si="170"/>
        <v>3246.39168000067</v>
      </c>
      <c r="U161" s="424"/>
      <c r="V161" s="424">
        <f t="shared" si="172"/>
        <v>227246.39168000099</v>
      </c>
      <c r="W161" s="431">
        <v>12</v>
      </c>
      <c r="X161" s="424">
        <f t="shared" si="173"/>
        <v>18937.199306666698</v>
      </c>
      <c r="Y161" s="427"/>
      <c r="Z161" s="424">
        <f t="shared" si="174"/>
        <v>18937.199306666698</v>
      </c>
      <c r="AA161" s="436">
        <v>10776.457626666701</v>
      </c>
      <c r="AB161" s="436">
        <f t="shared" si="175"/>
        <v>8160.7416800000201</v>
      </c>
      <c r="AC161" s="436"/>
      <c r="AD161" s="436"/>
      <c r="AE161" s="436"/>
    </row>
    <row r="162" spans="1:31" ht="18" x14ac:dyDescent="0.15">
      <c r="A162" s="421">
        <v>145</v>
      </c>
      <c r="B162" s="9" t="s">
        <v>336</v>
      </c>
      <c r="C162" s="424">
        <v>200336.83333333299</v>
      </c>
      <c r="D162" s="423">
        <v>12</v>
      </c>
      <c r="E162" s="424">
        <f t="shared" si="160"/>
        <v>2404042</v>
      </c>
      <c r="F162" s="424"/>
      <c r="G162" s="425">
        <v>156803.35999999999</v>
      </c>
      <c r="H162" s="427"/>
      <c r="I162" s="424">
        <f t="shared" si="161"/>
        <v>2247238.64</v>
      </c>
      <c r="J162" s="424">
        <v>200000</v>
      </c>
      <c r="K162" s="424">
        <v>0.2</v>
      </c>
      <c r="L162" s="424">
        <f t="shared" si="162"/>
        <v>449447.72799999901</v>
      </c>
      <c r="M162" s="424">
        <f t="shared" si="163"/>
        <v>649447.72799999896</v>
      </c>
      <c r="N162" s="424">
        <f t="shared" si="164"/>
        <v>806251.08799999906</v>
      </c>
      <c r="O162" s="424">
        <f t="shared" si="165"/>
        <v>1597790.912</v>
      </c>
      <c r="P162" s="424">
        <f t="shared" si="166"/>
        <v>21000</v>
      </c>
      <c r="Q162" s="424">
        <f t="shared" si="167"/>
        <v>33000</v>
      </c>
      <c r="R162" s="424">
        <f t="shared" si="168"/>
        <v>75000</v>
      </c>
      <c r="S162" s="424">
        <f t="shared" si="169"/>
        <v>94580.273279999397</v>
      </c>
      <c r="T162" s="424">
        <f t="shared" si="170"/>
        <v>0</v>
      </c>
      <c r="U162" s="424"/>
      <c r="V162" s="424">
        <f t="shared" si="172"/>
        <v>223580.273279999</v>
      </c>
      <c r="W162" s="431">
        <v>12</v>
      </c>
      <c r="X162" s="424">
        <f t="shared" si="173"/>
        <v>18631.6894399999</v>
      </c>
      <c r="Y162" s="427"/>
      <c r="Z162" s="424">
        <f t="shared" si="174"/>
        <v>18631.6894399999</v>
      </c>
      <c r="AA162" s="436">
        <v>11232.457626666701</v>
      </c>
      <c r="AB162" s="436">
        <f t="shared" si="175"/>
        <v>7399.2318133332501</v>
      </c>
      <c r="AC162" s="436"/>
      <c r="AD162" s="436"/>
      <c r="AE162" s="436"/>
    </row>
    <row r="163" spans="1:31" ht="18" x14ac:dyDescent="0.15">
      <c r="A163" s="421">
        <v>146</v>
      </c>
      <c r="B163" s="9" t="s">
        <v>338</v>
      </c>
      <c r="C163" s="424">
        <v>197336.83333333299</v>
      </c>
      <c r="D163" s="423">
        <v>12</v>
      </c>
      <c r="E163" s="424">
        <f t="shared" si="160"/>
        <v>2368042</v>
      </c>
      <c r="F163" s="424"/>
      <c r="G163" s="425">
        <v>156803.35999999999</v>
      </c>
      <c r="H163" s="427"/>
      <c r="I163" s="424">
        <f t="shared" si="161"/>
        <v>2211238.64</v>
      </c>
      <c r="J163" s="424">
        <v>200000</v>
      </c>
      <c r="K163" s="424">
        <v>0.2</v>
      </c>
      <c r="L163" s="424">
        <f t="shared" si="162"/>
        <v>442247.72799999901</v>
      </c>
      <c r="M163" s="424">
        <f t="shared" si="163"/>
        <v>642247.72799999896</v>
      </c>
      <c r="N163" s="424">
        <f t="shared" si="164"/>
        <v>799051.08799999906</v>
      </c>
      <c r="O163" s="424">
        <f t="shared" si="165"/>
        <v>1568990.912</v>
      </c>
      <c r="P163" s="424">
        <f t="shared" si="166"/>
        <v>21000</v>
      </c>
      <c r="Q163" s="424">
        <f t="shared" si="167"/>
        <v>33000</v>
      </c>
      <c r="R163" s="424">
        <f t="shared" si="168"/>
        <v>75000</v>
      </c>
      <c r="S163" s="424">
        <f t="shared" si="169"/>
        <v>89108.273279999397</v>
      </c>
      <c r="T163" s="424">
        <f t="shared" si="170"/>
        <v>0</v>
      </c>
      <c r="U163" s="424"/>
      <c r="V163" s="424">
        <f t="shared" si="172"/>
        <v>218108.273279999</v>
      </c>
      <c r="W163" s="431">
        <v>12</v>
      </c>
      <c r="X163" s="424">
        <f t="shared" si="173"/>
        <v>18175.6894399999</v>
      </c>
      <c r="Y163" s="427"/>
      <c r="Z163" s="424">
        <f t="shared" si="174"/>
        <v>18175.6894399999</v>
      </c>
      <c r="AA163" s="436">
        <v>10776.457626666701</v>
      </c>
      <c r="AB163" s="436">
        <f t="shared" si="175"/>
        <v>7399.2318133332501</v>
      </c>
      <c r="AC163" s="436"/>
      <c r="AD163" s="436"/>
      <c r="AE163" s="436"/>
    </row>
    <row r="164" spans="1:31" ht="18" x14ac:dyDescent="0.15">
      <c r="A164" s="421">
        <v>147</v>
      </c>
      <c r="B164" s="12" t="s">
        <v>339</v>
      </c>
      <c r="C164" s="424">
        <v>200336.83333333299</v>
      </c>
      <c r="D164" s="423">
        <v>12</v>
      </c>
      <c r="E164" s="424">
        <f t="shared" si="160"/>
        <v>2404042</v>
      </c>
      <c r="F164" s="424"/>
      <c r="G164" s="425">
        <v>156803.35999999999</v>
      </c>
      <c r="H164" s="427"/>
      <c r="I164" s="424">
        <f t="shared" si="161"/>
        <v>2247238.64</v>
      </c>
      <c r="J164" s="424">
        <v>200000</v>
      </c>
      <c r="K164" s="424">
        <v>0.2</v>
      </c>
      <c r="L164" s="424">
        <f t="shared" si="162"/>
        <v>449447.72799999901</v>
      </c>
      <c r="M164" s="424">
        <f t="shared" si="163"/>
        <v>649447.72799999896</v>
      </c>
      <c r="N164" s="424">
        <f t="shared" si="164"/>
        <v>806251.08799999906</v>
      </c>
      <c r="O164" s="424">
        <f t="shared" si="165"/>
        <v>1597790.912</v>
      </c>
      <c r="P164" s="424">
        <f t="shared" si="166"/>
        <v>21000</v>
      </c>
      <c r="Q164" s="424">
        <f t="shared" si="167"/>
        <v>33000</v>
      </c>
      <c r="R164" s="424">
        <f t="shared" si="168"/>
        <v>75000</v>
      </c>
      <c r="S164" s="424">
        <f t="shared" si="169"/>
        <v>94580.273279999397</v>
      </c>
      <c r="T164" s="424">
        <f t="shared" si="170"/>
        <v>0</v>
      </c>
      <c r="U164" s="424"/>
      <c r="V164" s="424">
        <f t="shared" si="172"/>
        <v>223580.273279999</v>
      </c>
      <c r="W164" s="431">
        <v>12</v>
      </c>
      <c r="X164" s="424">
        <f t="shared" si="173"/>
        <v>18631.6894399999</v>
      </c>
      <c r="Y164" s="427"/>
      <c r="Z164" s="424">
        <f t="shared" si="174"/>
        <v>18631.6894399999</v>
      </c>
      <c r="AA164" s="436">
        <v>11232.457626666701</v>
      </c>
      <c r="AB164" s="436">
        <f t="shared" si="175"/>
        <v>7399.2318133332501</v>
      </c>
      <c r="AC164" s="436"/>
      <c r="AD164" s="436"/>
      <c r="AE164" s="436"/>
    </row>
    <row r="165" spans="1:31" ht="18" x14ac:dyDescent="0.15">
      <c r="A165" s="421">
        <v>148</v>
      </c>
      <c r="B165" s="9" t="s">
        <v>340</v>
      </c>
      <c r="C165" s="424">
        <v>197336.83333333299</v>
      </c>
      <c r="D165" s="423">
        <v>12</v>
      </c>
      <c r="E165" s="424">
        <f t="shared" si="160"/>
        <v>2368042</v>
      </c>
      <c r="F165" s="424"/>
      <c r="G165" s="425">
        <v>156803.35999999999</v>
      </c>
      <c r="H165" s="427"/>
      <c r="I165" s="424">
        <f t="shared" si="161"/>
        <v>2211238.64</v>
      </c>
      <c r="J165" s="424">
        <v>200000</v>
      </c>
      <c r="K165" s="424">
        <v>0.2</v>
      </c>
      <c r="L165" s="424">
        <f t="shared" si="162"/>
        <v>442247.72799999901</v>
      </c>
      <c r="M165" s="424">
        <f t="shared" si="163"/>
        <v>642247.72799999896</v>
      </c>
      <c r="N165" s="424">
        <f t="shared" si="164"/>
        <v>799051.08799999906</v>
      </c>
      <c r="O165" s="424">
        <f t="shared" si="165"/>
        <v>1568990.912</v>
      </c>
      <c r="P165" s="424">
        <f t="shared" si="166"/>
        <v>21000</v>
      </c>
      <c r="Q165" s="424">
        <f t="shared" si="167"/>
        <v>33000</v>
      </c>
      <c r="R165" s="424">
        <f t="shared" si="168"/>
        <v>75000</v>
      </c>
      <c r="S165" s="424">
        <f t="shared" si="169"/>
        <v>89108.273279999397</v>
      </c>
      <c r="T165" s="424">
        <f t="shared" si="170"/>
        <v>0</v>
      </c>
      <c r="U165" s="424"/>
      <c r="V165" s="424">
        <f t="shared" si="172"/>
        <v>218108.273279999</v>
      </c>
      <c r="W165" s="431">
        <v>12</v>
      </c>
      <c r="X165" s="424">
        <f t="shared" si="173"/>
        <v>18175.6894399999</v>
      </c>
      <c r="Y165" s="427"/>
      <c r="Z165" s="424">
        <f t="shared" si="174"/>
        <v>18175.6894399999</v>
      </c>
      <c r="AA165" s="436">
        <v>10776.457626666701</v>
      </c>
      <c r="AB165" s="436">
        <f t="shared" si="175"/>
        <v>7399.2318133332501</v>
      </c>
      <c r="AC165" s="436"/>
      <c r="AD165" s="436"/>
      <c r="AE165" s="436"/>
    </row>
    <row r="166" spans="1:31" ht="18" x14ac:dyDescent="0.15">
      <c r="A166" s="421">
        <v>149</v>
      </c>
      <c r="B166" s="16" t="s">
        <v>341</v>
      </c>
      <c r="C166" s="424">
        <v>197336.83333333299</v>
      </c>
      <c r="D166" s="423">
        <v>12</v>
      </c>
      <c r="E166" s="424">
        <f t="shared" si="160"/>
        <v>2368042</v>
      </c>
      <c r="F166" s="424"/>
      <c r="G166" s="425">
        <v>156803.35999999999</v>
      </c>
      <c r="H166" s="427"/>
      <c r="I166" s="424">
        <f t="shared" si="161"/>
        <v>2211238.64</v>
      </c>
      <c r="J166" s="424">
        <v>200000</v>
      </c>
      <c r="K166" s="424">
        <v>0.2</v>
      </c>
      <c r="L166" s="424">
        <f t="shared" si="162"/>
        <v>442247.72799999901</v>
      </c>
      <c r="M166" s="424">
        <f t="shared" si="163"/>
        <v>642247.72799999896</v>
      </c>
      <c r="N166" s="424">
        <f t="shared" si="164"/>
        <v>799051.08799999906</v>
      </c>
      <c r="O166" s="424">
        <f t="shared" si="165"/>
        <v>1568990.912</v>
      </c>
      <c r="P166" s="424">
        <f t="shared" si="166"/>
        <v>21000</v>
      </c>
      <c r="Q166" s="424">
        <f t="shared" si="167"/>
        <v>33000</v>
      </c>
      <c r="R166" s="424">
        <f t="shared" si="168"/>
        <v>75000</v>
      </c>
      <c r="S166" s="424">
        <f t="shared" si="169"/>
        <v>89108.273279999397</v>
      </c>
      <c r="T166" s="424">
        <f t="shared" si="170"/>
        <v>0</v>
      </c>
      <c r="U166" s="424"/>
      <c r="V166" s="424">
        <f t="shared" si="172"/>
        <v>218108.273279999</v>
      </c>
      <c r="W166" s="431">
        <v>12</v>
      </c>
      <c r="X166" s="424">
        <f t="shared" si="173"/>
        <v>18175.6894399999</v>
      </c>
      <c r="Y166" s="427"/>
      <c r="Z166" s="424">
        <f t="shared" si="174"/>
        <v>18175.6894399999</v>
      </c>
      <c r="AA166" s="436">
        <v>10776.457626666701</v>
      </c>
      <c r="AB166" s="436">
        <f t="shared" si="175"/>
        <v>7399.2318133332501</v>
      </c>
      <c r="AC166" s="436"/>
      <c r="AD166" s="436"/>
      <c r="AE166" s="436"/>
    </row>
    <row r="167" spans="1:31" ht="18" x14ac:dyDescent="0.15">
      <c r="A167" s="421">
        <v>150</v>
      </c>
      <c r="B167" s="16" t="s">
        <v>342</v>
      </c>
      <c r="C167" s="424">
        <v>200336.83333333299</v>
      </c>
      <c r="D167" s="423">
        <v>12</v>
      </c>
      <c r="E167" s="424">
        <f t="shared" si="160"/>
        <v>2404042</v>
      </c>
      <c r="F167" s="424"/>
      <c r="G167" s="425">
        <v>156803.35999999999</v>
      </c>
      <c r="H167" s="427"/>
      <c r="I167" s="424">
        <f t="shared" si="161"/>
        <v>2247238.64</v>
      </c>
      <c r="J167" s="424">
        <v>200000</v>
      </c>
      <c r="K167" s="424">
        <v>0.2</v>
      </c>
      <c r="L167" s="424">
        <f t="shared" si="162"/>
        <v>449447.72799999901</v>
      </c>
      <c r="M167" s="424">
        <f t="shared" si="163"/>
        <v>649447.72799999896</v>
      </c>
      <c r="N167" s="424">
        <f t="shared" si="164"/>
        <v>806251.08799999906</v>
      </c>
      <c r="O167" s="424">
        <f t="shared" si="165"/>
        <v>1597790.912</v>
      </c>
      <c r="P167" s="424">
        <f t="shared" si="166"/>
        <v>21000</v>
      </c>
      <c r="Q167" s="424">
        <f t="shared" si="167"/>
        <v>33000</v>
      </c>
      <c r="R167" s="424">
        <f t="shared" si="168"/>
        <v>75000</v>
      </c>
      <c r="S167" s="424">
        <f t="shared" si="169"/>
        <v>94580.273279999397</v>
      </c>
      <c r="T167" s="424">
        <f t="shared" si="170"/>
        <v>0</v>
      </c>
      <c r="U167" s="424"/>
      <c r="V167" s="424">
        <f t="shared" si="172"/>
        <v>223580.273279999</v>
      </c>
      <c r="W167" s="431">
        <v>12</v>
      </c>
      <c r="X167" s="424">
        <f t="shared" si="173"/>
        <v>18631.6894399999</v>
      </c>
      <c r="Y167" s="427"/>
      <c r="Z167" s="424">
        <f t="shared" si="174"/>
        <v>18631.6894399999</v>
      </c>
      <c r="AA167" s="436">
        <v>11232.457626666701</v>
      </c>
      <c r="AB167" s="436">
        <f t="shared" si="175"/>
        <v>7399.2318133332501</v>
      </c>
      <c r="AC167" s="436"/>
      <c r="AD167" s="436"/>
      <c r="AE167" s="436"/>
    </row>
    <row r="168" spans="1:31" ht="31.5" x14ac:dyDescent="0.2">
      <c r="A168" s="421">
        <v>151</v>
      </c>
      <c r="B168" s="9" t="s">
        <v>343</v>
      </c>
      <c r="C168" s="424">
        <v>189814.16666666701</v>
      </c>
      <c r="D168" s="423">
        <v>12</v>
      </c>
      <c r="E168" s="424">
        <f t="shared" si="160"/>
        <v>2277770</v>
      </c>
      <c r="F168" s="424"/>
      <c r="G168" s="425">
        <v>146701.6</v>
      </c>
      <c r="H168" s="427"/>
      <c r="I168" s="424">
        <f t="shared" si="161"/>
        <v>2131068.4</v>
      </c>
      <c r="J168" s="424">
        <v>200000</v>
      </c>
      <c r="K168" s="424">
        <v>0.2</v>
      </c>
      <c r="L168" s="424">
        <f t="shared" si="162"/>
        <v>426213.68000000098</v>
      </c>
      <c r="M168" s="424">
        <f t="shared" si="163"/>
        <v>626213.68000000098</v>
      </c>
      <c r="N168" s="424">
        <f t="shared" si="164"/>
        <v>772915.28000000096</v>
      </c>
      <c r="O168" s="424">
        <f t="shared" si="165"/>
        <v>1504854.72</v>
      </c>
      <c r="P168" s="424">
        <f t="shared" si="166"/>
        <v>21000</v>
      </c>
      <c r="Q168" s="424">
        <f t="shared" si="167"/>
        <v>33000</v>
      </c>
      <c r="R168" s="424">
        <f t="shared" si="168"/>
        <v>75000</v>
      </c>
      <c r="S168" s="424">
        <f t="shared" si="169"/>
        <v>76922.396800000701</v>
      </c>
      <c r="T168" s="424">
        <f t="shared" si="170"/>
        <v>0</v>
      </c>
      <c r="U168" s="424"/>
      <c r="V168" s="424">
        <f t="shared" si="172"/>
        <v>205922.39680000101</v>
      </c>
      <c r="W168" s="431">
        <v>12</v>
      </c>
      <c r="X168" s="424">
        <f t="shared" si="173"/>
        <v>17160.1997333334</v>
      </c>
      <c r="Y168" s="427"/>
      <c r="Z168" s="424">
        <f t="shared" si="174"/>
        <v>17160.1997333334</v>
      </c>
      <c r="AA168" s="436">
        <v>9152.5997900000002</v>
      </c>
      <c r="AB168" s="436">
        <f t="shared" si="175"/>
        <v>8007.59994333339</v>
      </c>
      <c r="AC168" s="436"/>
      <c r="AD168" s="436"/>
      <c r="AE168" s="436"/>
    </row>
    <row r="169" spans="1:31" ht="18" x14ac:dyDescent="0.15">
      <c r="A169" s="421">
        <v>152</v>
      </c>
      <c r="B169" s="9" t="s">
        <v>346</v>
      </c>
      <c r="C169" s="424">
        <v>189814.16666666701</v>
      </c>
      <c r="D169" s="423">
        <v>12</v>
      </c>
      <c r="E169" s="424">
        <f t="shared" si="160"/>
        <v>2277770</v>
      </c>
      <c r="F169" s="424"/>
      <c r="G169" s="425">
        <v>146701.6</v>
      </c>
      <c r="H169" s="427"/>
      <c r="I169" s="424">
        <f t="shared" si="161"/>
        <v>2131068.4</v>
      </c>
      <c r="J169" s="424">
        <v>200000</v>
      </c>
      <c r="K169" s="424">
        <v>0.2</v>
      </c>
      <c r="L169" s="424">
        <f t="shared" si="162"/>
        <v>426213.68000000098</v>
      </c>
      <c r="M169" s="424">
        <f t="shared" si="163"/>
        <v>626213.68000000098</v>
      </c>
      <c r="N169" s="424">
        <f t="shared" si="164"/>
        <v>772915.28000000096</v>
      </c>
      <c r="O169" s="424">
        <f t="shared" si="165"/>
        <v>1504854.72</v>
      </c>
      <c r="P169" s="424">
        <f t="shared" si="166"/>
        <v>21000</v>
      </c>
      <c r="Q169" s="424">
        <f t="shared" si="167"/>
        <v>33000</v>
      </c>
      <c r="R169" s="424">
        <f t="shared" si="168"/>
        <v>75000</v>
      </c>
      <c r="S169" s="424">
        <f t="shared" si="169"/>
        <v>76922.396800000701</v>
      </c>
      <c r="T169" s="424">
        <f t="shared" si="170"/>
        <v>0</v>
      </c>
      <c r="U169" s="424"/>
      <c r="V169" s="424">
        <f t="shared" si="172"/>
        <v>205922.39680000101</v>
      </c>
      <c r="W169" s="431">
        <v>12</v>
      </c>
      <c r="X169" s="424">
        <f t="shared" si="173"/>
        <v>17160.1997333334</v>
      </c>
      <c r="Y169" s="427"/>
      <c r="Z169" s="424">
        <f t="shared" si="174"/>
        <v>17160.1997333334</v>
      </c>
      <c r="AA169" s="436">
        <v>9152.5997900000002</v>
      </c>
      <c r="AB169" s="436">
        <f t="shared" si="175"/>
        <v>8007.59994333339</v>
      </c>
      <c r="AC169" s="436"/>
      <c r="AD169" s="436"/>
      <c r="AE169" s="436"/>
    </row>
    <row r="170" spans="1:31" ht="18" x14ac:dyDescent="0.15">
      <c r="A170" s="421">
        <v>153</v>
      </c>
      <c r="B170" s="16" t="s">
        <v>347</v>
      </c>
      <c r="C170" s="424">
        <v>195075.5</v>
      </c>
      <c r="D170" s="423">
        <v>12</v>
      </c>
      <c r="E170" s="424">
        <f t="shared" si="160"/>
        <v>2340906</v>
      </c>
      <c r="F170" s="424"/>
      <c r="G170" s="425">
        <v>151752.48000000001</v>
      </c>
      <c r="H170" s="427"/>
      <c r="I170" s="424">
        <f t="shared" si="161"/>
        <v>2189153.52</v>
      </c>
      <c r="J170" s="424">
        <v>200000</v>
      </c>
      <c r="K170" s="424">
        <v>0.2</v>
      </c>
      <c r="L170" s="424">
        <f t="shared" si="162"/>
        <v>437830.70400000003</v>
      </c>
      <c r="M170" s="424">
        <f t="shared" si="163"/>
        <v>637830.70400000003</v>
      </c>
      <c r="N170" s="424">
        <f t="shared" si="164"/>
        <v>789583.18400000001</v>
      </c>
      <c r="O170" s="424">
        <f t="shared" si="165"/>
        <v>1551322.8160000001</v>
      </c>
      <c r="P170" s="424">
        <f t="shared" si="166"/>
        <v>21000</v>
      </c>
      <c r="Q170" s="424">
        <f t="shared" si="167"/>
        <v>33000</v>
      </c>
      <c r="R170" s="424">
        <f t="shared" si="168"/>
        <v>75000</v>
      </c>
      <c r="S170" s="424">
        <f t="shared" si="169"/>
        <v>85751.335040000005</v>
      </c>
      <c r="T170" s="424">
        <f t="shared" si="170"/>
        <v>0</v>
      </c>
      <c r="U170" s="424"/>
      <c r="V170" s="424">
        <f t="shared" si="172"/>
        <v>214751.33504000001</v>
      </c>
      <c r="W170" s="431">
        <v>12</v>
      </c>
      <c r="X170" s="424">
        <f t="shared" si="173"/>
        <v>17895.944586666701</v>
      </c>
      <c r="Y170" s="427"/>
      <c r="Z170" s="424">
        <f t="shared" si="174"/>
        <v>17895.944586666701</v>
      </c>
      <c r="AA170" s="436">
        <v>9504.2041399999998</v>
      </c>
      <c r="AB170" s="436">
        <f t="shared" si="175"/>
        <v>8391.7404466666703</v>
      </c>
      <c r="AC170" s="436"/>
      <c r="AD170" s="436"/>
      <c r="AE170" s="436"/>
    </row>
    <row r="171" spans="1:31" ht="29.25" customHeight="1" x14ac:dyDescent="0.15">
      <c r="A171" s="421">
        <v>154</v>
      </c>
      <c r="B171" s="9" t="s">
        <v>349</v>
      </c>
      <c r="C171" s="424">
        <v>121145.75</v>
      </c>
      <c r="D171" s="423">
        <v>12</v>
      </c>
      <c r="E171" s="424">
        <f t="shared" si="160"/>
        <v>1453749</v>
      </c>
      <c r="F171" s="424"/>
      <c r="G171" s="425">
        <v>90379.92</v>
      </c>
      <c r="H171" s="427"/>
      <c r="I171" s="424">
        <f t="shared" si="161"/>
        <v>1363369.08</v>
      </c>
      <c r="J171" s="424">
        <v>200000</v>
      </c>
      <c r="K171" s="424">
        <v>0.2</v>
      </c>
      <c r="L171" s="424">
        <f t="shared" si="162"/>
        <v>272673.81599999999</v>
      </c>
      <c r="M171" s="424">
        <f t="shared" si="163"/>
        <v>472673.81599999999</v>
      </c>
      <c r="N171" s="424">
        <f t="shared" si="164"/>
        <v>563053.73600000003</v>
      </c>
      <c r="O171" s="424">
        <f t="shared" si="165"/>
        <v>890695.26399999997</v>
      </c>
      <c r="P171" s="424">
        <f t="shared" si="166"/>
        <v>21000</v>
      </c>
      <c r="Q171" s="424">
        <f t="shared" si="167"/>
        <v>33000</v>
      </c>
      <c r="R171" s="424">
        <f t="shared" si="168"/>
        <v>43604.289599999996</v>
      </c>
      <c r="S171" s="424">
        <f t="shared" si="169"/>
        <v>0</v>
      </c>
      <c r="T171" s="424">
        <f t="shared" si="170"/>
        <v>0</v>
      </c>
      <c r="U171" s="424"/>
      <c r="V171" s="424">
        <f t="shared" si="172"/>
        <v>97604.289600000004</v>
      </c>
      <c r="W171" s="431">
        <v>12</v>
      </c>
      <c r="X171" s="424">
        <f t="shared" si="173"/>
        <v>8133.6908000000003</v>
      </c>
      <c r="Y171" s="427"/>
      <c r="Z171" s="424">
        <f t="shared" si="174"/>
        <v>8133.6908000000003</v>
      </c>
      <c r="AA171" s="436">
        <v>4365.3307546666701</v>
      </c>
      <c r="AB171" s="436">
        <f t="shared" si="175"/>
        <v>3768.3600453333302</v>
      </c>
      <c r="AC171" s="436"/>
      <c r="AD171" s="436"/>
      <c r="AE171" s="436"/>
    </row>
    <row r="172" spans="1:31" ht="18" x14ac:dyDescent="0.15">
      <c r="A172" s="421">
        <v>155</v>
      </c>
      <c r="B172" s="9" t="s">
        <v>352</v>
      </c>
      <c r="C172" s="424">
        <v>118598</v>
      </c>
      <c r="D172" s="423">
        <v>12</v>
      </c>
      <c r="E172" s="424">
        <f t="shared" si="160"/>
        <v>1423176</v>
      </c>
      <c r="F172" s="424"/>
      <c r="G172" s="425">
        <v>87934.080000000002</v>
      </c>
      <c r="H172" s="427"/>
      <c r="I172" s="424">
        <f t="shared" si="161"/>
        <v>1335241.92</v>
      </c>
      <c r="J172" s="424">
        <v>200000</v>
      </c>
      <c r="K172" s="424">
        <v>0.2</v>
      </c>
      <c r="L172" s="424">
        <f t="shared" si="162"/>
        <v>267048.38400000002</v>
      </c>
      <c r="M172" s="424">
        <f t="shared" si="163"/>
        <v>467048.38400000002</v>
      </c>
      <c r="N172" s="424">
        <f t="shared" si="164"/>
        <v>554982.46400000004</v>
      </c>
      <c r="O172" s="424">
        <f t="shared" si="165"/>
        <v>868193.53599999996</v>
      </c>
      <c r="P172" s="424">
        <f t="shared" si="166"/>
        <v>21000</v>
      </c>
      <c r="Q172" s="424">
        <f t="shared" si="167"/>
        <v>33000</v>
      </c>
      <c r="R172" s="424">
        <f t="shared" si="168"/>
        <v>40229.030400000003</v>
      </c>
      <c r="S172" s="424">
        <f t="shared" si="169"/>
        <v>0</v>
      </c>
      <c r="T172" s="424">
        <f t="shared" si="170"/>
        <v>0</v>
      </c>
      <c r="U172" s="424"/>
      <c r="V172" s="424">
        <f t="shared" si="172"/>
        <v>94229.030400000003</v>
      </c>
      <c r="W172" s="431">
        <v>12</v>
      </c>
      <c r="X172" s="424">
        <f t="shared" si="173"/>
        <v>7852.4192000000003</v>
      </c>
      <c r="Y172" s="427"/>
      <c r="Z172" s="424">
        <f t="shared" si="174"/>
        <v>7852.4192000000003</v>
      </c>
      <c r="AA172" s="436">
        <v>4227.5237226666704</v>
      </c>
      <c r="AB172" s="436">
        <f t="shared" si="175"/>
        <v>3624.8954773333298</v>
      </c>
      <c r="AC172" s="436"/>
      <c r="AD172" s="436"/>
      <c r="AE172" s="436"/>
    </row>
    <row r="173" spans="1:31" ht="18" x14ac:dyDescent="0.15">
      <c r="A173" s="421">
        <v>156</v>
      </c>
      <c r="B173" s="9" t="s">
        <v>355</v>
      </c>
      <c r="C173" s="424">
        <v>115598</v>
      </c>
      <c r="D173" s="423">
        <v>12</v>
      </c>
      <c r="E173" s="424">
        <f t="shared" si="160"/>
        <v>1387176</v>
      </c>
      <c r="F173" s="424"/>
      <c r="G173" s="425">
        <v>87934.080000000002</v>
      </c>
      <c r="H173" s="427"/>
      <c r="I173" s="424">
        <f t="shared" si="161"/>
        <v>1299241.92</v>
      </c>
      <c r="J173" s="424">
        <v>200000</v>
      </c>
      <c r="K173" s="424">
        <v>0.2</v>
      </c>
      <c r="L173" s="424">
        <f t="shared" si="162"/>
        <v>259848.38399999999</v>
      </c>
      <c r="M173" s="424">
        <f t="shared" si="163"/>
        <v>459848.38400000002</v>
      </c>
      <c r="N173" s="424">
        <f t="shared" si="164"/>
        <v>547782.46400000004</v>
      </c>
      <c r="O173" s="424">
        <f t="shared" si="165"/>
        <v>839393.53599999996</v>
      </c>
      <c r="P173" s="424">
        <f t="shared" si="166"/>
        <v>21000</v>
      </c>
      <c r="Q173" s="424">
        <f t="shared" si="167"/>
        <v>33000</v>
      </c>
      <c r="R173" s="424">
        <f t="shared" si="168"/>
        <v>35909.030400000003</v>
      </c>
      <c r="S173" s="424">
        <f t="shared" si="169"/>
        <v>0</v>
      </c>
      <c r="T173" s="424">
        <f t="shared" si="170"/>
        <v>0</v>
      </c>
      <c r="U173" s="424"/>
      <c r="V173" s="424">
        <f t="shared" si="172"/>
        <v>89909.030400000003</v>
      </c>
      <c r="W173" s="431">
        <v>12</v>
      </c>
      <c r="X173" s="424">
        <f t="shared" si="173"/>
        <v>7492.4192000000003</v>
      </c>
      <c r="Y173" s="427"/>
      <c r="Z173" s="424">
        <f t="shared" si="174"/>
        <v>7492.4192000000003</v>
      </c>
      <c r="AA173" s="436">
        <v>3963.52372266667</v>
      </c>
      <c r="AB173" s="436">
        <f t="shared" si="175"/>
        <v>3528.8954773333298</v>
      </c>
      <c r="AC173" s="436"/>
      <c r="AD173" s="436"/>
      <c r="AE173" s="436"/>
    </row>
    <row r="174" spans="1:31" ht="18" x14ac:dyDescent="0.15">
      <c r="A174" s="421">
        <v>157</v>
      </c>
      <c r="B174" s="9" t="s">
        <v>356</v>
      </c>
      <c r="C174" s="424">
        <v>118598</v>
      </c>
      <c r="D174" s="423">
        <v>12</v>
      </c>
      <c r="E174" s="424">
        <f t="shared" si="160"/>
        <v>1423176</v>
      </c>
      <c r="F174" s="424"/>
      <c r="G174" s="425">
        <v>87934.080000000002</v>
      </c>
      <c r="H174" s="427"/>
      <c r="I174" s="424">
        <f t="shared" si="161"/>
        <v>1335241.92</v>
      </c>
      <c r="J174" s="424">
        <v>200000</v>
      </c>
      <c r="K174" s="424">
        <v>0.2</v>
      </c>
      <c r="L174" s="424">
        <f t="shared" si="162"/>
        <v>267048.38400000002</v>
      </c>
      <c r="M174" s="424">
        <f t="shared" si="163"/>
        <v>467048.38400000002</v>
      </c>
      <c r="N174" s="424">
        <f t="shared" si="164"/>
        <v>554982.46400000004</v>
      </c>
      <c r="O174" s="424">
        <f t="shared" si="165"/>
        <v>868193.53599999996</v>
      </c>
      <c r="P174" s="424">
        <f t="shared" si="166"/>
        <v>21000</v>
      </c>
      <c r="Q174" s="424">
        <f t="shared" si="167"/>
        <v>33000</v>
      </c>
      <c r="R174" s="424">
        <f t="shared" si="168"/>
        <v>40229.030400000003</v>
      </c>
      <c r="S174" s="424">
        <f t="shared" si="169"/>
        <v>0</v>
      </c>
      <c r="T174" s="424">
        <f t="shared" si="170"/>
        <v>0</v>
      </c>
      <c r="U174" s="424"/>
      <c r="V174" s="424">
        <f t="shared" si="172"/>
        <v>94229.030400000003</v>
      </c>
      <c r="W174" s="431">
        <v>12</v>
      </c>
      <c r="X174" s="424">
        <f t="shared" si="173"/>
        <v>7852.4192000000003</v>
      </c>
      <c r="Y174" s="427"/>
      <c r="Z174" s="424">
        <f t="shared" si="174"/>
        <v>7852.4192000000003</v>
      </c>
      <c r="AA174" s="436">
        <v>4227.5237226666704</v>
      </c>
      <c r="AB174" s="436">
        <f t="shared" si="175"/>
        <v>3624.8954773333298</v>
      </c>
      <c r="AC174" s="436"/>
      <c r="AD174" s="436"/>
      <c r="AE174" s="436"/>
    </row>
    <row r="175" spans="1:31" ht="18" x14ac:dyDescent="0.15">
      <c r="A175" s="432"/>
      <c r="B175" s="9" t="s">
        <v>357</v>
      </c>
      <c r="C175" s="440">
        <v>115598</v>
      </c>
      <c r="D175" s="423">
        <v>12</v>
      </c>
      <c r="E175" s="424">
        <f t="shared" si="160"/>
        <v>1387176</v>
      </c>
      <c r="F175" s="424"/>
      <c r="G175" s="425">
        <v>87934.080000000002</v>
      </c>
      <c r="H175" s="427"/>
      <c r="I175" s="424">
        <f t="shared" si="161"/>
        <v>1299241.92</v>
      </c>
      <c r="J175" s="424">
        <v>200000</v>
      </c>
      <c r="K175" s="424">
        <v>0.2</v>
      </c>
      <c r="L175" s="424">
        <f t="shared" si="162"/>
        <v>259848.38399999999</v>
      </c>
      <c r="M175" s="424">
        <f t="shared" si="163"/>
        <v>459848.38400000002</v>
      </c>
      <c r="N175" s="424">
        <f t="shared" si="164"/>
        <v>547782.46400000004</v>
      </c>
      <c r="O175" s="424">
        <f t="shared" si="165"/>
        <v>839393.53599999996</v>
      </c>
      <c r="P175" s="424">
        <f t="shared" si="166"/>
        <v>21000</v>
      </c>
      <c r="Q175" s="424">
        <f t="shared" si="167"/>
        <v>33000</v>
      </c>
      <c r="R175" s="424">
        <f t="shared" si="168"/>
        <v>35909.030400000003</v>
      </c>
      <c r="S175" s="424">
        <f t="shared" si="169"/>
        <v>0</v>
      </c>
      <c r="T175" s="424">
        <f t="shared" si="170"/>
        <v>0</v>
      </c>
      <c r="U175" s="424"/>
      <c r="V175" s="424">
        <f t="shared" si="172"/>
        <v>89909.030400000003</v>
      </c>
      <c r="W175" s="431">
        <v>12</v>
      </c>
      <c r="X175" s="424">
        <f t="shared" si="173"/>
        <v>7492.4192000000003</v>
      </c>
      <c r="Y175" s="427"/>
      <c r="Z175" s="424">
        <f t="shared" si="174"/>
        <v>7492.4192000000003</v>
      </c>
      <c r="AA175" s="436">
        <v>3963.52372266667</v>
      </c>
      <c r="AB175" s="436">
        <f t="shared" si="175"/>
        <v>3528.8954773333298</v>
      </c>
      <c r="AC175" s="436"/>
      <c r="AD175" s="436"/>
      <c r="AE175" s="436"/>
    </row>
    <row r="176" spans="1:31" ht="18" x14ac:dyDescent="0.15">
      <c r="A176" s="432"/>
      <c r="B176" s="9" t="s">
        <v>358</v>
      </c>
      <c r="C176" s="440">
        <v>118598</v>
      </c>
      <c r="D176" s="423">
        <v>12</v>
      </c>
      <c r="E176" s="424">
        <f t="shared" si="160"/>
        <v>1423176</v>
      </c>
      <c r="F176" s="424"/>
      <c r="G176" s="425">
        <v>87934.080000000002</v>
      </c>
      <c r="H176" s="427"/>
      <c r="I176" s="424">
        <f t="shared" si="161"/>
        <v>1335241.92</v>
      </c>
      <c r="J176" s="424">
        <v>200000</v>
      </c>
      <c r="K176" s="424">
        <v>0.2</v>
      </c>
      <c r="L176" s="424">
        <f t="shared" si="162"/>
        <v>267048.38400000002</v>
      </c>
      <c r="M176" s="424">
        <f t="shared" si="163"/>
        <v>467048.38400000002</v>
      </c>
      <c r="N176" s="424">
        <f t="shared" si="164"/>
        <v>554982.46400000004</v>
      </c>
      <c r="O176" s="424">
        <f t="shared" si="165"/>
        <v>868193.53599999996</v>
      </c>
      <c r="P176" s="424">
        <f t="shared" si="166"/>
        <v>21000</v>
      </c>
      <c r="Q176" s="424">
        <f t="shared" si="167"/>
        <v>33000</v>
      </c>
      <c r="R176" s="424">
        <f t="shared" si="168"/>
        <v>40229.030400000003</v>
      </c>
      <c r="S176" s="424">
        <f t="shared" si="169"/>
        <v>0</v>
      </c>
      <c r="T176" s="424">
        <f t="shared" si="170"/>
        <v>0</v>
      </c>
      <c r="U176" s="424"/>
      <c r="V176" s="424">
        <f t="shared" si="172"/>
        <v>94229.030400000003</v>
      </c>
      <c r="W176" s="431">
        <v>12</v>
      </c>
      <c r="X176" s="424">
        <f t="shared" si="173"/>
        <v>7852.4192000000003</v>
      </c>
      <c r="Y176" s="427"/>
      <c r="Z176" s="424">
        <f t="shared" si="174"/>
        <v>7852.4192000000003</v>
      </c>
      <c r="AA176" s="436">
        <v>4227.5237226666704</v>
      </c>
      <c r="AB176" s="436">
        <f t="shared" si="175"/>
        <v>3624.8954773333298</v>
      </c>
    </row>
    <row r="177" spans="2:28" ht="18" x14ac:dyDescent="0.15">
      <c r="B177" s="16" t="s">
        <v>359</v>
      </c>
      <c r="C177" s="436">
        <v>115598</v>
      </c>
      <c r="D177" s="423">
        <v>12</v>
      </c>
      <c r="E177" s="424">
        <f t="shared" si="160"/>
        <v>1387176</v>
      </c>
      <c r="G177" s="425">
        <v>87934.080000000002</v>
      </c>
      <c r="I177" s="424">
        <f t="shared" si="161"/>
        <v>1299241.92</v>
      </c>
      <c r="J177" s="424">
        <v>200000</v>
      </c>
      <c r="K177" s="424">
        <v>0.2</v>
      </c>
      <c r="L177" s="424">
        <f t="shared" si="162"/>
        <v>259848.38399999999</v>
      </c>
      <c r="M177" s="424">
        <f t="shared" si="163"/>
        <v>459848.38400000002</v>
      </c>
      <c r="N177" s="424">
        <f t="shared" si="164"/>
        <v>547782.46400000004</v>
      </c>
      <c r="O177" s="424">
        <f t="shared" si="165"/>
        <v>839393.53599999996</v>
      </c>
      <c r="P177" s="424">
        <f t="shared" si="166"/>
        <v>21000</v>
      </c>
      <c r="Q177" s="424">
        <f t="shared" si="167"/>
        <v>33000</v>
      </c>
      <c r="R177" s="424">
        <f t="shared" si="168"/>
        <v>35909.030400000003</v>
      </c>
      <c r="S177" s="424">
        <f t="shared" si="169"/>
        <v>0</v>
      </c>
      <c r="T177" s="424">
        <f t="shared" si="170"/>
        <v>0</v>
      </c>
      <c r="U177" s="424"/>
      <c r="V177" s="424">
        <f t="shared" si="172"/>
        <v>89909.030400000003</v>
      </c>
      <c r="W177" s="431">
        <v>12</v>
      </c>
      <c r="X177" s="424">
        <f t="shared" si="173"/>
        <v>7492.4192000000003</v>
      </c>
      <c r="Z177" s="424">
        <f t="shared" si="174"/>
        <v>7492.4192000000003</v>
      </c>
      <c r="AA177" s="436">
        <v>3963.52372266667</v>
      </c>
      <c r="AB177" s="436">
        <f t="shared" si="175"/>
        <v>3528.8954773333298</v>
      </c>
    </row>
    <row r="178" spans="2:28" ht="18" x14ac:dyDescent="0.15">
      <c r="B178" s="16" t="s">
        <v>360</v>
      </c>
      <c r="C178" s="436">
        <v>118598</v>
      </c>
      <c r="D178" s="423">
        <v>12</v>
      </c>
      <c r="E178" s="424">
        <f t="shared" si="160"/>
        <v>1423176</v>
      </c>
      <c r="G178" s="425">
        <v>87934.080000000002</v>
      </c>
      <c r="I178" s="424">
        <f t="shared" si="161"/>
        <v>1335241.92</v>
      </c>
      <c r="J178" s="424">
        <v>200000</v>
      </c>
      <c r="K178" s="424">
        <v>0.2</v>
      </c>
      <c r="L178" s="424">
        <f t="shared" si="162"/>
        <v>267048.38400000002</v>
      </c>
      <c r="M178" s="424">
        <f t="shared" si="163"/>
        <v>467048.38400000002</v>
      </c>
      <c r="N178" s="424">
        <f t="shared" si="164"/>
        <v>554982.46400000004</v>
      </c>
      <c r="O178" s="424">
        <f t="shared" si="165"/>
        <v>868193.53599999996</v>
      </c>
      <c r="P178" s="424">
        <f t="shared" si="166"/>
        <v>21000</v>
      </c>
      <c r="Q178" s="424">
        <f t="shared" si="167"/>
        <v>33000</v>
      </c>
      <c r="R178" s="424">
        <f t="shared" si="168"/>
        <v>40229.030400000003</v>
      </c>
      <c r="S178" s="424">
        <f t="shared" si="169"/>
        <v>0</v>
      </c>
      <c r="T178" s="424">
        <f t="shared" si="170"/>
        <v>0</v>
      </c>
      <c r="U178" s="424"/>
      <c r="V178" s="424">
        <f t="shared" si="172"/>
        <v>94229.030400000003</v>
      </c>
      <c r="W178" s="431">
        <v>12</v>
      </c>
      <c r="X178" s="424">
        <f t="shared" si="173"/>
        <v>7852.4192000000003</v>
      </c>
      <c r="Z178" s="424">
        <f t="shared" si="174"/>
        <v>7852.4192000000003</v>
      </c>
      <c r="AA178" s="436">
        <v>4227.5237226666704</v>
      </c>
      <c r="AB178" s="436">
        <f t="shared" si="175"/>
        <v>3624.8954773333298</v>
      </c>
    </row>
    <row r="179" spans="2:28" ht="18" x14ac:dyDescent="0.15">
      <c r="B179" s="9" t="s">
        <v>493</v>
      </c>
      <c r="C179" s="436">
        <v>118598</v>
      </c>
      <c r="D179" s="423">
        <v>12</v>
      </c>
      <c r="E179" s="424">
        <f t="shared" si="160"/>
        <v>1423176</v>
      </c>
      <c r="G179" s="425">
        <v>87934.080000000002</v>
      </c>
      <c r="I179" s="424">
        <f t="shared" si="161"/>
        <v>1335241.92</v>
      </c>
      <c r="J179" s="424">
        <v>200000</v>
      </c>
      <c r="K179" s="424">
        <v>0.2</v>
      </c>
      <c r="L179" s="424">
        <f t="shared" si="162"/>
        <v>267048.38400000002</v>
      </c>
      <c r="M179" s="424">
        <f t="shared" si="163"/>
        <v>467048.38400000002</v>
      </c>
      <c r="N179" s="424">
        <f t="shared" si="164"/>
        <v>554982.46400000004</v>
      </c>
      <c r="O179" s="424">
        <f t="shared" si="165"/>
        <v>868193.53599999996</v>
      </c>
      <c r="P179" s="424">
        <f t="shared" si="166"/>
        <v>21000</v>
      </c>
      <c r="Q179" s="424">
        <f t="shared" si="167"/>
        <v>33000</v>
      </c>
      <c r="R179" s="424">
        <f t="shared" si="168"/>
        <v>40229.030400000003</v>
      </c>
      <c r="S179" s="424">
        <f t="shared" si="169"/>
        <v>0</v>
      </c>
      <c r="T179" s="424">
        <f t="shared" si="170"/>
        <v>0</v>
      </c>
      <c r="V179" s="424">
        <f t="shared" si="172"/>
        <v>94229.030400000003</v>
      </c>
      <c r="W179" s="431">
        <v>12</v>
      </c>
      <c r="X179" s="424">
        <f t="shared" si="173"/>
        <v>7852.4192000000003</v>
      </c>
      <c r="Z179" s="424">
        <f t="shared" si="174"/>
        <v>7852.4192000000003</v>
      </c>
      <c r="AA179" s="436">
        <v>4089.7166906666698</v>
      </c>
      <c r="AB179" s="436">
        <f t="shared" si="175"/>
        <v>3762.70250933333</v>
      </c>
    </row>
    <row r="180" spans="2:28" ht="18" x14ac:dyDescent="0.15">
      <c r="B180" s="9" t="s">
        <v>361</v>
      </c>
      <c r="C180" s="436">
        <v>118598</v>
      </c>
      <c r="D180" s="423">
        <v>12</v>
      </c>
      <c r="E180" s="424">
        <f t="shared" si="160"/>
        <v>1423176</v>
      </c>
      <c r="G180" s="425">
        <v>87934.080000000002</v>
      </c>
      <c r="I180" s="424">
        <f t="shared" si="161"/>
        <v>1335241.92</v>
      </c>
      <c r="J180" s="424">
        <v>200000</v>
      </c>
      <c r="K180" s="424">
        <v>0.2</v>
      </c>
      <c r="L180" s="424">
        <f t="shared" si="162"/>
        <v>267048.38400000002</v>
      </c>
      <c r="M180" s="424">
        <f t="shared" si="163"/>
        <v>467048.38400000002</v>
      </c>
      <c r="N180" s="424">
        <f t="shared" si="164"/>
        <v>554982.46400000004</v>
      </c>
      <c r="O180" s="424">
        <f t="shared" si="165"/>
        <v>868193.53599999996</v>
      </c>
      <c r="P180" s="424">
        <f t="shared" si="166"/>
        <v>21000</v>
      </c>
      <c r="Q180" s="424">
        <f t="shared" si="167"/>
        <v>33000</v>
      </c>
      <c r="R180" s="424">
        <f t="shared" si="168"/>
        <v>40229.030400000003</v>
      </c>
      <c r="S180" s="424">
        <f t="shared" si="169"/>
        <v>0</v>
      </c>
      <c r="T180" s="424">
        <f t="shared" si="170"/>
        <v>0</v>
      </c>
      <c r="V180" s="424">
        <f t="shared" si="172"/>
        <v>94229.030400000003</v>
      </c>
      <c r="W180" s="431">
        <v>12</v>
      </c>
      <c r="X180" s="424">
        <f t="shared" si="173"/>
        <v>7852.4192000000003</v>
      </c>
      <c r="Z180" s="424">
        <f t="shared" si="174"/>
        <v>7852.4192000000003</v>
      </c>
      <c r="AA180" s="436">
        <v>4227.5237226666704</v>
      </c>
      <c r="AB180" s="436">
        <f t="shared" si="175"/>
        <v>3624.8954773333298</v>
      </c>
    </row>
    <row r="181" spans="2:28" ht="18" x14ac:dyDescent="0.15">
      <c r="B181" s="16" t="s">
        <v>362</v>
      </c>
      <c r="C181" s="436">
        <v>116050.25</v>
      </c>
      <c r="D181" s="423">
        <v>12</v>
      </c>
      <c r="E181" s="424">
        <f t="shared" si="160"/>
        <v>1392603</v>
      </c>
      <c r="G181" s="425">
        <v>85488.24</v>
      </c>
      <c r="I181" s="424">
        <f t="shared" si="161"/>
        <v>1307114.76</v>
      </c>
      <c r="J181" s="424">
        <v>200000</v>
      </c>
      <c r="K181" s="424">
        <v>0.2</v>
      </c>
      <c r="L181" s="424">
        <f t="shared" si="162"/>
        <v>261422.95199999999</v>
      </c>
      <c r="M181" s="424">
        <f t="shared" si="163"/>
        <v>461422.95199999999</v>
      </c>
      <c r="N181" s="424">
        <f t="shared" si="164"/>
        <v>546911.19200000004</v>
      </c>
      <c r="O181" s="424">
        <f t="shared" si="165"/>
        <v>845691.80799999996</v>
      </c>
      <c r="P181" s="424">
        <f t="shared" si="166"/>
        <v>21000</v>
      </c>
      <c r="Q181" s="424">
        <f t="shared" si="167"/>
        <v>33000</v>
      </c>
      <c r="R181" s="424">
        <f t="shared" si="168"/>
        <v>36853.771200000003</v>
      </c>
      <c r="S181" s="424">
        <f t="shared" si="169"/>
        <v>0</v>
      </c>
      <c r="T181" s="424">
        <f t="shared" si="170"/>
        <v>0</v>
      </c>
      <c r="V181" s="424">
        <f t="shared" si="172"/>
        <v>90853.771200000003</v>
      </c>
      <c r="W181" s="431">
        <v>12</v>
      </c>
      <c r="X181" s="424">
        <f t="shared" si="173"/>
        <v>7571.1476000000002</v>
      </c>
      <c r="Z181" s="424">
        <f t="shared" si="174"/>
        <v>7571.1476000000002</v>
      </c>
      <c r="AA181" s="436">
        <v>4089.7166906666698</v>
      </c>
      <c r="AB181" s="436">
        <f t="shared" si="175"/>
        <v>3481.43090933333</v>
      </c>
    </row>
    <row r="182" spans="2:28" ht="18" x14ac:dyDescent="0.15">
      <c r="B182" s="16" t="s">
        <v>367</v>
      </c>
      <c r="C182" s="436">
        <v>105933</v>
      </c>
      <c r="D182" s="423">
        <v>12</v>
      </c>
      <c r="E182" s="424">
        <f t="shared" si="160"/>
        <v>1271196</v>
      </c>
      <c r="G182" s="425">
        <v>77689.84</v>
      </c>
      <c r="I182" s="424">
        <f t="shared" si="161"/>
        <v>1193506.1599999999</v>
      </c>
      <c r="J182" s="424">
        <v>200000</v>
      </c>
      <c r="K182" s="424">
        <v>0.2</v>
      </c>
      <c r="L182" s="424">
        <f t="shared" si="162"/>
        <v>238701.23199999999</v>
      </c>
      <c r="M182" s="424">
        <f t="shared" si="163"/>
        <v>438701.23200000002</v>
      </c>
      <c r="N182" s="424">
        <f t="shared" si="164"/>
        <v>516391.07199999999</v>
      </c>
      <c r="O182" s="424">
        <f t="shared" si="165"/>
        <v>754804.92799999996</v>
      </c>
      <c r="P182" s="424">
        <f t="shared" si="166"/>
        <v>21000</v>
      </c>
      <c r="Q182" s="424">
        <f t="shared" si="167"/>
        <v>33000</v>
      </c>
      <c r="R182" s="424">
        <f t="shared" si="168"/>
        <v>23220.7392</v>
      </c>
      <c r="S182" s="424">
        <f t="shared" si="169"/>
        <v>0</v>
      </c>
      <c r="T182" s="424">
        <f t="shared" si="170"/>
        <v>0</v>
      </c>
      <c r="V182" s="424">
        <f t="shared" si="172"/>
        <v>77220.739199999996</v>
      </c>
      <c r="W182" s="431">
        <v>12</v>
      </c>
      <c r="X182" s="424">
        <f t="shared" si="173"/>
        <v>6435.0616</v>
      </c>
      <c r="Z182" s="424">
        <f t="shared" si="174"/>
        <v>6435.0616</v>
      </c>
      <c r="AA182" s="436">
        <v>3210.1544048666701</v>
      </c>
      <c r="AB182" s="436">
        <f t="shared" si="175"/>
        <v>3224.9071951333299</v>
      </c>
    </row>
    <row r="183" spans="2:28" ht="18" x14ac:dyDescent="0.15">
      <c r="B183" s="16" t="s">
        <v>369</v>
      </c>
      <c r="C183" s="436">
        <v>95540.75</v>
      </c>
      <c r="D183" s="423">
        <v>12</v>
      </c>
      <c r="E183" s="424">
        <f t="shared" si="160"/>
        <v>1146489</v>
      </c>
      <c r="G183" s="425">
        <f t="shared" ref="G183:G185" si="177">6123.26*12</f>
        <v>73479.12</v>
      </c>
      <c r="I183" s="424">
        <f t="shared" si="161"/>
        <v>1073009.8799999999</v>
      </c>
      <c r="J183" s="424">
        <v>200000</v>
      </c>
      <c r="K183" s="424">
        <v>0.2</v>
      </c>
      <c r="L183" s="424">
        <f t="shared" si="162"/>
        <v>214601.976</v>
      </c>
      <c r="M183" s="424">
        <f t="shared" si="163"/>
        <v>414601.97600000002</v>
      </c>
      <c r="N183" s="424">
        <f t="shared" si="164"/>
        <v>488081.09600000002</v>
      </c>
      <c r="O183" s="424">
        <f t="shared" si="165"/>
        <v>658407.90399999998</v>
      </c>
      <c r="P183" s="424">
        <f t="shared" si="166"/>
        <v>21000</v>
      </c>
      <c r="Q183" s="424">
        <f t="shared" si="167"/>
        <v>33000</v>
      </c>
      <c r="R183" s="424">
        <f t="shared" si="168"/>
        <v>8761.1856000000007</v>
      </c>
      <c r="S183" s="424">
        <f t="shared" si="169"/>
        <v>0</v>
      </c>
      <c r="T183" s="424">
        <f t="shared" si="170"/>
        <v>0</v>
      </c>
      <c r="V183" s="424">
        <f t="shared" si="172"/>
        <v>62761.185599999997</v>
      </c>
      <c r="W183" s="431">
        <v>12</v>
      </c>
      <c r="X183" s="424">
        <f t="shared" si="173"/>
        <v>5230.0987999999998</v>
      </c>
      <c r="Z183" s="424">
        <f t="shared" si="174"/>
        <v>5230.0987999999998</v>
      </c>
      <c r="AA183" s="436">
        <v>2708.9136406666698</v>
      </c>
      <c r="AB183" s="436">
        <f t="shared" si="175"/>
        <v>2521.1851593333299</v>
      </c>
    </row>
    <row r="184" spans="2:28" ht="18" x14ac:dyDescent="0.15">
      <c r="B184" s="16" t="s">
        <v>372</v>
      </c>
      <c r="C184" s="436">
        <v>95540.75</v>
      </c>
      <c r="D184" s="423">
        <v>12</v>
      </c>
      <c r="E184" s="424">
        <f t="shared" si="160"/>
        <v>1146489</v>
      </c>
      <c r="G184" s="425">
        <f t="shared" si="177"/>
        <v>73479.12</v>
      </c>
      <c r="I184" s="424">
        <f t="shared" si="161"/>
        <v>1073009.8799999999</v>
      </c>
      <c r="J184" s="424">
        <v>200000</v>
      </c>
      <c r="K184" s="424">
        <v>0.2</v>
      </c>
      <c r="L184" s="424">
        <f t="shared" si="162"/>
        <v>214601.976</v>
      </c>
      <c r="M184" s="424">
        <f t="shared" si="163"/>
        <v>414601.97600000002</v>
      </c>
      <c r="N184" s="424">
        <f t="shared" si="164"/>
        <v>488081.09600000002</v>
      </c>
      <c r="O184" s="424">
        <f t="shared" si="165"/>
        <v>658407.90399999998</v>
      </c>
      <c r="P184" s="424">
        <f t="shared" si="166"/>
        <v>21000</v>
      </c>
      <c r="Q184" s="424">
        <f t="shared" si="167"/>
        <v>33000</v>
      </c>
      <c r="R184" s="424">
        <f t="shared" si="168"/>
        <v>8761.1856000000007</v>
      </c>
      <c r="S184" s="424">
        <f t="shared" si="169"/>
        <v>0</v>
      </c>
      <c r="T184" s="424">
        <f t="shared" si="170"/>
        <v>0</v>
      </c>
      <c r="V184" s="424">
        <f t="shared" si="172"/>
        <v>62761.185599999997</v>
      </c>
      <c r="W184" s="431">
        <v>12</v>
      </c>
      <c r="X184" s="424">
        <f t="shared" si="173"/>
        <v>5230.0987999999998</v>
      </c>
      <c r="Z184" s="424">
        <f t="shared" si="174"/>
        <v>5230.0987999999998</v>
      </c>
      <c r="AA184" s="436">
        <v>2708.9136406666698</v>
      </c>
      <c r="AB184" s="436">
        <f t="shared" si="175"/>
        <v>2521.1851593333299</v>
      </c>
    </row>
    <row r="185" spans="2:28" ht="18" x14ac:dyDescent="0.15">
      <c r="B185" s="16" t="s">
        <v>373</v>
      </c>
      <c r="C185" s="436">
        <v>80195.929999999993</v>
      </c>
      <c r="D185" s="423">
        <v>12</v>
      </c>
      <c r="E185" s="424">
        <f t="shared" si="160"/>
        <v>962351.16</v>
      </c>
      <c r="G185" s="425">
        <f t="shared" si="177"/>
        <v>73479.12</v>
      </c>
      <c r="I185" s="424">
        <f t="shared" si="161"/>
        <v>888872.04</v>
      </c>
      <c r="J185" s="424">
        <v>200000</v>
      </c>
      <c r="K185" s="424">
        <v>0.2</v>
      </c>
      <c r="L185" s="424">
        <f t="shared" si="162"/>
        <v>177774.408</v>
      </c>
      <c r="M185" s="424">
        <f t="shared" si="163"/>
        <v>377774.408</v>
      </c>
      <c r="N185" s="424">
        <f t="shared" si="164"/>
        <v>451253.52799999999</v>
      </c>
      <c r="O185" s="424">
        <f t="shared" si="165"/>
        <v>511097.63199999998</v>
      </c>
      <c r="P185" s="424">
        <f t="shared" si="166"/>
        <v>21000</v>
      </c>
      <c r="Q185" s="424">
        <f t="shared" si="167"/>
        <v>23220.739519999999</v>
      </c>
      <c r="R185" s="424">
        <f t="shared" si="168"/>
        <v>0</v>
      </c>
      <c r="S185" s="424">
        <f t="shared" si="169"/>
        <v>0</v>
      </c>
      <c r="T185" s="424">
        <f t="shared" si="170"/>
        <v>0</v>
      </c>
      <c r="V185" s="424">
        <f t="shared" si="172"/>
        <v>44220.739520000003</v>
      </c>
      <c r="W185" s="431">
        <v>12</v>
      </c>
      <c r="X185" s="424">
        <f t="shared" si="173"/>
        <v>3685.0616266666698</v>
      </c>
      <c r="Z185" s="424">
        <f t="shared" si="174"/>
        <v>3685.0616266666698</v>
      </c>
      <c r="AA185" s="436">
        <v>2708.9136406666698</v>
      </c>
      <c r="AB185" s="436">
        <f t="shared" si="175"/>
        <v>976.14798599999597</v>
      </c>
    </row>
    <row r="186" spans="2:28" ht="18" x14ac:dyDescent="0.15">
      <c r="B186" s="441" t="s">
        <v>374</v>
      </c>
      <c r="C186" s="436">
        <v>108502.5</v>
      </c>
      <c r="D186" s="442">
        <v>12</v>
      </c>
      <c r="E186" s="443">
        <f t="shared" si="160"/>
        <v>1302030</v>
      </c>
      <c r="G186" s="444">
        <f>6920.2*12</f>
        <v>83042.399999999994</v>
      </c>
      <c r="I186" s="443">
        <f t="shared" si="161"/>
        <v>1218987.6000000001</v>
      </c>
      <c r="J186" s="424">
        <v>200000</v>
      </c>
      <c r="K186" s="424">
        <v>0.2</v>
      </c>
      <c r="L186" s="424">
        <f t="shared" si="162"/>
        <v>243797.52</v>
      </c>
      <c r="M186" s="424">
        <f t="shared" si="163"/>
        <v>443797.52</v>
      </c>
      <c r="N186" s="424">
        <f t="shared" si="164"/>
        <v>526839.92000000004</v>
      </c>
      <c r="O186" s="424">
        <f t="shared" si="165"/>
        <v>775190.08</v>
      </c>
      <c r="P186" s="424">
        <f t="shared" si="166"/>
        <v>21000</v>
      </c>
      <c r="Q186" s="424">
        <f t="shared" si="167"/>
        <v>33000</v>
      </c>
      <c r="R186" s="424">
        <f t="shared" si="168"/>
        <v>26278.511999999999</v>
      </c>
      <c r="S186" s="424">
        <f t="shared" si="169"/>
        <v>0</v>
      </c>
      <c r="T186" s="424">
        <f t="shared" si="170"/>
        <v>0</v>
      </c>
      <c r="V186" s="424">
        <f t="shared" si="172"/>
        <v>80278.512000000002</v>
      </c>
      <c r="W186" s="431">
        <v>12</v>
      </c>
      <c r="X186" s="424">
        <f t="shared" si="173"/>
        <v>6689.8760000000002</v>
      </c>
      <c r="Z186" s="424">
        <f t="shared" si="174"/>
        <v>6689.8760000000002</v>
      </c>
      <c r="AA186" s="436">
        <v>3511.7966226666699</v>
      </c>
      <c r="AB186" s="436">
        <f t="shared" si="175"/>
        <v>3178.0793773333298</v>
      </c>
    </row>
    <row r="187" spans="2:28" ht="18" x14ac:dyDescent="0.15">
      <c r="B187" s="441" t="s">
        <v>377</v>
      </c>
      <c r="C187" s="445">
        <v>108502.5</v>
      </c>
      <c r="D187" s="442">
        <v>12</v>
      </c>
      <c r="E187" s="443">
        <f t="shared" si="160"/>
        <v>1302030</v>
      </c>
      <c r="F187" s="446"/>
      <c r="G187" s="444">
        <f>6920.2*12</f>
        <v>83042.399999999994</v>
      </c>
      <c r="H187" s="446"/>
      <c r="I187" s="443">
        <f t="shared" si="161"/>
        <v>1218987.6000000001</v>
      </c>
      <c r="J187" s="443">
        <v>200000</v>
      </c>
      <c r="K187" s="443">
        <v>0.2</v>
      </c>
      <c r="L187" s="443">
        <f t="shared" si="162"/>
        <v>243797.52</v>
      </c>
      <c r="M187" s="443">
        <f t="shared" si="163"/>
        <v>443797.52</v>
      </c>
      <c r="N187" s="443">
        <f t="shared" si="164"/>
        <v>526839.92000000004</v>
      </c>
      <c r="O187" s="443">
        <f t="shared" si="165"/>
        <v>775190.08</v>
      </c>
      <c r="P187" s="443">
        <f t="shared" si="166"/>
        <v>21000</v>
      </c>
      <c r="Q187" s="443">
        <f t="shared" si="167"/>
        <v>33000</v>
      </c>
      <c r="R187" s="443">
        <f t="shared" si="168"/>
        <v>26278.511999999999</v>
      </c>
      <c r="S187" s="443">
        <f t="shared" si="169"/>
        <v>0</v>
      </c>
      <c r="T187" s="443">
        <f t="shared" si="170"/>
        <v>0</v>
      </c>
      <c r="V187" s="443">
        <f t="shared" si="172"/>
        <v>80278.512000000002</v>
      </c>
      <c r="W187" s="457">
        <v>12</v>
      </c>
      <c r="X187" s="443">
        <f t="shared" si="173"/>
        <v>6689.8760000000002</v>
      </c>
      <c r="Z187" s="443">
        <f t="shared" si="174"/>
        <v>6689.8760000000002</v>
      </c>
      <c r="AA187" s="436">
        <v>3511.7966226666699</v>
      </c>
      <c r="AB187" s="436">
        <f t="shared" si="175"/>
        <v>3178.0793773333298</v>
      </c>
    </row>
    <row r="188" spans="2:28" ht="35.25" customHeight="1" x14ac:dyDescent="0.2">
      <c r="B188" s="6" t="s">
        <v>650</v>
      </c>
      <c r="C188" s="571">
        <f t="shared" ref="C188:G188" si="178">SUM(C6:C187)</f>
        <v>82707476.017800003</v>
      </c>
      <c r="D188" s="572"/>
      <c r="E188" s="426"/>
      <c r="F188" s="573">
        <f t="shared" si="178"/>
        <v>812366.48499999999</v>
      </c>
      <c r="G188" s="573">
        <f t="shared" si="178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9">SUM(V6:V187)</f>
        <v>143270428.43599701</v>
      </c>
      <c r="W188" s="573"/>
      <c r="X188" s="573">
        <f t="shared" si="179"/>
        <v>11939202.369666399</v>
      </c>
      <c r="Y188" s="573"/>
      <c r="Z188" s="573">
        <f t="shared" si="179"/>
        <v>11939202.369666399</v>
      </c>
      <c r="AA188" s="574"/>
      <c r="AB188" s="574"/>
    </row>
    <row r="189" spans="2:28" ht="26.25" customHeight="1" x14ac:dyDescent="0.2">
      <c r="B189" s="28" t="s">
        <v>651</v>
      </c>
      <c r="C189" s="571"/>
      <c r="D189" s="572"/>
      <c r="E189" s="572"/>
      <c r="F189" s="575">
        <f>F188/12</f>
        <v>67697.207083333298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11939202.369666399</v>
      </c>
      <c r="W189" s="572"/>
      <c r="X189" s="572"/>
      <c r="Y189" s="572"/>
      <c r="Z189" s="572"/>
      <c r="AA189" s="574"/>
      <c r="AB189" s="574"/>
    </row>
    <row r="190" spans="2:28" ht="18" x14ac:dyDescent="0.2">
      <c r="B190" s="31"/>
      <c r="C190" s="436"/>
      <c r="F190" s="455"/>
    </row>
    <row r="191" spans="2:28" x14ac:dyDescent="0.15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ColWidth="8.76171875" defaultRowHeight="12.75" x14ac:dyDescent="0.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4"/>
  <sheetViews>
    <sheetView topLeftCell="A5" workbookViewId="0">
      <selection activeCell="E13" sqref="E13"/>
    </sheetView>
  </sheetViews>
  <sheetFormatPr defaultColWidth="8.76171875" defaultRowHeight="12.75" x14ac:dyDescent="0.15"/>
  <cols>
    <col min="1" max="1" width="11.8671875" customWidth="1"/>
    <col min="2" max="2" width="25.75390625" customWidth="1"/>
    <col min="5" max="5" width="15.77734375" customWidth="1"/>
    <col min="7" max="7" width="15.1015625"/>
    <col min="8" max="8" width="19.1484375" customWidth="1"/>
    <col min="9" max="9" width="18.87890625" customWidth="1"/>
    <col min="10" max="10" width="18.33984375" customWidth="1"/>
    <col min="11" max="11" width="19.95703125" customWidth="1"/>
  </cols>
  <sheetData>
    <row r="1" spans="1:11" s="1" customFormat="1" ht="27" customHeight="1" x14ac:dyDescent="0.3">
      <c r="A1" s="936" t="s">
        <v>0</v>
      </c>
      <c r="B1" s="936"/>
      <c r="C1" s="936"/>
      <c r="D1" s="936"/>
      <c r="E1" s="936"/>
      <c r="F1" s="936"/>
      <c r="G1" s="183"/>
      <c r="H1" s="183"/>
      <c r="I1" s="183"/>
    </row>
    <row r="2" spans="1:11" s="1" customFormat="1" ht="33.75" customHeight="1" x14ac:dyDescent="0.3">
      <c r="A2" s="61" t="s">
        <v>652</v>
      </c>
      <c r="B2" s="62"/>
      <c r="C2" s="61"/>
      <c r="D2" s="61"/>
      <c r="E2" s="182"/>
      <c r="F2" s="182"/>
      <c r="G2" s="262"/>
      <c r="H2" s="262"/>
      <c r="I2" s="262"/>
      <c r="J2" s="63"/>
      <c r="K2" s="63"/>
    </row>
    <row r="3" spans="1:11" s="1" customFormat="1" ht="9.75" customHeight="1" x14ac:dyDescent="0.2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2" t="s">
        <v>9</v>
      </c>
      <c r="K4" s="22" t="s">
        <v>15</v>
      </c>
    </row>
    <row r="5" spans="1:11" s="1" customFormat="1" ht="17.25" customHeight="1" x14ac:dyDescent="0.2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</row>
    <row r="6" spans="1:11" s="1" customFormat="1" ht="36" customHeight="1" x14ac:dyDescent="0.2">
      <c r="A6" s="8" t="s">
        <v>653</v>
      </c>
      <c r="B6" s="12" t="s">
        <v>271</v>
      </c>
      <c r="C6" s="2" t="s">
        <v>529</v>
      </c>
      <c r="D6" s="8" t="s">
        <v>28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6">
        <f>(E6+F6+G6+H6+I6)*(13/30)</f>
        <v>477695.03888888902</v>
      </c>
      <c r="K6" s="70"/>
    </row>
    <row r="7" spans="1:11" ht="31.5" x14ac:dyDescent="0.2">
      <c r="A7" s="8" t="s">
        <v>654</v>
      </c>
      <c r="B7" s="12" t="s">
        <v>271</v>
      </c>
      <c r="C7" s="2" t="s">
        <v>655</v>
      </c>
      <c r="D7" s="8" t="s">
        <v>273</v>
      </c>
      <c r="E7" s="70">
        <f>'[4]Annual &amp; Monthly'!$H$44</f>
        <v>1352042.66666667</v>
      </c>
      <c r="F7" s="70"/>
      <c r="G7" s="186"/>
      <c r="H7" s="186">
        <v>100000</v>
      </c>
      <c r="I7" s="70"/>
      <c r="J7" s="466">
        <f>(E7+F7+G7+H7+I7)*(17/30)</f>
        <v>822824.17777777801</v>
      </c>
      <c r="K7" s="70"/>
    </row>
    <row r="8" spans="1:11" ht="18" x14ac:dyDescent="0.2">
      <c r="A8" s="8" t="s">
        <v>111</v>
      </c>
      <c r="B8" s="12"/>
      <c r="C8" s="2"/>
      <c r="D8" s="8"/>
      <c r="E8" s="70"/>
      <c r="F8" s="70"/>
      <c r="G8" s="186"/>
      <c r="H8" s="186"/>
      <c r="I8" s="70"/>
      <c r="J8" s="466">
        <f>SUM(J6:J7)</f>
        <v>1300519.2166666701</v>
      </c>
      <c r="K8" s="70">
        <f>216451.57</f>
        <v>216451.57</v>
      </c>
    </row>
    <row r="10" spans="1:11" ht="31.5" x14ac:dyDescent="0.2">
      <c r="A10" s="8" t="s">
        <v>656</v>
      </c>
      <c r="B10" s="9" t="s">
        <v>188</v>
      </c>
      <c r="C10" s="2" t="s">
        <v>657</v>
      </c>
      <c r="D10" s="8" t="s">
        <v>192</v>
      </c>
      <c r="E10" s="630">
        <f>762373.17</f>
        <v>762373.17</v>
      </c>
      <c r="F10" s="70"/>
      <c r="G10" s="186">
        <v>180000</v>
      </c>
      <c r="H10" s="186"/>
      <c r="I10" s="70"/>
      <c r="J10" s="466">
        <f>SUM(E10:I10)</f>
        <v>942373.17</v>
      </c>
      <c r="K10" s="70"/>
    </row>
    <row r="12" spans="1:11" s="1" customFormat="1" ht="20.100000000000001" customHeight="1" x14ac:dyDescent="0.2">
      <c r="A12" s="8" t="s">
        <v>658</v>
      </c>
      <c r="B12" s="12" t="s">
        <v>152</v>
      </c>
      <c r="C12" s="2" t="s">
        <v>130</v>
      </c>
      <c r="D12" s="8" t="s">
        <v>38</v>
      </c>
      <c r="E12" s="70">
        <v>601396.83333333302</v>
      </c>
      <c r="F12" s="70"/>
      <c r="G12" s="186">
        <v>160000</v>
      </c>
      <c r="H12" s="186"/>
      <c r="I12" s="70">
        <v>0</v>
      </c>
      <c r="J12" s="466">
        <f>SUM(E12:I12)*(9/30)</f>
        <v>228419.05</v>
      </c>
      <c r="K12" s="70"/>
    </row>
    <row r="13" spans="1:11" ht="47.25" x14ac:dyDescent="0.2">
      <c r="A13" s="8" t="s">
        <v>659</v>
      </c>
      <c r="B13" s="12" t="s">
        <v>152</v>
      </c>
      <c r="C13" s="2" t="s">
        <v>660</v>
      </c>
      <c r="D13" s="8" t="s">
        <v>154</v>
      </c>
      <c r="E13" s="70">
        <v>762373.16666666698</v>
      </c>
      <c r="F13" s="70"/>
      <c r="G13" s="186">
        <v>180000</v>
      </c>
      <c r="H13" s="186"/>
      <c r="I13" s="70"/>
      <c r="J13" s="466">
        <f>SUM(E13:I13)*(21/30)</f>
        <v>659661.21666666702</v>
      </c>
      <c r="K13" s="70"/>
    </row>
    <row r="14" spans="1:11" ht="18" x14ac:dyDescent="0.2">
      <c r="A14" s="8">
        <v>3</v>
      </c>
      <c r="B14" s="12" t="s">
        <v>111</v>
      </c>
      <c r="C14" s="2"/>
      <c r="D14" s="8"/>
      <c r="E14" s="70"/>
      <c r="F14" s="70"/>
      <c r="G14" s="186"/>
      <c r="H14" s="186"/>
      <c r="I14" s="70"/>
      <c r="J14" s="466">
        <f>SUM(J12:J13)</f>
        <v>888080.26666666695</v>
      </c>
      <c r="K14" s="70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4"/>
  <sheetViews>
    <sheetView view="pageBreakPreview" topLeftCell="A16" zoomScaleNormal="100" workbookViewId="0">
      <selection activeCell="C7" sqref="C7"/>
    </sheetView>
  </sheetViews>
  <sheetFormatPr defaultColWidth="8.76171875" defaultRowHeight="12.75" x14ac:dyDescent="0.15"/>
  <cols>
    <col min="1" max="1" width="5.66015625" customWidth="1"/>
    <col min="2" max="2" width="29.80078125" customWidth="1"/>
    <col min="3" max="3" width="18.33984375" customWidth="1"/>
    <col min="4" max="4" width="10.3828125" customWidth="1"/>
    <col min="5" max="5" width="8.8984375" customWidth="1"/>
    <col min="6" max="6" width="11.59375" customWidth="1"/>
    <col min="7" max="7" width="13.6171875" customWidth="1"/>
    <col min="8" max="8" width="9.70703125" customWidth="1"/>
    <col min="9" max="9" width="6.60546875" customWidth="1"/>
    <col min="10" max="10" width="12.9453125" customWidth="1"/>
    <col min="12" max="12" width="12.80859375"/>
  </cols>
  <sheetData>
    <row r="1" spans="1:11" ht="21" x14ac:dyDescent="0.25">
      <c r="A1" s="957" t="s">
        <v>661</v>
      </c>
      <c r="B1" s="957"/>
      <c r="C1" s="957"/>
      <c r="D1" s="957"/>
      <c r="E1" s="957"/>
      <c r="F1" s="957"/>
      <c r="G1" s="957"/>
      <c r="H1" s="957"/>
      <c r="I1" s="957"/>
      <c r="J1" s="957"/>
    </row>
    <row r="2" spans="1:11" ht="21" x14ac:dyDescent="0.25">
      <c r="A2" s="957" t="s">
        <v>662</v>
      </c>
      <c r="B2" s="957"/>
      <c r="C2" s="957"/>
      <c r="D2" s="957"/>
      <c r="E2" s="957"/>
      <c r="F2" s="957"/>
      <c r="G2" s="957"/>
      <c r="H2" s="957"/>
      <c r="I2" s="957"/>
      <c r="J2" s="957"/>
    </row>
    <row r="3" spans="1:11" ht="15" x14ac:dyDescent="0.2">
      <c r="A3" s="702"/>
      <c r="B3" s="702"/>
      <c r="C3" s="702"/>
      <c r="D3" s="702"/>
      <c r="E3" s="702"/>
      <c r="F3" s="702"/>
      <c r="G3" s="702"/>
      <c r="H3" s="702"/>
      <c r="I3" s="747"/>
      <c r="J3" s="747"/>
    </row>
    <row r="4" spans="1:11" ht="49.5" x14ac:dyDescent="0.15">
      <c r="A4" s="703" t="s">
        <v>663</v>
      </c>
      <c r="B4" s="703" t="s">
        <v>664</v>
      </c>
      <c r="C4" s="703" t="s">
        <v>665</v>
      </c>
      <c r="D4" s="703" t="s">
        <v>666</v>
      </c>
      <c r="E4" s="703" t="s">
        <v>667</v>
      </c>
      <c r="F4" s="703" t="s">
        <v>668</v>
      </c>
      <c r="G4" s="703" t="s">
        <v>669</v>
      </c>
      <c r="H4" s="704" t="s">
        <v>670</v>
      </c>
      <c r="I4" s="748" t="s">
        <v>671</v>
      </c>
      <c r="J4" s="703" t="s">
        <v>672</v>
      </c>
    </row>
    <row r="5" spans="1:11" ht="13.5" x14ac:dyDescent="0.1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  <c r="I5" s="705"/>
      <c r="J5" s="705" t="s">
        <v>20</v>
      </c>
    </row>
    <row r="6" spans="1:11" ht="35.1" customHeight="1" x14ac:dyDescent="0.15">
      <c r="A6" s="706">
        <v>1</v>
      </c>
      <c r="B6" s="707" t="s">
        <v>617</v>
      </c>
      <c r="C6" s="708" t="s">
        <v>673</v>
      </c>
      <c r="D6" s="928" t="s">
        <v>674</v>
      </c>
      <c r="E6" s="929" t="s">
        <v>675</v>
      </c>
      <c r="F6" s="711">
        <f>511804.92</f>
        <v>511804.92</v>
      </c>
      <c r="G6" s="733">
        <f t="shared" ref="G6:G9" si="0">582118+80000</f>
        <v>662118</v>
      </c>
      <c r="H6" s="734">
        <f t="shared" ref="H6:H23" si="1">G6-F6</f>
        <v>150313.07999999999</v>
      </c>
      <c r="I6" s="714">
        <v>1</v>
      </c>
      <c r="J6" s="717">
        <f t="shared" ref="J6:J23" si="2">H6*I6</f>
        <v>150313.07999999999</v>
      </c>
    </row>
    <row r="7" spans="1:11" ht="35.1" customHeight="1" x14ac:dyDescent="0.15">
      <c r="A7" s="706">
        <v>2</v>
      </c>
      <c r="B7" s="735" t="s">
        <v>618</v>
      </c>
      <c r="C7" s="714" t="s">
        <v>673</v>
      </c>
      <c r="D7" s="929" t="s">
        <v>676</v>
      </c>
      <c r="E7" s="929" t="s">
        <v>677</v>
      </c>
      <c r="F7" s="711">
        <v>610498</v>
      </c>
      <c r="G7" s="733">
        <f>582118+160000</f>
        <v>742118</v>
      </c>
      <c r="H7" s="734">
        <f t="shared" si="1"/>
        <v>131620</v>
      </c>
      <c r="I7" s="714">
        <v>4</v>
      </c>
      <c r="J7" s="717">
        <f t="shared" si="2"/>
        <v>526480</v>
      </c>
    </row>
    <row r="8" spans="1:11" ht="35.1" customHeight="1" x14ac:dyDescent="0.15">
      <c r="A8" s="706">
        <v>3</v>
      </c>
      <c r="B8" s="707" t="s">
        <v>619</v>
      </c>
      <c r="C8" s="714" t="s">
        <v>673</v>
      </c>
      <c r="D8" s="929" t="s">
        <v>678</v>
      </c>
      <c r="E8" s="929" t="s">
        <v>677</v>
      </c>
      <c r="F8" s="711">
        <v>554373.75</v>
      </c>
      <c r="G8" s="733">
        <f t="shared" si="0"/>
        <v>662118</v>
      </c>
      <c r="H8" s="734">
        <f t="shared" si="1"/>
        <v>107744.25</v>
      </c>
      <c r="I8" s="714">
        <f>2.71</f>
        <v>2.71</v>
      </c>
      <c r="J8" s="717">
        <f t="shared" si="2"/>
        <v>291986.91749999998</v>
      </c>
    </row>
    <row r="9" spans="1:11" ht="35.1" customHeight="1" x14ac:dyDescent="0.15">
      <c r="A9" s="706">
        <v>4</v>
      </c>
      <c r="B9" s="707" t="s">
        <v>620</v>
      </c>
      <c r="C9" s="714" t="s">
        <v>679</v>
      </c>
      <c r="D9" s="929" t="s">
        <v>678</v>
      </c>
      <c r="E9" s="929" t="s">
        <v>677</v>
      </c>
      <c r="F9" s="711">
        <v>554374.75</v>
      </c>
      <c r="G9" s="733">
        <f t="shared" si="0"/>
        <v>662118</v>
      </c>
      <c r="H9" s="734">
        <f t="shared" si="1"/>
        <v>107743.25</v>
      </c>
      <c r="I9" s="714">
        <f>2.71</f>
        <v>2.71</v>
      </c>
      <c r="J9" s="717">
        <f t="shared" si="2"/>
        <v>291984.20750000002</v>
      </c>
    </row>
    <row r="10" spans="1:11" ht="35.1" customHeight="1" x14ac:dyDescent="0.15">
      <c r="A10" s="706">
        <v>5</v>
      </c>
      <c r="B10" s="707" t="s">
        <v>621</v>
      </c>
      <c r="C10" s="714" t="s">
        <v>679</v>
      </c>
      <c r="D10" s="929" t="s">
        <v>680</v>
      </c>
      <c r="E10" s="929" t="s">
        <v>681</v>
      </c>
      <c r="F10" s="711">
        <v>121145.75</v>
      </c>
      <c r="G10" s="736">
        <v>189814.16666666701</v>
      </c>
      <c r="H10" s="734">
        <f t="shared" si="1"/>
        <v>68668.416666667006</v>
      </c>
      <c r="I10" s="714">
        <v>0</v>
      </c>
      <c r="J10" s="717">
        <f t="shared" si="2"/>
        <v>0</v>
      </c>
      <c r="K10" s="749" t="s">
        <v>682</v>
      </c>
    </row>
    <row r="11" spans="1:11" ht="35.1" customHeight="1" x14ac:dyDescent="0.15">
      <c r="A11" s="706">
        <v>6</v>
      </c>
      <c r="B11" s="737" t="s">
        <v>309</v>
      </c>
      <c r="C11" s="714" t="s">
        <v>679</v>
      </c>
      <c r="D11" s="709" t="s">
        <v>573</v>
      </c>
      <c r="E11" s="929" t="s">
        <v>683</v>
      </c>
      <c r="F11" s="711">
        <v>120000</v>
      </c>
      <c r="G11" s="736">
        <f>255849+60000</f>
        <v>315849</v>
      </c>
      <c r="H11" s="734">
        <f t="shared" si="1"/>
        <v>195849</v>
      </c>
      <c r="I11" s="714">
        <v>8</v>
      </c>
      <c r="J11" s="717">
        <f t="shared" si="2"/>
        <v>1566792</v>
      </c>
    </row>
    <row r="12" spans="1:11" ht="35.1" customHeight="1" x14ac:dyDescent="0.15">
      <c r="A12" s="706">
        <v>7</v>
      </c>
      <c r="B12" s="707" t="s">
        <v>622</v>
      </c>
      <c r="C12" s="714" t="s">
        <v>679</v>
      </c>
      <c r="D12" s="929" t="s">
        <v>684</v>
      </c>
      <c r="E12" s="929" t="s">
        <v>685</v>
      </c>
      <c r="F12" s="711">
        <v>368901.5</v>
      </c>
      <c r="G12" s="733">
        <v>413512.5</v>
      </c>
      <c r="H12" s="734">
        <f t="shared" si="1"/>
        <v>44611</v>
      </c>
      <c r="I12" s="714">
        <v>2.71</v>
      </c>
      <c r="J12" s="717">
        <f t="shared" si="2"/>
        <v>120895.81</v>
      </c>
    </row>
    <row r="13" spans="1:11" ht="35.1" customHeight="1" x14ac:dyDescent="0.15">
      <c r="A13" s="706">
        <v>8</v>
      </c>
      <c r="B13" s="707" t="s">
        <v>623</v>
      </c>
      <c r="C13" s="714" t="s">
        <v>679</v>
      </c>
      <c r="D13" s="929" t="s">
        <v>686</v>
      </c>
      <c r="E13" s="929" t="s">
        <v>685</v>
      </c>
      <c r="F13" s="711">
        <v>376837.41666666698</v>
      </c>
      <c r="G13" s="733">
        <v>413512.5</v>
      </c>
      <c r="H13" s="734">
        <f t="shared" si="1"/>
        <v>36675.083333333001</v>
      </c>
      <c r="I13" s="714">
        <v>2.71</v>
      </c>
      <c r="J13" s="717">
        <f t="shared" si="2"/>
        <v>99389.475833332501</v>
      </c>
    </row>
    <row r="14" spans="1:11" ht="35.1" customHeight="1" x14ac:dyDescent="0.15">
      <c r="A14" s="706">
        <v>9</v>
      </c>
      <c r="B14" s="738" t="s">
        <v>624</v>
      </c>
      <c r="C14" s="714" t="s">
        <v>679</v>
      </c>
      <c r="D14" s="929" t="s">
        <v>687</v>
      </c>
      <c r="E14" s="929" t="s">
        <v>688</v>
      </c>
      <c r="F14" s="711">
        <v>450086.5</v>
      </c>
      <c r="G14" s="733">
        <v>510248.91666666698</v>
      </c>
      <c r="H14" s="734">
        <f t="shared" si="1"/>
        <v>60162.416666666999</v>
      </c>
      <c r="I14" s="714">
        <v>8</v>
      </c>
      <c r="J14" s="717">
        <f t="shared" si="2"/>
        <v>481299.33333333599</v>
      </c>
    </row>
    <row r="15" spans="1:11" ht="35.1" customHeight="1" x14ac:dyDescent="0.15">
      <c r="A15" s="706">
        <v>10</v>
      </c>
      <c r="B15" s="707" t="s">
        <v>625</v>
      </c>
      <c r="C15" s="714" t="s">
        <v>679</v>
      </c>
      <c r="D15" s="929" t="s">
        <v>687</v>
      </c>
      <c r="E15" s="929" t="s">
        <v>688</v>
      </c>
      <c r="F15" s="739">
        <v>450086.5</v>
      </c>
      <c r="G15" s="740">
        <v>510248.91666666698</v>
      </c>
      <c r="H15" s="734">
        <f t="shared" si="1"/>
        <v>60162.416666666999</v>
      </c>
      <c r="I15" s="714">
        <v>2.71</v>
      </c>
      <c r="J15" s="717">
        <f t="shared" si="2"/>
        <v>163040.14916666801</v>
      </c>
    </row>
    <row r="16" spans="1:11" ht="35.1" customHeight="1" x14ac:dyDescent="0.15">
      <c r="A16" s="706">
        <v>11</v>
      </c>
      <c r="B16" s="707" t="s">
        <v>626</v>
      </c>
      <c r="C16" s="714" t="s">
        <v>689</v>
      </c>
      <c r="D16" s="929" t="s">
        <v>676</v>
      </c>
      <c r="E16" s="929" t="s">
        <v>677</v>
      </c>
      <c r="F16" s="711">
        <v>610498</v>
      </c>
      <c r="G16" s="733">
        <v>742118</v>
      </c>
      <c r="H16" s="734">
        <f t="shared" si="1"/>
        <v>131620</v>
      </c>
      <c r="I16" s="714">
        <v>3</v>
      </c>
      <c r="J16" s="717">
        <f t="shared" si="2"/>
        <v>394860</v>
      </c>
    </row>
    <row r="17" spans="1:10" ht="35.1" customHeight="1" x14ac:dyDescent="0.15">
      <c r="A17" s="706">
        <v>12</v>
      </c>
      <c r="B17" s="707" t="s">
        <v>278</v>
      </c>
      <c r="C17" s="714" t="s">
        <v>689</v>
      </c>
      <c r="D17" s="929" t="s">
        <v>678</v>
      </c>
      <c r="E17" s="929" t="s">
        <v>677</v>
      </c>
      <c r="F17" s="711">
        <v>554373.75</v>
      </c>
      <c r="G17" s="733">
        <v>662118</v>
      </c>
      <c r="H17" s="734">
        <f t="shared" si="1"/>
        <v>107744.25</v>
      </c>
      <c r="I17" s="714">
        <v>3</v>
      </c>
      <c r="J17" s="717">
        <f t="shared" si="2"/>
        <v>323232.75</v>
      </c>
    </row>
    <row r="18" spans="1:10" ht="35.1" customHeight="1" x14ac:dyDescent="0.15">
      <c r="A18" s="706">
        <v>13</v>
      </c>
      <c r="B18" s="707" t="s">
        <v>627</v>
      </c>
      <c r="C18" s="714" t="s">
        <v>689</v>
      </c>
      <c r="D18" s="929" t="s">
        <v>687</v>
      </c>
      <c r="E18" s="929" t="s">
        <v>688</v>
      </c>
      <c r="F18" s="711">
        <v>450086.5</v>
      </c>
      <c r="G18" s="733">
        <v>510248.91666666698</v>
      </c>
      <c r="H18" s="734">
        <f t="shared" si="1"/>
        <v>60162.416666666999</v>
      </c>
      <c r="I18" s="714">
        <v>3</v>
      </c>
      <c r="J18" s="717">
        <f t="shared" si="2"/>
        <v>180487.25000000099</v>
      </c>
    </row>
    <row r="19" spans="1:10" ht="35.1" customHeight="1" x14ac:dyDescent="0.15">
      <c r="A19" s="706">
        <v>14</v>
      </c>
      <c r="B19" s="737" t="s">
        <v>628</v>
      </c>
      <c r="C19" s="714" t="s">
        <v>690</v>
      </c>
      <c r="D19" s="929" t="s">
        <v>691</v>
      </c>
      <c r="E19" s="929" t="s">
        <v>692</v>
      </c>
      <c r="F19" s="711">
        <v>548915.91666666698</v>
      </c>
      <c r="G19" s="733">
        <v>582746.5</v>
      </c>
      <c r="H19" s="734">
        <f t="shared" si="1"/>
        <v>33830.583333333001</v>
      </c>
      <c r="I19" s="714">
        <v>20</v>
      </c>
      <c r="J19" s="717">
        <f t="shared" si="2"/>
        <v>676611.66666665999</v>
      </c>
    </row>
    <row r="20" spans="1:10" ht="35.1" customHeight="1" x14ac:dyDescent="0.15">
      <c r="A20" s="706">
        <v>15</v>
      </c>
      <c r="B20" s="737" t="s">
        <v>629</v>
      </c>
      <c r="C20" s="714" t="s">
        <v>690</v>
      </c>
      <c r="D20" s="929" t="s">
        <v>684</v>
      </c>
      <c r="E20" s="929" t="s">
        <v>685</v>
      </c>
      <c r="F20" s="711">
        <v>368901.5</v>
      </c>
      <c r="G20" s="733">
        <v>413512.5</v>
      </c>
      <c r="H20" s="734">
        <f t="shared" si="1"/>
        <v>44611</v>
      </c>
      <c r="I20" s="714">
        <v>9</v>
      </c>
      <c r="J20" s="717">
        <f t="shared" si="2"/>
        <v>401499</v>
      </c>
    </row>
    <row r="21" spans="1:10" ht="35.1" customHeight="1" x14ac:dyDescent="0.15">
      <c r="A21" s="741">
        <v>16</v>
      </c>
      <c r="B21" s="737" t="s">
        <v>631</v>
      </c>
      <c r="C21" s="742" t="s">
        <v>693</v>
      </c>
      <c r="D21" s="930" t="s">
        <v>684</v>
      </c>
      <c r="E21" s="930" t="s">
        <v>685</v>
      </c>
      <c r="F21" s="743">
        <v>408901.5</v>
      </c>
      <c r="G21" s="744">
        <f>353512.5+110000</f>
        <v>463512.5</v>
      </c>
      <c r="H21" s="745">
        <f t="shared" si="1"/>
        <v>54611</v>
      </c>
      <c r="I21" s="742">
        <v>12</v>
      </c>
      <c r="J21" s="750">
        <f t="shared" si="2"/>
        <v>655332</v>
      </c>
    </row>
    <row r="22" spans="1:10" ht="35.1" customHeight="1" x14ac:dyDescent="0.15">
      <c r="A22" s="706">
        <v>17</v>
      </c>
      <c r="B22" s="707" t="s">
        <v>632</v>
      </c>
      <c r="C22" s="714" t="s">
        <v>694</v>
      </c>
      <c r="D22" s="929" t="s">
        <v>695</v>
      </c>
      <c r="E22" s="929" t="s">
        <v>681</v>
      </c>
      <c r="F22" s="711">
        <v>102926.91666666701</v>
      </c>
      <c r="G22" s="733">
        <v>189814.16666666701</v>
      </c>
      <c r="H22" s="734">
        <f t="shared" si="1"/>
        <v>86887.25</v>
      </c>
      <c r="I22" s="714">
        <v>1</v>
      </c>
      <c r="J22" s="717">
        <f t="shared" si="2"/>
        <v>86887.25</v>
      </c>
    </row>
    <row r="23" spans="1:10" ht="35.1" customHeight="1" x14ac:dyDescent="0.15">
      <c r="A23" s="706">
        <v>18</v>
      </c>
      <c r="B23" s="707" t="s">
        <v>177</v>
      </c>
      <c r="C23" s="714" t="s">
        <v>696</v>
      </c>
      <c r="D23" s="929" t="s">
        <v>687</v>
      </c>
      <c r="E23" s="929" t="s">
        <v>688</v>
      </c>
      <c r="F23" s="711">
        <v>450086.5</v>
      </c>
      <c r="G23" s="733">
        <v>510248.91666666698</v>
      </c>
      <c r="H23" s="734">
        <f t="shared" si="1"/>
        <v>60162.416666666999</v>
      </c>
      <c r="I23" s="713">
        <v>3</v>
      </c>
      <c r="J23" s="717">
        <f t="shared" si="2"/>
        <v>180487.25000000099</v>
      </c>
    </row>
    <row r="24" spans="1:10" ht="35.1" customHeight="1" x14ac:dyDescent="0.15">
      <c r="A24" s="706"/>
      <c r="B24" s="746" t="s">
        <v>111</v>
      </c>
      <c r="C24" s="714"/>
      <c r="D24" s="714"/>
      <c r="E24" s="714"/>
      <c r="F24" s="717"/>
      <c r="G24" s="717"/>
      <c r="H24" s="717"/>
      <c r="I24" s="706"/>
      <c r="J24" s="751">
        <f>SUM(J6:J23)</f>
        <v>6591578.1399999997</v>
      </c>
    </row>
    <row r="29" spans="1:10" x14ac:dyDescent="0.15">
      <c r="J29" s="752"/>
    </row>
    <row r="30" spans="1:10" x14ac:dyDescent="0.15">
      <c r="J30" s="752"/>
    </row>
    <row r="32" spans="1:10" x14ac:dyDescent="0.15">
      <c r="J32" s="372"/>
    </row>
    <row r="34" spans="10:10" x14ac:dyDescent="0.15">
      <c r="J34" s="752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191"/>
  <sheetViews>
    <sheetView topLeftCell="N132" workbookViewId="0">
      <selection activeCell="Z137" sqref="Z137"/>
    </sheetView>
  </sheetViews>
  <sheetFormatPr defaultColWidth="9.16796875" defaultRowHeight="12.75" x14ac:dyDescent="0.15"/>
  <cols>
    <col min="1" max="1" width="6.875" style="259" customWidth="1"/>
    <col min="2" max="2" width="39.1054687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259" customWidth="1"/>
    <col min="27" max="27" width="16.31640625" style="259" customWidth="1"/>
    <col min="28" max="28" width="14.6953125" style="259" customWidth="1"/>
    <col min="29" max="29" width="27.375" style="259" customWidth="1"/>
    <col min="30" max="16384" width="9.16796875" style="259"/>
  </cols>
  <sheetData>
    <row r="1" spans="1:31" ht="13.5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t="13.5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t="13.5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" x14ac:dyDescent="0.2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1.5" x14ac:dyDescent="0.2">
      <c r="A6" s="421">
        <v>3</v>
      </c>
      <c r="B6" s="9" t="s">
        <v>23</v>
      </c>
      <c r="C6" s="422">
        <v>1934986.1669999999</v>
      </c>
      <c r="D6" s="423">
        <v>12</v>
      </c>
      <c r="E6" s="424">
        <f t="shared" ref="E6:E32" si="0">C6*D6</f>
        <v>23219834.004000001</v>
      </c>
      <c r="F6" s="424"/>
      <c r="G6" s="424"/>
      <c r="H6" s="424"/>
      <c r="I6" s="424">
        <f t="shared" ref="I6:I32" si="1">E6-F6-G6-H6</f>
        <v>23219834.004000001</v>
      </c>
      <c r="J6" s="424">
        <v>200000</v>
      </c>
      <c r="K6" s="424">
        <v>0.2</v>
      </c>
      <c r="L6" s="424">
        <f t="shared" ref="L6:L32" si="2">I6*K6</f>
        <v>4643966.8008000003</v>
      </c>
      <c r="M6" s="424">
        <f t="shared" ref="M6:M32" si="3">J6+L6</f>
        <v>4843966.8008000003</v>
      </c>
      <c r="N6" s="424">
        <f t="shared" ref="N6:N32" si="4">F6+G6+H6+M6</f>
        <v>4843966.8008000003</v>
      </c>
      <c r="O6" s="424">
        <f t="shared" ref="O6:O32" si="5">E6-N6</f>
        <v>18375867.203200001</v>
      </c>
      <c r="P6" s="424">
        <f t="shared" ref="P6:P32" si="6">IF(O6&lt;300000,0.07*O6,21000)</f>
        <v>21000</v>
      </c>
      <c r="Q6" s="424">
        <f t="shared" ref="Q6:Q32" si="7">IF((O6-300000)&lt;0,0,IF((O6-300000)&lt;300000,0.11*(O6-300000),33000))</f>
        <v>33000</v>
      </c>
      <c r="R6" s="424">
        <f t="shared" ref="R6:R32" si="8">IF((O6-600000)&lt;0,0,IF((O6-600000)&lt;500000,0.15*(O6-600000),75000))</f>
        <v>75000</v>
      </c>
      <c r="S6" s="424">
        <f t="shared" ref="S6:S32" si="9">IF((O6-1100000)&lt;0,0,IF((O6-1100000)&lt;500000,0.19*(O6-1100000),95000))</f>
        <v>95000</v>
      </c>
      <c r="T6" s="424">
        <f t="shared" ref="T6:T32" si="10">IF((O6-1600000)&lt;0,0,IF((O6-1600000)&lt;1600000,0.21*(O6-1600000),336000))</f>
        <v>336000</v>
      </c>
      <c r="U6" s="424">
        <f t="shared" ref="U6:U23" si="11">24%*(O6-3200000)</f>
        <v>3642208.1287679998</v>
      </c>
      <c r="V6" s="424">
        <f t="shared" ref="V6:V32" si="12">P6+Q6+R6+S6+T6+U6</f>
        <v>4202208.1287679998</v>
      </c>
      <c r="W6" s="431">
        <v>12</v>
      </c>
      <c r="X6" s="424">
        <f t="shared" ref="X6:X32" si="13">V6/W6</f>
        <v>350184.01073066698</v>
      </c>
      <c r="Y6" s="424"/>
      <c r="Z6" s="424">
        <f t="shared" ref="Z6:Z32" si="14">X6</f>
        <v>350184.01073066698</v>
      </c>
      <c r="AA6" s="436">
        <v>201165.83594666701</v>
      </c>
      <c r="AB6" s="436">
        <f t="shared" ref="AB6:AB32" si="15">Z6-AA6</f>
        <v>149018.174784</v>
      </c>
      <c r="AC6" s="436"/>
      <c r="AD6" s="436"/>
      <c r="AE6" s="436"/>
    </row>
    <row r="7" spans="1:31" ht="18" x14ac:dyDescent="0.1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si="0"/>
        <v>11428478</v>
      </c>
      <c r="F7" s="424"/>
      <c r="G7" s="424">
        <v>731878.24</v>
      </c>
      <c r="H7" s="424"/>
      <c r="I7" s="424">
        <f t="shared" si="1"/>
        <v>10696599.76</v>
      </c>
      <c r="J7" s="424">
        <v>200000</v>
      </c>
      <c r="K7" s="424">
        <v>0.2</v>
      </c>
      <c r="L7" s="424">
        <f t="shared" si="2"/>
        <v>2139319.952</v>
      </c>
      <c r="M7" s="424">
        <f t="shared" si="3"/>
        <v>2339319.952</v>
      </c>
      <c r="N7" s="424">
        <f t="shared" si="4"/>
        <v>3071198.1919999998</v>
      </c>
      <c r="O7" s="424">
        <f t="shared" si="5"/>
        <v>8357279.8080000002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1237747.15392</v>
      </c>
      <c r="V7" s="424">
        <f t="shared" si="12"/>
        <v>1797747.15392</v>
      </c>
      <c r="W7" s="431">
        <v>12</v>
      </c>
      <c r="X7" s="424">
        <f t="shared" si="13"/>
        <v>149812.26282666699</v>
      </c>
      <c r="Y7" s="424"/>
      <c r="Z7" s="424">
        <f t="shared" si="14"/>
        <v>149812.26282666699</v>
      </c>
      <c r="AA7" s="436">
        <v>82627.951418666693</v>
      </c>
      <c r="AB7" s="436">
        <f t="shared" si="15"/>
        <v>67184.311407999994</v>
      </c>
      <c r="AC7" s="436"/>
      <c r="AD7" s="436"/>
      <c r="AE7" s="436"/>
    </row>
    <row r="8" spans="1:31" ht="18" x14ac:dyDescent="0.1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0"/>
        <v>13828478</v>
      </c>
      <c r="F8" s="424"/>
      <c r="G8" s="424">
        <v>0</v>
      </c>
      <c r="H8" s="424"/>
      <c r="I8" s="424">
        <f t="shared" si="1"/>
        <v>13828478</v>
      </c>
      <c r="J8" s="424">
        <v>200000</v>
      </c>
      <c r="K8" s="424">
        <v>0.2</v>
      </c>
      <c r="L8" s="424">
        <f t="shared" si="2"/>
        <v>2765695.6000000099</v>
      </c>
      <c r="M8" s="424">
        <f t="shared" si="3"/>
        <v>2965695.6000000099</v>
      </c>
      <c r="N8" s="424">
        <f t="shared" si="4"/>
        <v>2965695.6000000099</v>
      </c>
      <c r="O8" s="424">
        <f t="shared" si="5"/>
        <v>10862782.4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1839067.7760000101</v>
      </c>
      <c r="V8" s="424">
        <f t="shared" si="12"/>
        <v>2399067.7760000098</v>
      </c>
      <c r="W8" s="431">
        <v>12</v>
      </c>
      <c r="X8" s="424">
        <f t="shared" si="13"/>
        <v>199922.31466666699</v>
      </c>
      <c r="Y8" s="424"/>
      <c r="Z8" s="424">
        <f t="shared" si="14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" x14ac:dyDescent="0.1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0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10563803.809</v>
      </c>
      <c r="J9" s="424">
        <v>200000</v>
      </c>
      <c r="K9" s="424">
        <v>0.2</v>
      </c>
      <c r="L9" s="424">
        <f t="shared" si="2"/>
        <v>2112760.7618</v>
      </c>
      <c r="M9" s="424">
        <f t="shared" si="3"/>
        <v>2312760.7618</v>
      </c>
      <c r="N9" s="424">
        <f t="shared" si="4"/>
        <v>3057434.9528000001</v>
      </c>
      <c r="O9" s="424">
        <f t="shared" si="5"/>
        <v>8251043.0471999999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1212250.3313279999</v>
      </c>
      <c r="V9" s="424">
        <f t="shared" si="12"/>
        <v>1772250.3313279999</v>
      </c>
      <c r="W9" s="431">
        <v>12</v>
      </c>
      <c r="X9" s="424">
        <f t="shared" si="13"/>
        <v>147687.52761066699</v>
      </c>
      <c r="Y9" s="424"/>
      <c r="Z9" s="424">
        <f t="shared" si="14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" x14ac:dyDescent="0.2">
      <c r="A10" s="421">
        <v>7</v>
      </c>
      <c r="B10" s="12" t="s">
        <v>271</v>
      </c>
      <c r="C10" s="569">
        <v>1300519.22</v>
      </c>
      <c r="D10" s="423">
        <v>12</v>
      </c>
      <c r="E10" s="424">
        <f t="shared" si="0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14861556.448999999</v>
      </c>
      <c r="J10" s="424">
        <v>200000</v>
      </c>
      <c r="K10" s="424">
        <v>0.2</v>
      </c>
      <c r="L10" s="424">
        <f t="shared" si="2"/>
        <v>2972311.2897999999</v>
      </c>
      <c r="M10" s="424">
        <f t="shared" si="3"/>
        <v>3172311.2897999999</v>
      </c>
      <c r="N10" s="424">
        <f t="shared" si="4"/>
        <v>3916985.4808</v>
      </c>
      <c r="O10" s="424">
        <f t="shared" si="5"/>
        <v>11689245.1592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2037418.8382079999</v>
      </c>
      <c r="V10" s="424">
        <f t="shared" si="12"/>
        <v>2597418.8382080002</v>
      </c>
      <c r="W10" s="431">
        <v>12</v>
      </c>
      <c r="X10" s="424">
        <f t="shared" si="13"/>
        <v>216451.569850667</v>
      </c>
      <c r="Y10" s="424"/>
      <c r="Z10" s="424">
        <f t="shared" si="14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" x14ac:dyDescent="0.15">
      <c r="A11" s="421">
        <v>8</v>
      </c>
      <c r="B11" s="16" t="s">
        <v>530</v>
      </c>
      <c r="C11" s="422">
        <f>952373.166666667+100000</f>
        <v>1052373.16666667</v>
      </c>
      <c r="D11" s="423">
        <v>12</v>
      </c>
      <c r="E11" s="424">
        <f t="shared" si="0"/>
        <v>12628478</v>
      </c>
      <c r="F11" s="424"/>
      <c r="G11" s="424">
        <v>0</v>
      </c>
      <c r="H11" s="424"/>
      <c r="I11" s="424">
        <f t="shared" si="1"/>
        <v>12628478</v>
      </c>
      <c r="J11" s="424">
        <v>200000</v>
      </c>
      <c r="K11" s="424">
        <v>0.2</v>
      </c>
      <c r="L11" s="424">
        <f t="shared" si="2"/>
        <v>2525695.6000000099</v>
      </c>
      <c r="M11" s="424">
        <f t="shared" si="3"/>
        <v>2725695.6000000099</v>
      </c>
      <c r="N11" s="424">
        <f t="shared" si="4"/>
        <v>2725695.6000000099</v>
      </c>
      <c r="O11" s="424">
        <f t="shared" si="5"/>
        <v>9902782.4000000302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1608667.7760000101</v>
      </c>
      <c r="V11" s="424">
        <f t="shared" si="12"/>
        <v>2168667.7760000098</v>
      </c>
      <c r="W11" s="431">
        <v>12</v>
      </c>
      <c r="X11" s="424">
        <f t="shared" si="13"/>
        <v>180722.31466666699</v>
      </c>
      <c r="Y11" s="424"/>
      <c r="Z11" s="424">
        <f t="shared" si="14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" x14ac:dyDescent="0.15">
      <c r="A12" s="421">
        <v>9</v>
      </c>
      <c r="B12" s="9" t="s">
        <v>33</v>
      </c>
      <c r="C12" s="422">
        <v>856034</v>
      </c>
      <c r="D12" s="423">
        <v>12</v>
      </c>
      <c r="E12" s="424">
        <f t="shared" si="0"/>
        <v>10272408</v>
      </c>
      <c r="F12" s="424">
        <f>10293.3979166667*12</f>
        <v>123520.77499999999</v>
      </c>
      <c r="G12" s="424">
        <f>59136.2866666667*12</f>
        <v>709635.44</v>
      </c>
      <c r="H12" s="424"/>
      <c r="I12" s="424">
        <f t="shared" si="1"/>
        <v>9439251.7850000001</v>
      </c>
      <c r="J12" s="424">
        <v>200000</v>
      </c>
      <c r="K12" s="424">
        <v>0.2</v>
      </c>
      <c r="L12" s="424">
        <f t="shared" si="2"/>
        <v>1887850.3570000001</v>
      </c>
      <c r="M12" s="424">
        <f t="shared" si="3"/>
        <v>2087850.3570000001</v>
      </c>
      <c r="N12" s="424">
        <f t="shared" si="4"/>
        <v>2921006.5720000002</v>
      </c>
      <c r="O12" s="424">
        <f t="shared" si="5"/>
        <v>7351401.4280000003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996336.34271999996</v>
      </c>
      <c r="V12" s="424">
        <f t="shared" si="12"/>
        <v>1556336.3427200001</v>
      </c>
      <c r="W12" s="431">
        <v>12</v>
      </c>
      <c r="X12" s="424">
        <f t="shared" si="13"/>
        <v>129694.695226667</v>
      </c>
      <c r="Y12" s="424"/>
      <c r="Z12" s="424">
        <f t="shared" si="14"/>
        <v>129694.695226667</v>
      </c>
      <c r="AA12" s="436">
        <v>74036.103146666705</v>
      </c>
      <c r="AB12" s="436">
        <f t="shared" si="15"/>
        <v>55658.5920799999</v>
      </c>
      <c r="AC12" s="436"/>
      <c r="AD12" s="436"/>
      <c r="AE12" s="436"/>
    </row>
    <row r="13" spans="1:31" ht="18" x14ac:dyDescent="0.1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0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10737277.687999999</v>
      </c>
      <c r="J13" s="424">
        <v>200000</v>
      </c>
      <c r="K13" s="424">
        <v>0.2</v>
      </c>
      <c r="L13" s="424">
        <f t="shared" si="2"/>
        <v>2147455.5375999999</v>
      </c>
      <c r="M13" s="424">
        <f t="shared" si="3"/>
        <v>2347455.5375999999</v>
      </c>
      <c r="N13" s="424">
        <f t="shared" si="4"/>
        <v>2915594.8495999998</v>
      </c>
      <c r="O13" s="424">
        <f t="shared" si="5"/>
        <v>8389822.1503999997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 t="shared" si="11"/>
        <v>1245557.3160959999</v>
      </c>
      <c r="V13" s="424">
        <f t="shared" si="12"/>
        <v>1805557.3160959999</v>
      </c>
      <c r="W13" s="431">
        <v>12</v>
      </c>
      <c r="X13" s="424">
        <f t="shared" si="13"/>
        <v>150463.10967466701</v>
      </c>
      <c r="Y13" s="424"/>
      <c r="Z13" s="424">
        <f t="shared" si="14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" x14ac:dyDescent="0.1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0"/>
        <v>6652485</v>
      </c>
      <c r="F14" s="424"/>
      <c r="G14" s="424">
        <v>464998.8</v>
      </c>
      <c r="H14" s="424"/>
      <c r="I14" s="424">
        <f t="shared" si="1"/>
        <v>6187486.2000000002</v>
      </c>
      <c r="J14" s="424">
        <v>200000</v>
      </c>
      <c r="K14" s="424">
        <v>0.2</v>
      </c>
      <c r="L14" s="424">
        <f t="shared" si="2"/>
        <v>1237497.24</v>
      </c>
      <c r="M14" s="424">
        <f t="shared" si="3"/>
        <v>1437497.24</v>
      </c>
      <c r="N14" s="424">
        <f t="shared" si="4"/>
        <v>1902496.04</v>
      </c>
      <c r="O14" s="424">
        <f t="shared" si="5"/>
        <v>4749988.96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371997.3504</v>
      </c>
      <c r="V14" s="424">
        <f t="shared" si="12"/>
        <v>931997.3504</v>
      </c>
      <c r="W14" s="431">
        <v>12</v>
      </c>
      <c r="X14" s="424">
        <f t="shared" si="13"/>
        <v>77666.445866666705</v>
      </c>
      <c r="Y14" s="424"/>
      <c r="Z14" s="424">
        <f t="shared" si="14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" x14ac:dyDescent="0.1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0"/>
        <v>7925976</v>
      </c>
      <c r="F15" s="424"/>
      <c r="G15" s="425">
        <v>451678.08</v>
      </c>
      <c r="H15" s="424"/>
      <c r="I15" s="424">
        <f t="shared" si="1"/>
        <v>7474297.9199999999</v>
      </c>
      <c r="J15" s="424">
        <v>200000</v>
      </c>
      <c r="K15" s="424">
        <v>0.2</v>
      </c>
      <c r="L15" s="424">
        <f t="shared" si="2"/>
        <v>1494859.584</v>
      </c>
      <c r="M15" s="424">
        <f t="shared" si="3"/>
        <v>1694859.584</v>
      </c>
      <c r="N15" s="424">
        <f t="shared" si="4"/>
        <v>2146537.6639999999</v>
      </c>
      <c r="O15" s="424">
        <f t="shared" si="5"/>
        <v>5779438.3360000001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619065.20064000005</v>
      </c>
      <c r="V15" s="424">
        <f t="shared" si="12"/>
        <v>1179065.2006399999</v>
      </c>
      <c r="W15" s="431">
        <v>12</v>
      </c>
      <c r="X15" s="424">
        <f t="shared" si="13"/>
        <v>98255.4333866667</v>
      </c>
      <c r="Y15" s="424"/>
      <c r="Z15" s="424">
        <f t="shared" si="14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" x14ac:dyDescent="0.1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0"/>
        <v>9992958</v>
      </c>
      <c r="F16" s="424"/>
      <c r="G16" s="424">
        <v>425036.64</v>
      </c>
      <c r="H16" s="424"/>
      <c r="I16" s="424">
        <f t="shared" si="1"/>
        <v>9567921.3599999994</v>
      </c>
      <c r="J16" s="424">
        <v>200000</v>
      </c>
      <c r="K16" s="424">
        <v>0.2</v>
      </c>
      <c r="L16" s="424">
        <f t="shared" si="2"/>
        <v>1913584.2720000001</v>
      </c>
      <c r="M16" s="424">
        <f t="shared" si="3"/>
        <v>2113584.2719999999</v>
      </c>
      <c r="N16" s="424">
        <f t="shared" si="4"/>
        <v>2538620.912</v>
      </c>
      <c r="O16" s="424">
        <f t="shared" si="5"/>
        <v>7454337.0880000005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336000</v>
      </c>
      <c r="U16" s="424">
        <f t="shared" si="11"/>
        <v>1021040.9011200001</v>
      </c>
      <c r="V16" s="424">
        <f t="shared" si="12"/>
        <v>1581040.9011200001</v>
      </c>
      <c r="W16" s="431">
        <v>12</v>
      </c>
      <c r="X16" s="424">
        <f t="shared" si="13"/>
        <v>131753.40842666701</v>
      </c>
      <c r="Y16" s="424"/>
      <c r="Z16" s="424">
        <f t="shared" si="14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" x14ac:dyDescent="0.1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0"/>
        <v>6141659</v>
      </c>
      <c r="F17" s="424"/>
      <c r="G17" s="424">
        <v>424132.72</v>
      </c>
      <c r="H17" s="424"/>
      <c r="I17" s="424">
        <f t="shared" si="1"/>
        <v>5717526.2800000003</v>
      </c>
      <c r="J17" s="424">
        <v>200000</v>
      </c>
      <c r="K17" s="424">
        <v>0.2</v>
      </c>
      <c r="L17" s="424">
        <f t="shared" si="2"/>
        <v>1143505.2560000001</v>
      </c>
      <c r="M17" s="424">
        <f t="shared" si="3"/>
        <v>1343505.2560000001</v>
      </c>
      <c r="N17" s="424">
        <f t="shared" si="4"/>
        <v>1767637.976</v>
      </c>
      <c r="O17" s="424">
        <f t="shared" si="5"/>
        <v>4374021.0240000002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336000</v>
      </c>
      <c r="U17" s="424">
        <f t="shared" si="11"/>
        <v>281765.045760001</v>
      </c>
      <c r="V17" s="424">
        <f t="shared" si="12"/>
        <v>841765.04576000106</v>
      </c>
      <c r="W17" s="431">
        <v>12</v>
      </c>
      <c r="X17" s="424">
        <f t="shared" si="13"/>
        <v>70147.087146666701</v>
      </c>
      <c r="Y17" s="424"/>
      <c r="Z17" s="424">
        <f t="shared" si="14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" x14ac:dyDescent="0.1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0"/>
        <v>6586991</v>
      </c>
      <c r="F18" s="424"/>
      <c r="G18" s="424">
        <v>411759.28</v>
      </c>
      <c r="H18" s="424"/>
      <c r="I18" s="424">
        <f t="shared" si="1"/>
        <v>6175231.7199999997</v>
      </c>
      <c r="J18" s="424">
        <v>200000</v>
      </c>
      <c r="K18" s="424">
        <v>0.2</v>
      </c>
      <c r="L18" s="424">
        <f t="shared" si="2"/>
        <v>1235046.344</v>
      </c>
      <c r="M18" s="424">
        <f t="shared" si="3"/>
        <v>1435046.344</v>
      </c>
      <c r="N18" s="424">
        <f t="shared" si="4"/>
        <v>1846805.6240000001</v>
      </c>
      <c r="O18" s="424">
        <f t="shared" si="5"/>
        <v>4740185.3760000002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 t="shared" si="11"/>
        <v>369644.490240001</v>
      </c>
      <c r="V18" s="424">
        <f t="shared" si="12"/>
        <v>929644.490240001</v>
      </c>
      <c r="W18" s="431">
        <v>12</v>
      </c>
      <c r="X18" s="424">
        <f t="shared" si="13"/>
        <v>77470.374186666697</v>
      </c>
      <c r="Y18" s="424"/>
      <c r="Z18" s="424">
        <f t="shared" si="14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" x14ac:dyDescent="0.1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0"/>
        <v>8832323</v>
      </c>
      <c r="F19" s="424">
        <f>618.53*12</f>
        <v>7422.36</v>
      </c>
      <c r="G19" s="424">
        <v>399385.84</v>
      </c>
      <c r="H19" s="424"/>
      <c r="I19" s="424">
        <f t="shared" si="1"/>
        <v>8425514.8000000007</v>
      </c>
      <c r="J19" s="424">
        <v>200000</v>
      </c>
      <c r="K19" s="424">
        <v>0.2</v>
      </c>
      <c r="L19" s="424">
        <f t="shared" si="2"/>
        <v>1685102.96</v>
      </c>
      <c r="M19" s="424">
        <f t="shared" si="3"/>
        <v>1885102.96</v>
      </c>
      <c r="N19" s="424">
        <f t="shared" si="4"/>
        <v>2291911.16</v>
      </c>
      <c r="O19" s="424">
        <f t="shared" si="5"/>
        <v>6540411.8399999999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 t="shared" si="11"/>
        <v>801698.84160000097</v>
      </c>
      <c r="V19" s="424">
        <f t="shared" si="12"/>
        <v>1361698.8415999999</v>
      </c>
      <c r="W19" s="431">
        <v>12</v>
      </c>
      <c r="X19" s="424">
        <f t="shared" si="13"/>
        <v>113474.903466667</v>
      </c>
      <c r="Y19" s="424"/>
      <c r="Z19" s="424">
        <f t="shared" si="14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" x14ac:dyDescent="0.1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0"/>
        <v>6454742</v>
      </c>
      <c r="F20" s="424"/>
      <c r="G20" s="424">
        <v>362779.36</v>
      </c>
      <c r="H20" s="424"/>
      <c r="I20" s="424">
        <f t="shared" si="1"/>
        <v>6091962.6399999997</v>
      </c>
      <c r="J20" s="424">
        <v>200000</v>
      </c>
      <c r="K20" s="424">
        <v>0.2</v>
      </c>
      <c r="L20" s="424">
        <f t="shared" si="2"/>
        <v>1218392.5279999999</v>
      </c>
      <c r="M20" s="424">
        <f t="shared" si="3"/>
        <v>1418392.5279999999</v>
      </c>
      <c r="N20" s="424">
        <f t="shared" si="4"/>
        <v>1781171.888</v>
      </c>
      <c r="O20" s="424">
        <f t="shared" si="5"/>
        <v>4673570.1119999997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 t="shared" si="11"/>
        <v>353656.826880001</v>
      </c>
      <c r="V20" s="424">
        <f t="shared" si="12"/>
        <v>913656.826880001</v>
      </c>
      <c r="W20" s="431">
        <v>12</v>
      </c>
      <c r="X20" s="424">
        <f t="shared" si="13"/>
        <v>76138.068906666696</v>
      </c>
      <c r="Y20" s="424"/>
      <c r="Z20" s="424">
        <f t="shared" si="14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" x14ac:dyDescent="0.1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0"/>
        <v>7842150</v>
      </c>
      <c r="F21" s="424"/>
      <c r="G21" s="424">
        <v>339372</v>
      </c>
      <c r="H21" s="424"/>
      <c r="I21" s="424">
        <f t="shared" si="1"/>
        <v>7502778</v>
      </c>
      <c r="J21" s="424">
        <v>200000</v>
      </c>
      <c r="K21" s="424">
        <v>0.2</v>
      </c>
      <c r="L21" s="424">
        <f t="shared" si="2"/>
        <v>1500555.6</v>
      </c>
      <c r="M21" s="424">
        <f t="shared" si="3"/>
        <v>1700555.6</v>
      </c>
      <c r="N21" s="424">
        <f t="shared" si="4"/>
        <v>2039927.6</v>
      </c>
      <c r="O21" s="424">
        <f t="shared" si="5"/>
        <v>5802222.4000000004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 t="shared" si="11"/>
        <v>624533.37600000005</v>
      </c>
      <c r="V21" s="424">
        <f t="shared" si="12"/>
        <v>1184533.3759999999</v>
      </c>
      <c r="W21" s="431">
        <v>12</v>
      </c>
      <c r="X21" s="424">
        <f t="shared" si="13"/>
        <v>98711.114666666705</v>
      </c>
      <c r="Y21" s="424"/>
      <c r="Z21" s="424">
        <f t="shared" si="14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" x14ac:dyDescent="0.1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0"/>
        <v>5562150</v>
      </c>
      <c r="F22" s="424"/>
      <c r="G22" s="424">
        <v>339372</v>
      </c>
      <c r="H22" s="424"/>
      <c r="I22" s="424">
        <f t="shared" si="1"/>
        <v>5222778</v>
      </c>
      <c r="J22" s="424">
        <v>200000</v>
      </c>
      <c r="K22" s="424">
        <v>0.2</v>
      </c>
      <c r="L22" s="424">
        <f t="shared" si="2"/>
        <v>1044555.6</v>
      </c>
      <c r="M22" s="424">
        <f t="shared" si="3"/>
        <v>1244555.6000000001</v>
      </c>
      <c r="N22" s="424">
        <f t="shared" si="4"/>
        <v>1583927.6</v>
      </c>
      <c r="O22" s="424">
        <f t="shared" si="5"/>
        <v>3978222.4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336000</v>
      </c>
      <c r="U22" s="424">
        <f t="shared" si="11"/>
        <v>186773.37599999999</v>
      </c>
      <c r="V22" s="424">
        <f t="shared" si="12"/>
        <v>746773.37600000005</v>
      </c>
      <c r="W22" s="431">
        <v>12</v>
      </c>
      <c r="X22" s="424">
        <f t="shared" si="13"/>
        <v>62231.114666666697</v>
      </c>
      <c r="Y22" s="424"/>
      <c r="Z22" s="424">
        <f t="shared" si="14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" x14ac:dyDescent="0.1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0"/>
        <v>6636356</v>
      </c>
      <c r="F23" s="424"/>
      <c r="G23" s="424">
        <v>281308.48</v>
      </c>
      <c r="H23" s="424"/>
      <c r="I23" s="424">
        <f t="shared" si="1"/>
        <v>6355047.5199999996</v>
      </c>
      <c r="J23" s="424">
        <v>200000</v>
      </c>
      <c r="K23" s="424">
        <v>0.2</v>
      </c>
      <c r="L23" s="424">
        <f t="shared" si="2"/>
        <v>1271009.504</v>
      </c>
      <c r="M23" s="424">
        <f t="shared" si="3"/>
        <v>1471009.504</v>
      </c>
      <c r="N23" s="424">
        <f t="shared" si="4"/>
        <v>1752317.9839999999</v>
      </c>
      <c r="O23" s="424">
        <f t="shared" si="5"/>
        <v>4884038.0159999998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336000</v>
      </c>
      <c r="U23" s="424">
        <f t="shared" si="11"/>
        <v>404169.123840001</v>
      </c>
      <c r="V23" s="424">
        <f t="shared" si="12"/>
        <v>964169.12384000095</v>
      </c>
      <c r="W23" s="431">
        <v>12</v>
      </c>
      <c r="X23" s="424">
        <f t="shared" si="13"/>
        <v>80347.426986666702</v>
      </c>
      <c r="Y23" s="424"/>
      <c r="Z23" s="424">
        <f t="shared" si="14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" x14ac:dyDescent="0.2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0"/>
        <v>3965780</v>
      </c>
      <c r="F24" s="424"/>
      <c r="G24" s="424">
        <v>259662.4</v>
      </c>
      <c r="H24" s="424"/>
      <c r="I24" s="424">
        <f t="shared" si="1"/>
        <v>3706117.6</v>
      </c>
      <c r="J24" s="424">
        <v>200000</v>
      </c>
      <c r="K24" s="424">
        <v>0.2</v>
      </c>
      <c r="L24" s="424">
        <f t="shared" si="2"/>
        <v>741223.52000000095</v>
      </c>
      <c r="M24" s="424">
        <f t="shared" si="3"/>
        <v>941223.52000000095</v>
      </c>
      <c r="N24" s="424">
        <f t="shared" si="4"/>
        <v>1200885.92</v>
      </c>
      <c r="O24" s="424">
        <f t="shared" si="5"/>
        <v>2764894.08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244627.75680000099</v>
      </c>
      <c r="U24" s="424"/>
      <c r="V24" s="424">
        <f t="shared" si="12"/>
        <v>468627.75680000102</v>
      </c>
      <c r="W24" s="431">
        <v>12</v>
      </c>
      <c r="X24" s="424">
        <f t="shared" si="13"/>
        <v>39052.313066666698</v>
      </c>
      <c r="Y24" s="424"/>
      <c r="Z24" s="424">
        <f t="shared" si="14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" x14ac:dyDescent="0.1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0"/>
        <v>3965780</v>
      </c>
      <c r="F25" s="424"/>
      <c r="G25" s="424">
        <v>259662.4</v>
      </c>
      <c r="H25" s="424"/>
      <c r="I25" s="424">
        <f t="shared" si="1"/>
        <v>3706117.6</v>
      </c>
      <c r="J25" s="424">
        <v>200000</v>
      </c>
      <c r="K25" s="424">
        <v>0.2</v>
      </c>
      <c r="L25" s="424">
        <f t="shared" si="2"/>
        <v>741223.52000000095</v>
      </c>
      <c r="M25" s="424">
        <f t="shared" si="3"/>
        <v>941223.52000000095</v>
      </c>
      <c r="N25" s="424">
        <f t="shared" si="4"/>
        <v>1200885.92</v>
      </c>
      <c r="O25" s="424">
        <f t="shared" si="5"/>
        <v>2764894.08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95000</v>
      </c>
      <c r="T25" s="424">
        <f t="shared" si="10"/>
        <v>244627.75680000099</v>
      </c>
      <c r="U25" s="424"/>
      <c r="V25" s="424">
        <f t="shared" si="12"/>
        <v>468627.75680000102</v>
      </c>
      <c r="W25" s="431">
        <v>12</v>
      </c>
      <c r="X25" s="424">
        <f t="shared" si="13"/>
        <v>39052.313066666698</v>
      </c>
      <c r="Y25" s="424"/>
      <c r="Z25" s="424">
        <f t="shared" si="14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" x14ac:dyDescent="0.1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0"/>
        <v>4445780</v>
      </c>
      <c r="F26" s="424"/>
      <c r="G26" s="424">
        <v>259662.4</v>
      </c>
      <c r="H26" s="424"/>
      <c r="I26" s="424">
        <f t="shared" si="1"/>
        <v>4186117.6</v>
      </c>
      <c r="J26" s="424">
        <v>200000</v>
      </c>
      <c r="K26" s="424">
        <v>0.2</v>
      </c>
      <c r="L26" s="424">
        <f t="shared" si="2"/>
        <v>837223.52000000095</v>
      </c>
      <c r="M26" s="424">
        <f t="shared" si="3"/>
        <v>1037223.52</v>
      </c>
      <c r="N26" s="424">
        <f t="shared" si="4"/>
        <v>1296885.92</v>
      </c>
      <c r="O26" s="424">
        <f t="shared" si="5"/>
        <v>3148894.08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95000</v>
      </c>
      <c r="T26" s="424">
        <f t="shared" si="10"/>
        <v>325267.75680000102</v>
      </c>
      <c r="U26" s="424"/>
      <c r="V26" s="424">
        <f t="shared" si="12"/>
        <v>549267.75680000102</v>
      </c>
      <c r="W26" s="431">
        <v>12</v>
      </c>
      <c r="X26" s="424">
        <f t="shared" si="13"/>
        <v>45772.313066666698</v>
      </c>
      <c r="Y26" s="424"/>
      <c r="Z26" s="424">
        <f t="shared" si="14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18" x14ac:dyDescent="0.1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0"/>
        <v>3877984</v>
      </c>
      <c r="F27" s="424"/>
      <c r="G27" s="424">
        <v>252638.72</v>
      </c>
      <c r="H27" s="424"/>
      <c r="I27" s="424">
        <f t="shared" si="1"/>
        <v>3625345.28</v>
      </c>
      <c r="J27" s="424">
        <v>200000</v>
      </c>
      <c r="K27" s="424">
        <v>0.2</v>
      </c>
      <c r="L27" s="424">
        <f t="shared" si="2"/>
        <v>725069.05599999905</v>
      </c>
      <c r="M27" s="424">
        <f t="shared" si="3"/>
        <v>925069.05599999905</v>
      </c>
      <c r="N27" s="424">
        <f t="shared" si="4"/>
        <v>1177707.7760000001</v>
      </c>
      <c r="O27" s="424">
        <f t="shared" si="5"/>
        <v>2700276.2239999999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95000</v>
      </c>
      <c r="T27" s="424">
        <f t="shared" si="10"/>
        <v>231058.00703999901</v>
      </c>
      <c r="U27" s="424"/>
      <c r="V27" s="424">
        <f t="shared" si="12"/>
        <v>455058.00703999901</v>
      </c>
      <c r="W27" s="431">
        <v>12</v>
      </c>
      <c r="X27" s="424">
        <f t="shared" si="13"/>
        <v>37921.500586666603</v>
      </c>
      <c r="Y27" s="424"/>
      <c r="Z27" s="424">
        <f t="shared" si="14"/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" x14ac:dyDescent="0.1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0"/>
        <v>3790188</v>
      </c>
      <c r="F28" s="424"/>
      <c r="G28" s="424">
        <v>245615.04</v>
      </c>
      <c r="H28" s="424"/>
      <c r="I28" s="424">
        <f t="shared" si="1"/>
        <v>3544572.96</v>
      </c>
      <c r="J28" s="424">
        <v>200000</v>
      </c>
      <c r="K28" s="424">
        <v>0.2</v>
      </c>
      <c r="L28" s="424">
        <f t="shared" si="2"/>
        <v>708914.59199999995</v>
      </c>
      <c r="M28" s="424">
        <f t="shared" si="3"/>
        <v>908914.59199999995</v>
      </c>
      <c r="N28" s="424">
        <f t="shared" si="4"/>
        <v>1154529.632</v>
      </c>
      <c r="O28" s="424">
        <f t="shared" si="5"/>
        <v>2635658.3679999998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95000</v>
      </c>
      <c r="T28" s="424">
        <f t="shared" si="10"/>
        <v>217488.25727999999</v>
      </c>
      <c r="U28" s="424"/>
      <c r="V28" s="424">
        <f t="shared" si="12"/>
        <v>441488.25728000002</v>
      </c>
      <c r="W28" s="431">
        <v>12</v>
      </c>
      <c r="X28" s="424">
        <f t="shared" si="13"/>
        <v>36790.688106666697</v>
      </c>
      <c r="Y28" s="424"/>
      <c r="Z28" s="424">
        <f t="shared" si="14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1.5" x14ac:dyDescent="0.2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0"/>
        <v>3790188</v>
      </c>
      <c r="F29" s="424"/>
      <c r="G29" s="424">
        <v>245615.04</v>
      </c>
      <c r="H29" s="424"/>
      <c r="I29" s="424">
        <f t="shared" si="1"/>
        <v>3544572.96</v>
      </c>
      <c r="J29" s="424">
        <v>200000</v>
      </c>
      <c r="K29" s="424">
        <v>0.2</v>
      </c>
      <c r="L29" s="424">
        <f t="shared" si="2"/>
        <v>708914.59199999995</v>
      </c>
      <c r="M29" s="424">
        <f t="shared" si="3"/>
        <v>908914.59199999995</v>
      </c>
      <c r="N29" s="424">
        <f t="shared" si="4"/>
        <v>1154529.632</v>
      </c>
      <c r="O29" s="424">
        <f t="shared" si="5"/>
        <v>2635658.3679999998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95000</v>
      </c>
      <c r="T29" s="424">
        <f t="shared" si="10"/>
        <v>217488.25727999999</v>
      </c>
      <c r="U29" s="424"/>
      <c r="V29" s="424">
        <f t="shared" si="12"/>
        <v>441488.25728000002</v>
      </c>
      <c r="W29" s="431">
        <v>12</v>
      </c>
      <c r="X29" s="424">
        <f t="shared" si="13"/>
        <v>36790.688106666697</v>
      </c>
      <c r="Y29" s="424"/>
      <c r="Z29" s="424">
        <f t="shared" si="14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" x14ac:dyDescent="0.1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0"/>
        <v>3965780</v>
      </c>
      <c r="F30" s="424"/>
      <c r="G30" s="424">
        <v>259662.4</v>
      </c>
      <c r="H30" s="424"/>
      <c r="I30" s="424">
        <f t="shared" si="1"/>
        <v>3706117.6</v>
      </c>
      <c r="J30" s="424">
        <v>200000</v>
      </c>
      <c r="K30" s="424">
        <v>0.2</v>
      </c>
      <c r="L30" s="424">
        <f t="shared" si="2"/>
        <v>741223.52000000095</v>
      </c>
      <c r="M30" s="424">
        <f t="shared" si="3"/>
        <v>941223.52000000095</v>
      </c>
      <c r="N30" s="424">
        <f t="shared" si="4"/>
        <v>1200885.92</v>
      </c>
      <c r="O30" s="424">
        <f t="shared" si="5"/>
        <v>2764894.08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95000</v>
      </c>
      <c r="T30" s="424">
        <f t="shared" si="10"/>
        <v>244627.75680000099</v>
      </c>
      <c r="U30" s="424"/>
      <c r="V30" s="424">
        <f t="shared" si="12"/>
        <v>468627.75680000102</v>
      </c>
      <c r="W30" s="431">
        <v>12</v>
      </c>
      <c r="X30" s="424">
        <f t="shared" si="13"/>
        <v>39052.313066666698</v>
      </c>
      <c r="Y30" s="424"/>
      <c r="Z30" s="424">
        <f t="shared" si="14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" x14ac:dyDescent="0.1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0"/>
        <v>3367583</v>
      </c>
      <c r="F31" s="424"/>
      <c r="G31" s="425">
        <v>221406.64</v>
      </c>
      <c r="H31" s="424"/>
      <c r="I31" s="424">
        <f t="shared" si="1"/>
        <v>3146176.36</v>
      </c>
      <c r="J31" s="424">
        <v>200000</v>
      </c>
      <c r="K31" s="424">
        <v>0.2</v>
      </c>
      <c r="L31" s="424">
        <f t="shared" si="2"/>
        <v>629235.27200000104</v>
      </c>
      <c r="M31" s="424">
        <f t="shared" si="3"/>
        <v>829235.27200000104</v>
      </c>
      <c r="N31" s="424">
        <f t="shared" si="4"/>
        <v>1050641.912</v>
      </c>
      <c r="O31" s="424">
        <f t="shared" si="5"/>
        <v>2316941.088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95000</v>
      </c>
      <c r="T31" s="424">
        <f t="shared" si="10"/>
        <v>150557.628480001</v>
      </c>
      <c r="U31" s="424"/>
      <c r="V31" s="424">
        <f t="shared" si="12"/>
        <v>374557.628480001</v>
      </c>
      <c r="W31" s="431">
        <v>12</v>
      </c>
      <c r="X31" s="424">
        <f t="shared" si="13"/>
        <v>31213.135706666701</v>
      </c>
      <c r="Y31" s="424"/>
      <c r="Z31" s="424">
        <f t="shared" si="14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" x14ac:dyDescent="0.1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0"/>
        <v>3293517</v>
      </c>
      <c r="F32" s="424"/>
      <c r="G32" s="425">
        <f>17956.78*12</f>
        <v>215481.36</v>
      </c>
      <c r="H32" s="424"/>
      <c r="I32" s="424">
        <f t="shared" si="1"/>
        <v>3078035.64</v>
      </c>
      <c r="J32" s="424">
        <v>200000</v>
      </c>
      <c r="K32" s="424">
        <v>0.2</v>
      </c>
      <c r="L32" s="424">
        <f t="shared" si="2"/>
        <v>615607.12800000003</v>
      </c>
      <c r="M32" s="424">
        <f t="shared" si="3"/>
        <v>815607.12800000003</v>
      </c>
      <c r="N32" s="424">
        <f t="shared" si="4"/>
        <v>1031088.488</v>
      </c>
      <c r="O32" s="424">
        <f t="shared" si="5"/>
        <v>2262428.5120000001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95000</v>
      </c>
      <c r="T32" s="424">
        <f t="shared" si="10"/>
        <v>139109.98752</v>
      </c>
      <c r="U32" s="424"/>
      <c r="V32" s="424">
        <f t="shared" si="12"/>
        <v>363109.98752000002</v>
      </c>
      <c r="W32" s="431">
        <v>12</v>
      </c>
      <c r="X32" s="424">
        <f t="shared" si="13"/>
        <v>30259.165626666701</v>
      </c>
      <c r="Y32" s="424"/>
      <c r="Z32" s="424">
        <f t="shared" si="14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" x14ac:dyDescent="0.2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" x14ac:dyDescent="0.1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" x14ac:dyDescent="0.15">
      <c r="A35" s="421"/>
      <c r="B35" s="16" t="s">
        <v>113</v>
      </c>
      <c r="C35" s="428">
        <v>1535720</v>
      </c>
      <c r="D35" s="424">
        <v>12</v>
      </c>
      <c r="E35" s="424">
        <f t="shared" ref="E35:E37" si="16">C35*D35</f>
        <v>18428640</v>
      </c>
      <c r="F35" s="424"/>
      <c r="G35" s="425">
        <v>1378291.2</v>
      </c>
      <c r="H35" s="424"/>
      <c r="I35" s="424">
        <f t="shared" ref="I35:I37" si="17">E35-F35-G35-H35</f>
        <v>17050348.800000001</v>
      </c>
      <c r="J35" s="424">
        <v>200000</v>
      </c>
      <c r="K35" s="424">
        <v>0.2</v>
      </c>
      <c r="L35" s="424">
        <f t="shared" ref="L35:L37" si="18">I35*K35</f>
        <v>3410069.76</v>
      </c>
      <c r="M35" s="424">
        <f t="shared" ref="M35:M37" si="19">J35+L35</f>
        <v>3610069.76</v>
      </c>
      <c r="N35" s="424">
        <f t="shared" ref="N35:N37" si="20">F35+G35+H35+M35</f>
        <v>4988360.96</v>
      </c>
      <c r="O35" s="424">
        <f t="shared" ref="O35:O37" si="21">E35-N35</f>
        <v>13440279.039999999</v>
      </c>
      <c r="P35" s="424">
        <f t="shared" ref="P35:P37" si="22">IF(O35&lt;300000,0.07*O35,21000)</f>
        <v>21000</v>
      </c>
      <c r="Q35" s="424">
        <f t="shared" ref="Q35:Q37" si="23">IF((O35-300000)&lt;0,0,IF((O35-300000)&lt;300000,0.11*(O35-300000),33000))</f>
        <v>33000</v>
      </c>
      <c r="R35" s="424">
        <f t="shared" ref="R35:R37" si="24">IF((O35-600000)&lt;0,0,IF((O35-600000)&lt;500000,0.15*(O35-600000),75000))</f>
        <v>75000</v>
      </c>
      <c r="S35" s="424">
        <f t="shared" ref="S35:S37" si="25">IF((O35-1100000)&lt;0,0,IF((O35-1100000)&lt;500000,0.19*(O35-1100000),95000))</f>
        <v>95000</v>
      </c>
      <c r="T35" s="424">
        <f t="shared" ref="T35:T37" si="26">IF((O35-1600000)&lt;0,0,IF((O35-1600000)&lt;1600000,0.21*(O35-1600000),336000))</f>
        <v>336000</v>
      </c>
      <c r="U35" s="424">
        <f>24%*(O35-3200000)</f>
        <v>2457666.9696</v>
      </c>
      <c r="V35" s="424">
        <f t="shared" ref="V35:V37" si="27">P35+Q35+R35+S35+T35+U35</f>
        <v>3017666.9696</v>
      </c>
      <c r="W35" s="424">
        <v>12</v>
      </c>
      <c r="X35" s="424">
        <f t="shared" ref="X35:X37" si="28">V35/W35</f>
        <v>251472.247466667</v>
      </c>
      <c r="Y35" s="424"/>
      <c r="Z35" s="424">
        <f t="shared" ref="Z35:Z37" si="29">X35</f>
        <v>251472.247466667</v>
      </c>
      <c r="AA35" s="424">
        <v>161106.806858667</v>
      </c>
      <c r="AB35" s="424">
        <f t="shared" ref="AB35:AB37" si="30">Z35-AA35</f>
        <v>90365.440607999597</v>
      </c>
      <c r="AC35" s="436"/>
      <c r="AD35" s="436"/>
      <c r="AE35" s="436"/>
    </row>
    <row r="36" spans="1:31" ht="18" x14ac:dyDescent="0.15">
      <c r="A36" s="421"/>
      <c r="B36" s="16" t="s">
        <v>116</v>
      </c>
      <c r="C36" s="424">
        <v>353029.66666666698</v>
      </c>
      <c r="D36" s="423">
        <v>12</v>
      </c>
      <c r="E36" s="424">
        <f t="shared" si="16"/>
        <v>4236356</v>
      </c>
      <c r="F36" s="424"/>
      <c r="G36" s="425">
        <v>281308.48</v>
      </c>
      <c r="H36" s="424"/>
      <c r="I36" s="424">
        <f t="shared" si="17"/>
        <v>3955047.52</v>
      </c>
      <c r="J36" s="424">
        <v>200000</v>
      </c>
      <c r="K36" s="424">
        <v>0.2</v>
      </c>
      <c r="L36" s="424">
        <f t="shared" si="18"/>
        <v>791009.504000001</v>
      </c>
      <c r="M36" s="424">
        <f t="shared" si="19"/>
        <v>991009.504000001</v>
      </c>
      <c r="N36" s="424">
        <f t="shared" si="20"/>
        <v>1272317.9839999999</v>
      </c>
      <c r="O36" s="424">
        <f t="shared" si="21"/>
        <v>2964038.0159999998</v>
      </c>
      <c r="P36" s="424">
        <f t="shared" si="22"/>
        <v>21000</v>
      </c>
      <c r="Q36" s="424">
        <f t="shared" si="23"/>
        <v>33000</v>
      </c>
      <c r="R36" s="424">
        <f t="shared" si="24"/>
        <v>75000</v>
      </c>
      <c r="S36" s="424">
        <f t="shared" si="25"/>
        <v>95000</v>
      </c>
      <c r="T36" s="424">
        <f t="shared" si="26"/>
        <v>286447.983360001</v>
      </c>
      <c r="U36" s="424"/>
      <c r="V36" s="424">
        <f t="shared" si="27"/>
        <v>510447.983360001</v>
      </c>
      <c r="W36" s="424">
        <v>12</v>
      </c>
      <c r="X36" s="424">
        <f t="shared" si="28"/>
        <v>42537.331946666702</v>
      </c>
      <c r="Y36" s="424"/>
      <c r="Z36" s="424">
        <f t="shared" si="29"/>
        <v>42537.331946666702</v>
      </c>
      <c r="AA36" s="436">
        <v>17042.713866666702</v>
      </c>
      <c r="AB36" s="424">
        <f t="shared" si="30"/>
        <v>25494.61808</v>
      </c>
      <c r="AC36" s="436"/>
      <c r="AD36" s="436"/>
      <c r="AE36" s="436"/>
    </row>
    <row r="37" spans="1:31" ht="18" x14ac:dyDescent="0.1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 t="shared" si="16"/>
        <v>4331587</v>
      </c>
      <c r="F37" s="424"/>
      <c r="G37" s="425">
        <v>288926.96000000002</v>
      </c>
      <c r="H37" s="424"/>
      <c r="I37" s="424">
        <f t="shared" si="17"/>
        <v>4042660.04</v>
      </c>
      <c r="J37" s="424">
        <v>200000</v>
      </c>
      <c r="K37" s="424">
        <v>0.2</v>
      </c>
      <c r="L37" s="424">
        <f t="shared" si="18"/>
        <v>808532.00799999898</v>
      </c>
      <c r="M37" s="424">
        <f t="shared" si="19"/>
        <v>1008532.008</v>
      </c>
      <c r="N37" s="424">
        <f t="shared" si="20"/>
        <v>1297458.9680000001</v>
      </c>
      <c r="O37" s="424">
        <f t="shared" si="21"/>
        <v>3034128.0320000001</v>
      </c>
      <c r="P37" s="424">
        <f t="shared" si="22"/>
        <v>21000</v>
      </c>
      <c r="Q37" s="424">
        <f t="shared" si="23"/>
        <v>33000</v>
      </c>
      <c r="R37" s="424">
        <f t="shared" si="24"/>
        <v>75000</v>
      </c>
      <c r="S37" s="424">
        <f t="shared" si="25"/>
        <v>95000</v>
      </c>
      <c r="T37" s="424">
        <f t="shared" si="26"/>
        <v>301166.88671999902</v>
      </c>
      <c r="U37" s="424"/>
      <c r="V37" s="424">
        <f t="shared" si="27"/>
        <v>525166.88671999902</v>
      </c>
      <c r="W37" s="424">
        <v>12</v>
      </c>
      <c r="X37" s="424">
        <f t="shared" si="28"/>
        <v>43763.907226666597</v>
      </c>
      <c r="Y37" s="424"/>
      <c r="Z37" s="424">
        <f t="shared" si="29"/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" x14ac:dyDescent="0.2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" x14ac:dyDescent="0.1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1.5" x14ac:dyDescent="0.2">
      <c r="A40" s="421">
        <v>35</v>
      </c>
      <c r="B40" s="9" t="s">
        <v>536</v>
      </c>
      <c r="C40" s="422">
        <v>1635720</v>
      </c>
      <c r="D40" s="423">
        <v>12</v>
      </c>
      <c r="E40" s="424">
        <f t="shared" ref="E40:E50" si="31">C40*D40</f>
        <v>19628640</v>
      </c>
      <c r="F40" s="424"/>
      <c r="G40" s="425">
        <v>1378291.2</v>
      </c>
      <c r="H40" s="424"/>
      <c r="I40" s="424">
        <f t="shared" ref="I40:I50" si="32">E40-F40-G40-H40</f>
        <v>18250348.800000001</v>
      </c>
      <c r="J40" s="424">
        <v>200000</v>
      </c>
      <c r="K40" s="424">
        <v>0.2</v>
      </c>
      <c r="L40" s="424">
        <f t="shared" ref="L40:L50" si="33">I40*K40</f>
        <v>3650069.76</v>
      </c>
      <c r="M40" s="424">
        <f t="shared" ref="M40:M50" si="34">J40+L40</f>
        <v>3850069.76</v>
      </c>
      <c r="N40" s="424">
        <f t="shared" ref="N40:N50" si="35">F40+G40+H40+M40</f>
        <v>5228360.96</v>
      </c>
      <c r="O40" s="424">
        <f t="shared" ref="O40:O50" si="36">E40-N40</f>
        <v>14400279.039999999</v>
      </c>
      <c r="P40" s="424">
        <f t="shared" ref="P40:P50" si="37">IF(O40&lt;300000,0.07*O40,21000)</f>
        <v>21000</v>
      </c>
      <c r="Q40" s="424">
        <f t="shared" ref="Q40:Q50" si="38">IF((O40-300000)&lt;0,0,IF((O40-300000)&lt;300000,0.11*(O40-300000),33000))</f>
        <v>33000</v>
      </c>
      <c r="R40" s="424">
        <f t="shared" ref="R40:R50" si="39">IF((O40-600000)&lt;0,0,IF((O40-600000)&lt;500000,0.15*(O40-600000),75000))</f>
        <v>75000</v>
      </c>
      <c r="S40" s="424">
        <f t="shared" ref="S40:S50" si="40">IF((O40-1100000)&lt;0,0,IF((O40-1100000)&lt;500000,0.19*(O40-1100000),95000))</f>
        <v>95000</v>
      </c>
      <c r="T40" s="424">
        <f t="shared" ref="T40:T50" si="41">IF((O40-1600000)&lt;0,0,IF((O40-1600000)&lt;1600000,0.21*(O40-1600000),336000))</f>
        <v>336000</v>
      </c>
      <c r="U40" s="424">
        <f>0.24*(O40-3200000)</f>
        <v>2688066.9696</v>
      </c>
      <c r="V40" s="424">
        <f t="shared" ref="V40:V50" si="42">P40+Q40+R40+S40+T40+U40</f>
        <v>3248066.9696</v>
      </c>
      <c r="W40" s="431">
        <v>12</v>
      </c>
      <c r="X40" s="424">
        <f t="shared" ref="X40:X50" si="43">V40/W40</f>
        <v>270672.24746666697</v>
      </c>
      <c r="Y40" s="424"/>
      <c r="Z40" s="424">
        <f t="shared" ref="Z40:Z50" si="44">X40</f>
        <v>270672.24746666697</v>
      </c>
      <c r="AA40" s="436">
        <v>180306.806858667</v>
      </c>
      <c r="AB40" s="436">
        <f t="shared" ref="AB40:AB50" si="45">Z40-AA40</f>
        <v>90365.440607999597</v>
      </c>
      <c r="AC40" s="436"/>
      <c r="AD40" s="436"/>
      <c r="AE40" s="436"/>
    </row>
    <row r="41" spans="1:31" ht="18" x14ac:dyDescent="0.15">
      <c r="A41" s="421">
        <v>36</v>
      </c>
      <c r="B41" s="9" t="s">
        <v>538</v>
      </c>
      <c r="C41" s="424">
        <v>780675.58333333302</v>
      </c>
      <c r="D41" s="423">
        <v>12</v>
      </c>
      <c r="E41" s="424">
        <f t="shared" si="31"/>
        <v>9368107</v>
      </c>
      <c r="F41" s="427"/>
      <c r="G41" s="425">
        <v>595848.56000000006</v>
      </c>
      <c r="H41" s="427"/>
      <c r="I41" s="424">
        <f t="shared" si="32"/>
        <v>8772258.4399999995</v>
      </c>
      <c r="J41" s="424">
        <v>200000</v>
      </c>
      <c r="K41" s="424">
        <v>0.2</v>
      </c>
      <c r="L41" s="424">
        <f t="shared" si="33"/>
        <v>1754451.6880000001</v>
      </c>
      <c r="M41" s="424">
        <f t="shared" si="34"/>
        <v>1954451.6880000001</v>
      </c>
      <c r="N41" s="424">
        <f t="shared" si="35"/>
        <v>2550300.2480000001</v>
      </c>
      <c r="O41" s="424">
        <f t="shared" si="36"/>
        <v>6817806.7520000003</v>
      </c>
      <c r="P41" s="424">
        <f t="shared" si="37"/>
        <v>21000</v>
      </c>
      <c r="Q41" s="424">
        <f t="shared" si="38"/>
        <v>33000</v>
      </c>
      <c r="R41" s="424">
        <f t="shared" si="39"/>
        <v>75000</v>
      </c>
      <c r="S41" s="424">
        <f t="shared" si="40"/>
        <v>95000</v>
      </c>
      <c r="T41" s="424">
        <f t="shared" si="41"/>
        <v>336000</v>
      </c>
      <c r="U41" s="424">
        <f t="shared" ref="U41:U47" si="46">24%*(O41-3200000)</f>
        <v>868273.62047999899</v>
      </c>
      <c r="V41" s="424">
        <f t="shared" si="42"/>
        <v>1428273.62048</v>
      </c>
      <c r="W41" s="431">
        <v>12</v>
      </c>
      <c r="X41" s="424">
        <f t="shared" si="43"/>
        <v>119022.801706667</v>
      </c>
      <c r="Y41" s="427"/>
      <c r="Z41" s="424">
        <f t="shared" si="44"/>
        <v>119022.801706667</v>
      </c>
      <c r="AA41" s="436">
        <v>79956.9391466667</v>
      </c>
      <c r="AB41" s="436">
        <f t="shared" si="45"/>
        <v>39065.8625599999</v>
      </c>
      <c r="AC41" s="436"/>
      <c r="AD41" s="436"/>
      <c r="AE41" s="436"/>
    </row>
    <row r="42" spans="1:31" ht="18" x14ac:dyDescent="0.1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1"/>
        <v>12230443</v>
      </c>
      <c r="F42" s="427"/>
      <c r="G42" s="425">
        <v>709635.44</v>
      </c>
      <c r="H42" s="427"/>
      <c r="I42" s="424">
        <f t="shared" si="32"/>
        <v>11520807.560000001</v>
      </c>
      <c r="J42" s="424">
        <v>200000</v>
      </c>
      <c r="K42" s="424">
        <v>0.2</v>
      </c>
      <c r="L42" s="424">
        <f t="shared" si="33"/>
        <v>2304161.5120000001</v>
      </c>
      <c r="M42" s="424">
        <f t="shared" si="34"/>
        <v>2504161.5120000001</v>
      </c>
      <c r="N42" s="424">
        <f t="shared" si="35"/>
        <v>3213796.952</v>
      </c>
      <c r="O42" s="424">
        <f t="shared" si="36"/>
        <v>9016646.0480000004</v>
      </c>
      <c r="P42" s="424">
        <f t="shared" si="37"/>
        <v>21000</v>
      </c>
      <c r="Q42" s="424">
        <f t="shared" si="38"/>
        <v>33000</v>
      </c>
      <c r="R42" s="424">
        <f t="shared" si="39"/>
        <v>75000</v>
      </c>
      <c r="S42" s="424">
        <f t="shared" si="40"/>
        <v>95000</v>
      </c>
      <c r="T42" s="424">
        <f t="shared" si="41"/>
        <v>336000</v>
      </c>
      <c r="U42" s="424">
        <f t="shared" si="46"/>
        <v>1395995.05152</v>
      </c>
      <c r="V42" s="424">
        <f t="shared" si="42"/>
        <v>1955995.05152</v>
      </c>
      <c r="W42" s="431">
        <v>12</v>
      </c>
      <c r="X42" s="424">
        <f t="shared" si="43"/>
        <v>162999.58762666699</v>
      </c>
      <c r="Y42" s="427"/>
      <c r="Z42" s="424">
        <f t="shared" si="44"/>
        <v>162999.58762666699</v>
      </c>
      <c r="AA42" s="436">
        <v>97273.513850666699</v>
      </c>
      <c r="AB42" s="436">
        <f t="shared" si="45"/>
        <v>65726.073775999903</v>
      </c>
      <c r="AC42" s="436"/>
      <c r="AD42" s="436"/>
      <c r="AE42" s="436"/>
    </row>
    <row r="43" spans="1:31" ht="18" x14ac:dyDescent="0.1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1"/>
        <v>9368107</v>
      </c>
      <c r="F43" s="427"/>
      <c r="G43" s="425">
        <v>595848.56000000006</v>
      </c>
      <c r="H43" s="427"/>
      <c r="I43" s="424">
        <f t="shared" si="32"/>
        <v>8772258.4399999995</v>
      </c>
      <c r="J43" s="424">
        <v>200000</v>
      </c>
      <c r="K43" s="424">
        <v>0.2</v>
      </c>
      <c r="L43" s="424">
        <f t="shared" si="33"/>
        <v>1754451.6880000001</v>
      </c>
      <c r="M43" s="424">
        <f t="shared" si="34"/>
        <v>1954451.6880000001</v>
      </c>
      <c r="N43" s="424">
        <f t="shared" si="35"/>
        <v>2550300.2480000001</v>
      </c>
      <c r="O43" s="424">
        <f t="shared" si="36"/>
        <v>6817806.7520000003</v>
      </c>
      <c r="P43" s="424">
        <f t="shared" si="37"/>
        <v>21000</v>
      </c>
      <c r="Q43" s="424">
        <f t="shared" si="38"/>
        <v>33000</v>
      </c>
      <c r="R43" s="424">
        <f t="shared" si="39"/>
        <v>75000</v>
      </c>
      <c r="S43" s="424">
        <f t="shared" si="40"/>
        <v>95000</v>
      </c>
      <c r="T43" s="424">
        <f t="shared" si="41"/>
        <v>336000</v>
      </c>
      <c r="U43" s="424">
        <f t="shared" si="46"/>
        <v>868273.62047999899</v>
      </c>
      <c r="V43" s="424">
        <f t="shared" si="42"/>
        <v>1428273.62048</v>
      </c>
      <c r="W43" s="431">
        <v>12</v>
      </c>
      <c r="X43" s="424">
        <f t="shared" si="43"/>
        <v>119022.801706667</v>
      </c>
      <c r="Y43" s="427"/>
      <c r="Z43" s="424">
        <f t="shared" si="44"/>
        <v>119022.801706667</v>
      </c>
      <c r="AA43" s="436">
        <v>79956.9391466667</v>
      </c>
      <c r="AB43" s="436">
        <f t="shared" si="45"/>
        <v>39065.8625599999</v>
      </c>
      <c r="AC43" s="436"/>
      <c r="AD43" s="436"/>
      <c r="AE43" s="436"/>
    </row>
    <row r="44" spans="1:31" ht="18" x14ac:dyDescent="0.1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1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2"/>
        <v>8762206.1899999995</v>
      </c>
      <c r="J44" s="424">
        <v>200000</v>
      </c>
      <c r="K44" s="424">
        <v>0.2</v>
      </c>
      <c r="L44" s="424">
        <f t="shared" si="33"/>
        <v>1752441.2379999999</v>
      </c>
      <c r="M44" s="424">
        <f t="shared" si="34"/>
        <v>1952441.2379999999</v>
      </c>
      <c r="N44" s="424">
        <f t="shared" si="35"/>
        <v>2558342.048</v>
      </c>
      <c r="O44" s="424">
        <f t="shared" si="36"/>
        <v>6809764.9519999996</v>
      </c>
      <c r="P44" s="424">
        <f t="shared" si="37"/>
        <v>21000</v>
      </c>
      <c r="Q44" s="424">
        <f t="shared" si="38"/>
        <v>33000</v>
      </c>
      <c r="R44" s="424">
        <f t="shared" si="39"/>
        <v>75000</v>
      </c>
      <c r="S44" s="424">
        <f t="shared" si="40"/>
        <v>95000</v>
      </c>
      <c r="T44" s="424">
        <f t="shared" si="41"/>
        <v>336000</v>
      </c>
      <c r="U44" s="424">
        <f t="shared" si="46"/>
        <v>866343.58847999899</v>
      </c>
      <c r="V44" s="424">
        <f t="shared" si="42"/>
        <v>1426343.5884799999</v>
      </c>
      <c r="W44" s="431">
        <v>12</v>
      </c>
      <c r="X44" s="424">
        <f t="shared" si="43"/>
        <v>118861.965706667</v>
      </c>
      <c r="Y44" s="427"/>
      <c r="Z44" s="424">
        <f t="shared" si="44"/>
        <v>118861.965706667</v>
      </c>
      <c r="AA44" s="436">
        <v>79796.103146666603</v>
      </c>
      <c r="AB44" s="436">
        <f t="shared" si="45"/>
        <v>39065.862560000001</v>
      </c>
      <c r="AC44" s="436"/>
      <c r="AD44" s="436"/>
      <c r="AE44" s="436"/>
    </row>
    <row r="45" spans="1:31" ht="18" x14ac:dyDescent="0.1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1"/>
        <v>8905417</v>
      </c>
      <c r="F45" s="424"/>
      <c r="G45" s="425">
        <v>558833.36</v>
      </c>
      <c r="H45" s="427"/>
      <c r="I45" s="424">
        <f t="shared" si="32"/>
        <v>8346583.6399999997</v>
      </c>
      <c r="J45" s="424">
        <v>200000</v>
      </c>
      <c r="K45" s="424">
        <v>0.2</v>
      </c>
      <c r="L45" s="424">
        <f t="shared" si="33"/>
        <v>1669316.7279999999</v>
      </c>
      <c r="M45" s="424">
        <f t="shared" si="34"/>
        <v>1869316.7279999999</v>
      </c>
      <c r="N45" s="424">
        <f t="shared" si="35"/>
        <v>2428150.088</v>
      </c>
      <c r="O45" s="424">
        <f t="shared" si="36"/>
        <v>6477266.9119999995</v>
      </c>
      <c r="P45" s="424">
        <f t="shared" si="37"/>
        <v>21000</v>
      </c>
      <c r="Q45" s="424">
        <f t="shared" si="38"/>
        <v>33000</v>
      </c>
      <c r="R45" s="424">
        <f t="shared" si="39"/>
        <v>75000</v>
      </c>
      <c r="S45" s="424">
        <f t="shared" si="40"/>
        <v>95000</v>
      </c>
      <c r="T45" s="424">
        <f t="shared" si="41"/>
        <v>336000</v>
      </c>
      <c r="U45" s="424">
        <f t="shared" si="46"/>
        <v>786544.05887999898</v>
      </c>
      <c r="V45" s="424">
        <f t="shared" si="42"/>
        <v>1346544.0588799999</v>
      </c>
      <c r="W45" s="431">
        <v>12</v>
      </c>
      <c r="X45" s="424">
        <f t="shared" si="43"/>
        <v>112212.004906667</v>
      </c>
      <c r="Y45" s="427"/>
      <c r="Z45" s="424">
        <f t="shared" si="44"/>
        <v>112212.004906667</v>
      </c>
      <c r="AA45" s="436">
        <v>75572.915690666705</v>
      </c>
      <c r="AB45" s="436">
        <f t="shared" si="45"/>
        <v>36639.089215999898</v>
      </c>
      <c r="AC45" s="436"/>
      <c r="AD45" s="436"/>
      <c r="AE45" s="436"/>
    </row>
    <row r="46" spans="1:31" ht="18" x14ac:dyDescent="0.1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1"/>
        <v>7325976</v>
      </c>
      <c r="F46" s="424"/>
      <c r="G46" s="425">
        <v>451678.08</v>
      </c>
      <c r="H46" s="427"/>
      <c r="I46" s="424">
        <f t="shared" si="32"/>
        <v>6874297.9199999999</v>
      </c>
      <c r="J46" s="424">
        <v>200000</v>
      </c>
      <c r="K46" s="424">
        <v>0.2</v>
      </c>
      <c r="L46" s="424">
        <f t="shared" si="33"/>
        <v>1374859.584</v>
      </c>
      <c r="M46" s="424">
        <f t="shared" si="34"/>
        <v>1574859.584</v>
      </c>
      <c r="N46" s="424">
        <f t="shared" si="35"/>
        <v>2026537.6640000001</v>
      </c>
      <c r="O46" s="424">
        <f t="shared" si="36"/>
        <v>5299438.3360000001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si="46"/>
        <v>503865.20064</v>
      </c>
      <c r="V46" s="424">
        <f t="shared" si="42"/>
        <v>1063865.2006399999</v>
      </c>
      <c r="W46" s="431">
        <v>12</v>
      </c>
      <c r="X46" s="424">
        <f t="shared" si="43"/>
        <v>88655.4333866667</v>
      </c>
      <c r="Y46" s="427"/>
      <c r="Z46" s="424">
        <f t="shared" si="44"/>
        <v>88655.4333866667</v>
      </c>
      <c r="AA46" s="436">
        <v>58026.609434666701</v>
      </c>
      <c r="AB46" s="436">
        <f t="shared" si="45"/>
        <v>30628.823951999999</v>
      </c>
      <c r="AC46" s="436"/>
      <c r="AD46" s="436"/>
      <c r="AE46" s="436"/>
    </row>
    <row r="47" spans="1:31" ht="18" x14ac:dyDescent="0.1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1"/>
        <v>4811587</v>
      </c>
      <c r="F47" s="424"/>
      <c r="G47" s="425">
        <v>288926.96000000002</v>
      </c>
      <c r="H47" s="427"/>
      <c r="I47" s="424">
        <f t="shared" si="32"/>
        <v>4522660.04</v>
      </c>
      <c r="J47" s="424">
        <v>200000</v>
      </c>
      <c r="K47" s="424">
        <v>0.2</v>
      </c>
      <c r="L47" s="424">
        <f t="shared" si="33"/>
        <v>904532.00799999898</v>
      </c>
      <c r="M47" s="424">
        <f t="shared" si="34"/>
        <v>1104532.0079999999</v>
      </c>
      <c r="N47" s="424">
        <f t="shared" si="35"/>
        <v>1393458.9680000001</v>
      </c>
      <c r="O47" s="424">
        <f t="shared" si="36"/>
        <v>3418128.0320000001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52350.727679999203</v>
      </c>
      <c r="V47" s="424">
        <f t="shared" si="42"/>
        <v>612350.72767999896</v>
      </c>
      <c r="W47" s="431">
        <v>12</v>
      </c>
      <c r="X47" s="424">
        <f t="shared" si="43"/>
        <v>51029.227306666602</v>
      </c>
      <c r="Y47" s="427"/>
      <c r="Z47" s="424">
        <f t="shared" si="44"/>
        <v>51029.227306666602</v>
      </c>
      <c r="AA47" s="436">
        <v>33059.078406666697</v>
      </c>
      <c r="AB47" s="436">
        <f t="shared" si="45"/>
        <v>17970.148899999898</v>
      </c>
      <c r="AC47" s="436"/>
      <c r="AD47" s="436"/>
      <c r="AE47" s="436"/>
    </row>
    <row r="48" spans="1:31" ht="18" x14ac:dyDescent="0.1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1"/>
        <v>4357984</v>
      </c>
      <c r="F48" s="424"/>
      <c r="G48" s="425">
        <v>252638.72</v>
      </c>
      <c r="H48" s="427"/>
      <c r="I48" s="424">
        <f t="shared" si="32"/>
        <v>4105345.28</v>
      </c>
      <c r="J48" s="424">
        <v>200000</v>
      </c>
      <c r="K48" s="424">
        <v>0.2</v>
      </c>
      <c r="L48" s="424">
        <f t="shared" si="33"/>
        <v>821069.05599999905</v>
      </c>
      <c r="M48" s="424">
        <f t="shared" si="34"/>
        <v>1021069.056</v>
      </c>
      <c r="N48" s="424">
        <f t="shared" si="35"/>
        <v>1273707.7760000001</v>
      </c>
      <c r="O48" s="424">
        <f t="shared" si="36"/>
        <v>3084276.2239999999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311698.00703999901</v>
      </c>
      <c r="U48" s="424"/>
      <c r="V48" s="424">
        <f t="shared" si="42"/>
        <v>535698.00703999901</v>
      </c>
      <c r="W48" s="431">
        <v>12</v>
      </c>
      <c r="X48" s="424">
        <f t="shared" si="43"/>
        <v>44641.500586666603</v>
      </c>
      <c r="Y48" s="427"/>
      <c r="Z48" s="424">
        <f t="shared" si="44"/>
        <v>44641.500586666603</v>
      </c>
      <c r="AA48" s="436">
        <v>29058.4826046667</v>
      </c>
      <c r="AB48" s="436">
        <f t="shared" si="45"/>
        <v>15583.017981999899</v>
      </c>
      <c r="AC48" s="436"/>
      <c r="AD48" s="436"/>
      <c r="AE48" s="436"/>
    </row>
    <row r="49" spans="1:31" ht="18" x14ac:dyDescent="0.15">
      <c r="A49" s="421">
        <v>44</v>
      </c>
      <c r="B49" s="9" t="s">
        <v>539</v>
      </c>
      <c r="C49" s="424">
        <v>363165.33333333302</v>
      </c>
      <c r="D49" s="423">
        <v>12</v>
      </c>
      <c r="E49" s="424">
        <f t="shared" si="31"/>
        <v>4357984</v>
      </c>
      <c r="F49" s="424"/>
      <c r="G49" s="425">
        <v>252638.72</v>
      </c>
      <c r="H49" s="427"/>
      <c r="I49" s="424">
        <f t="shared" si="32"/>
        <v>4105345.28</v>
      </c>
      <c r="J49" s="424">
        <v>200000</v>
      </c>
      <c r="K49" s="424">
        <v>0.2</v>
      </c>
      <c r="L49" s="424">
        <f t="shared" si="33"/>
        <v>821069.05599999905</v>
      </c>
      <c r="M49" s="424">
        <f t="shared" si="34"/>
        <v>1021069.056</v>
      </c>
      <c r="N49" s="424">
        <f t="shared" si="35"/>
        <v>1273707.7760000001</v>
      </c>
      <c r="O49" s="424">
        <f t="shared" si="36"/>
        <v>3084276.2239999999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311698.00703999901</v>
      </c>
      <c r="U49" s="424"/>
      <c r="V49" s="424">
        <f t="shared" si="42"/>
        <v>535698.00703999901</v>
      </c>
      <c r="W49" s="431">
        <v>12</v>
      </c>
      <c r="X49" s="424">
        <f t="shared" si="43"/>
        <v>44641.500586666603</v>
      </c>
      <c r="Y49" s="427"/>
      <c r="Z49" s="424">
        <f t="shared" si="44"/>
        <v>44641.500586666603</v>
      </c>
      <c r="AA49" s="436">
        <v>28360.952862666702</v>
      </c>
      <c r="AB49" s="436">
        <f t="shared" si="45"/>
        <v>16280.5477239999</v>
      </c>
      <c r="AC49" s="436"/>
      <c r="AD49" s="436"/>
      <c r="AE49" s="436"/>
    </row>
    <row r="50" spans="1:31" ht="18" x14ac:dyDescent="0.1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1"/>
        <v>4357984</v>
      </c>
      <c r="F50" s="424"/>
      <c r="G50" s="425">
        <v>252638.72</v>
      </c>
      <c r="H50" s="427"/>
      <c r="I50" s="424">
        <f t="shared" si="32"/>
        <v>4105345.28</v>
      </c>
      <c r="J50" s="424">
        <v>200000</v>
      </c>
      <c r="K50" s="424">
        <v>0.2</v>
      </c>
      <c r="L50" s="424">
        <f t="shared" si="33"/>
        <v>821069.05599999905</v>
      </c>
      <c r="M50" s="424">
        <f t="shared" si="34"/>
        <v>1021069.056</v>
      </c>
      <c r="N50" s="424">
        <f t="shared" si="35"/>
        <v>1273707.7760000001</v>
      </c>
      <c r="O50" s="424">
        <f t="shared" si="36"/>
        <v>3084276.2239999999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311698.00703999901</v>
      </c>
      <c r="U50" s="424"/>
      <c r="V50" s="424">
        <f t="shared" si="42"/>
        <v>535698.00703999901</v>
      </c>
      <c r="W50" s="431">
        <v>12</v>
      </c>
      <c r="X50" s="424">
        <f t="shared" si="43"/>
        <v>44641.500586666603</v>
      </c>
      <c r="Y50" s="427"/>
      <c r="Z50" s="424">
        <f t="shared" si="44"/>
        <v>44641.500586666603</v>
      </c>
      <c r="AA50" s="436">
        <v>29058.4826046667</v>
      </c>
      <c r="AB50" s="436">
        <f t="shared" si="45"/>
        <v>15583.017981999899</v>
      </c>
      <c r="AC50" s="436"/>
      <c r="AD50" s="436"/>
      <c r="AE50" s="436"/>
    </row>
    <row r="51" spans="1:31" ht="18" x14ac:dyDescent="0.2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" x14ac:dyDescent="0.1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" x14ac:dyDescent="0.15">
      <c r="A53" s="421">
        <v>47</v>
      </c>
      <c r="B53" s="9" t="s">
        <v>146</v>
      </c>
      <c r="C53" s="424">
        <v>1635720</v>
      </c>
      <c r="D53" s="423">
        <v>12</v>
      </c>
      <c r="E53" s="424">
        <f t="shared" ref="E53:E66" si="47">C53*D53</f>
        <v>19628640</v>
      </c>
      <c r="F53" s="424"/>
      <c r="G53" s="425">
        <v>1378291.2</v>
      </c>
      <c r="H53" s="427"/>
      <c r="I53" s="424">
        <f t="shared" ref="I53:I66" si="48">E53-F53-G53-H53</f>
        <v>18250348.800000001</v>
      </c>
      <c r="J53" s="424">
        <v>200000</v>
      </c>
      <c r="K53" s="424">
        <v>0.2</v>
      </c>
      <c r="L53" s="424">
        <f t="shared" ref="L53:L66" si="49">I53*K53</f>
        <v>3650069.76</v>
      </c>
      <c r="M53" s="424">
        <f t="shared" ref="M53:M66" si="50">J53+L53</f>
        <v>3850069.76</v>
      </c>
      <c r="N53" s="424">
        <f t="shared" ref="N53:N66" si="51">F53+G53+H53+M53</f>
        <v>5228360.96</v>
      </c>
      <c r="O53" s="424">
        <f t="shared" ref="O53:O66" si="52">E53-N53</f>
        <v>14400279.039999999</v>
      </c>
      <c r="P53" s="424">
        <f t="shared" ref="P53:P66" si="53">IF(O53&lt;300000,0.07*O53,21000)</f>
        <v>21000</v>
      </c>
      <c r="Q53" s="424">
        <f t="shared" ref="Q53:Q66" si="54">IF((O53-300000)&lt;0,0,IF((O53-300000)&lt;300000,0.11*(O53-300000),33000))</f>
        <v>33000</v>
      </c>
      <c r="R53" s="424">
        <f t="shared" ref="R53:R66" si="55">IF((O53-600000)&lt;0,0,IF((O53-600000)&lt;500000,0.15*(O53-600000),75000))</f>
        <v>75000</v>
      </c>
      <c r="S53" s="424">
        <f t="shared" ref="S53:S66" si="56">IF((O53-1100000)&lt;0,0,IF((O53-1100000)&lt;500000,0.19*(O53-1100000),95000))</f>
        <v>95000</v>
      </c>
      <c r="T53" s="424">
        <f t="shared" ref="T53:T66" si="57">IF((O53-1600000)&lt;0,0,IF((O53-1600000)&lt;1600000,0.21*(O53-1600000),336000))</f>
        <v>336000</v>
      </c>
      <c r="U53" s="424">
        <f t="shared" ref="U53:U66" si="58">24%*(O53-3200000)</f>
        <v>2688066.9696</v>
      </c>
      <c r="V53" s="424">
        <f t="shared" ref="V53:V66" si="59">P53+Q53+R53+S53+T53+U53</f>
        <v>3248066.9696</v>
      </c>
      <c r="W53" s="431">
        <v>12</v>
      </c>
      <c r="X53" s="424">
        <f t="shared" ref="X53:X66" si="60">V53/W53</f>
        <v>270672.24746666697</v>
      </c>
      <c r="Y53" s="427"/>
      <c r="Z53" s="424">
        <f t="shared" ref="Z53:Z66" si="61">X53</f>
        <v>270672.24746666697</v>
      </c>
      <c r="AA53" s="436">
        <v>180306.806858667</v>
      </c>
      <c r="AB53" s="436">
        <f t="shared" ref="AB53:AB66" si="62">Z53-AA53</f>
        <v>90365.440607999597</v>
      </c>
      <c r="AC53" s="436"/>
      <c r="AD53" s="436"/>
      <c r="AE53" s="436"/>
    </row>
    <row r="54" spans="1:31" ht="18" x14ac:dyDescent="0.1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 t="shared" si="47"/>
        <v>8408107</v>
      </c>
      <c r="F54" s="424"/>
      <c r="G54" s="424">
        <v>595848.56000000006</v>
      </c>
      <c r="H54" s="427"/>
      <c r="I54" s="424">
        <f t="shared" si="48"/>
        <v>7812258.4400000004</v>
      </c>
      <c r="J54" s="424">
        <v>200000</v>
      </c>
      <c r="K54" s="424">
        <v>0.2</v>
      </c>
      <c r="L54" s="424">
        <f t="shared" si="49"/>
        <v>1562451.6880000001</v>
      </c>
      <c r="M54" s="424">
        <f t="shared" si="50"/>
        <v>1762451.6880000001</v>
      </c>
      <c r="N54" s="424">
        <f t="shared" si="51"/>
        <v>2358300.2480000001</v>
      </c>
      <c r="O54" s="424">
        <f t="shared" si="52"/>
        <v>6049806.7520000003</v>
      </c>
      <c r="P54" s="424">
        <f t="shared" si="53"/>
        <v>21000</v>
      </c>
      <c r="Q54" s="424">
        <f t="shared" si="54"/>
        <v>33000</v>
      </c>
      <c r="R54" s="424">
        <f t="shared" si="55"/>
        <v>75000</v>
      </c>
      <c r="S54" s="424">
        <f t="shared" si="56"/>
        <v>95000</v>
      </c>
      <c r="T54" s="424">
        <f t="shared" si="57"/>
        <v>336000</v>
      </c>
      <c r="U54" s="424">
        <f t="shared" si="58"/>
        <v>683953.62047999899</v>
      </c>
      <c r="V54" s="424">
        <f t="shared" si="59"/>
        <v>1243953.62048</v>
      </c>
      <c r="W54" s="431">
        <v>12</v>
      </c>
      <c r="X54" s="424">
        <f t="shared" si="60"/>
        <v>103662.801706667</v>
      </c>
      <c r="Y54" s="427"/>
      <c r="Z54" s="424">
        <f t="shared" si="61"/>
        <v>103662.801706667</v>
      </c>
      <c r="AA54" s="436">
        <v>64596.9391466667</v>
      </c>
      <c r="AB54" s="436">
        <f t="shared" si="62"/>
        <v>39065.8625599999</v>
      </c>
      <c r="AC54" s="436"/>
      <c r="AD54" s="436"/>
      <c r="AE54" s="436"/>
    </row>
    <row r="55" spans="1:31" ht="18" x14ac:dyDescent="0.2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1.5" x14ac:dyDescent="0.2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" x14ac:dyDescent="0.15">
      <c r="A57" s="421">
        <v>50</v>
      </c>
      <c r="B57" s="9" t="s">
        <v>541</v>
      </c>
      <c r="C57" s="424">
        <v>1635720</v>
      </c>
      <c r="D57" s="423">
        <v>12</v>
      </c>
      <c r="E57" s="424">
        <f t="shared" si="47"/>
        <v>19628640</v>
      </c>
      <c r="F57" s="424"/>
      <c r="G57" s="425">
        <v>0</v>
      </c>
      <c r="H57" s="427"/>
      <c r="I57" s="424">
        <f t="shared" si="48"/>
        <v>19628640</v>
      </c>
      <c r="J57" s="424">
        <v>200000</v>
      </c>
      <c r="K57" s="424">
        <v>0.2</v>
      </c>
      <c r="L57" s="424">
        <f t="shared" si="49"/>
        <v>3925728</v>
      </c>
      <c r="M57" s="424">
        <f t="shared" si="50"/>
        <v>4125728</v>
      </c>
      <c r="N57" s="424">
        <f t="shared" si="51"/>
        <v>4125728</v>
      </c>
      <c r="O57" s="424">
        <f t="shared" si="52"/>
        <v>15502912</v>
      </c>
      <c r="P57" s="424">
        <f t="shared" si="53"/>
        <v>21000</v>
      </c>
      <c r="Q57" s="424">
        <f t="shared" si="54"/>
        <v>33000</v>
      </c>
      <c r="R57" s="424">
        <f t="shared" si="55"/>
        <v>75000</v>
      </c>
      <c r="S57" s="424">
        <f t="shared" si="56"/>
        <v>95000</v>
      </c>
      <c r="T57" s="424">
        <f t="shared" si="57"/>
        <v>336000</v>
      </c>
      <c r="U57" s="424">
        <f t="shared" si="58"/>
        <v>2952698.88</v>
      </c>
      <c r="V57" s="424">
        <f t="shared" si="59"/>
        <v>3512698.8799999999</v>
      </c>
      <c r="W57" s="431">
        <v>12</v>
      </c>
      <c r="X57" s="424">
        <f t="shared" si="60"/>
        <v>292724.90666666703</v>
      </c>
      <c r="Y57" s="427"/>
      <c r="Z57" s="424">
        <f t="shared" si="61"/>
        <v>292724.90666666703</v>
      </c>
      <c r="AA57" s="436">
        <v>180306.806858667</v>
      </c>
      <c r="AB57" s="436">
        <f t="shared" si="62"/>
        <v>112418.099808</v>
      </c>
      <c r="AC57" s="436"/>
      <c r="AD57" s="436"/>
      <c r="AE57" s="436"/>
    </row>
    <row r="58" spans="1:31" ht="23.25" customHeight="1" x14ac:dyDescent="0.15">
      <c r="A58" s="421">
        <v>51</v>
      </c>
      <c r="B58" s="313" t="s">
        <v>543</v>
      </c>
      <c r="C58" s="424">
        <v>761396.83333333302</v>
      </c>
      <c r="D58" s="423">
        <v>12</v>
      </c>
      <c r="E58" s="424">
        <f t="shared" si="47"/>
        <v>9136762</v>
      </c>
      <c r="F58" s="424"/>
      <c r="G58" s="430">
        <f>48111.7466666667*12</f>
        <v>577340.96</v>
      </c>
      <c r="H58" s="427"/>
      <c r="I58" s="424">
        <f t="shared" si="48"/>
        <v>8559421.0399999991</v>
      </c>
      <c r="J58" s="424">
        <v>200000</v>
      </c>
      <c r="K58" s="424">
        <v>0.2</v>
      </c>
      <c r="L58" s="424">
        <f t="shared" si="49"/>
        <v>1711884.2080000001</v>
      </c>
      <c r="M58" s="424">
        <f t="shared" si="50"/>
        <v>1911884.2080000001</v>
      </c>
      <c r="N58" s="424">
        <f t="shared" si="51"/>
        <v>2489225.1680000001</v>
      </c>
      <c r="O58" s="424">
        <f t="shared" si="52"/>
        <v>6647536.8320000004</v>
      </c>
      <c r="P58" s="424">
        <f t="shared" si="53"/>
        <v>21000</v>
      </c>
      <c r="Q58" s="424">
        <f t="shared" si="54"/>
        <v>33000</v>
      </c>
      <c r="R58" s="424">
        <f t="shared" si="55"/>
        <v>75000</v>
      </c>
      <c r="S58" s="424">
        <f t="shared" si="56"/>
        <v>95000</v>
      </c>
      <c r="T58" s="424">
        <f t="shared" si="57"/>
        <v>336000</v>
      </c>
      <c r="U58" s="424">
        <f t="shared" si="58"/>
        <v>827408.83967999904</v>
      </c>
      <c r="V58" s="424">
        <f t="shared" si="59"/>
        <v>1387408.83968</v>
      </c>
      <c r="W58" s="431">
        <v>12</v>
      </c>
      <c r="X58" s="424">
        <f t="shared" si="60"/>
        <v>115617.40330666699</v>
      </c>
      <c r="Y58" s="427"/>
      <c r="Z58" s="424">
        <f t="shared" si="61"/>
        <v>115617.40330666699</v>
      </c>
      <c r="AA58" s="436">
        <v>77764.980266666695</v>
      </c>
      <c r="AB58" s="436">
        <f t="shared" si="62"/>
        <v>37852.4230399999</v>
      </c>
      <c r="AC58" s="436"/>
      <c r="AD58" s="436"/>
      <c r="AE58" s="436"/>
    </row>
    <row r="59" spans="1:31" ht="18" x14ac:dyDescent="0.1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47"/>
        <v>6992958</v>
      </c>
      <c r="F59" s="424"/>
      <c r="G59" s="425">
        <v>425036.64</v>
      </c>
      <c r="H59" s="427"/>
      <c r="I59" s="424">
        <f t="shared" si="48"/>
        <v>6567921.3600000003</v>
      </c>
      <c r="J59" s="424">
        <v>200000</v>
      </c>
      <c r="K59" s="424">
        <v>0.2</v>
      </c>
      <c r="L59" s="424">
        <f t="shared" si="49"/>
        <v>1313584.2720000001</v>
      </c>
      <c r="M59" s="424">
        <f t="shared" si="50"/>
        <v>1513584.2720000001</v>
      </c>
      <c r="N59" s="424">
        <f t="shared" si="51"/>
        <v>1938620.912</v>
      </c>
      <c r="O59" s="424">
        <f t="shared" si="52"/>
        <v>5054337.0880000005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445040.90111999999</v>
      </c>
      <c r="V59" s="424">
        <f t="shared" si="59"/>
        <v>1005040.9011200001</v>
      </c>
      <c r="W59" s="431">
        <v>12</v>
      </c>
      <c r="X59" s="424">
        <f t="shared" si="60"/>
        <v>83753.408426666603</v>
      </c>
      <c r="Y59" s="427"/>
      <c r="Z59" s="424">
        <f t="shared" si="61"/>
        <v>83753.408426666603</v>
      </c>
      <c r="AA59" s="436">
        <v>54931.249226666703</v>
      </c>
      <c r="AB59" s="436">
        <f t="shared" si="62"/>
        <v>28822.1591999999</v>
      </c>
      <c r="AC59" s="436"/>
      <c r="AD59" s="436"/>
      <c r="AE59" s="436"/>
    </row>
    <row r="60" spans="1:31" ht="18" x14ac:dyDescent="0.15">
      <c r="A60" s="421">
        <v>53</v>
      </c>
      <c r="B60" s="16" t="s">
        <v>545</v>
      </c>
      <c r="C60" s="424">
        <v>548915.91666666698</v>
      </c>
      <c r="D60" s="423">
        <v>12</v>
      </c>
      <c r="E60" s="424">
        <f t="shared" si="47"/>
        <v>6586991</v>
      </c>
      <c r="F60" s="424"/>
      <c r="G60" s="425">
        <v>411759.28</v>
      </c>
      <c r="H60" s="427"/>
      <c r="I60" s="424">
        <f t="shared" si="48"/>
        <v>6175231.7199999997</v>
      </c>
      <c r="J60" s="424">
        <v>200000</v>
      </c>
      <c r="K60" s="424">
        <v>0.2</v>
      </c>
      <c r="L60" s="424">
        <f t="shared" si="49"/>
        <v>1235046.344</v>
      </c>
      <c r="M60" s="424">
        <f t="shared" si="50"/>
        <v>1435046.344</v>
      </c>
      <c r="N60" s="424">
        <f t="shared" si="51"/>
        <v>1846805.6240000001</v>
      </c>
      <c r="O60" s="424">
        <f t="shared" si="52"/>
        <v>4740185.3760000002</v>
      </c>
      <c r="P60" s="424">
        <f t="shared" si="53"/>
        <v>21000</v>
      </c>
      <c r="Q60" s="424">
        <f t="shared" si="54"/>
        <v>33000</v>
      </c>
      <c r="R60" s="424">
        <f t="shared" si="55"/>
        <v>75000</v>
      </c>
      <c r="S60" s="424">
        <f t="shared" si="56"/>
        <v>95000</v>
      </c>
      <c r="T60" s="424">
        <f t="shared" si="57"/>
        <v>336000</v>
      </c>
      <c r="U60" s="424">
        <f t="shared" si="58"/>
        <v>369644.490240001</v>
      </c>
      <c r="V60" s="424">
        <f t="shared" si="59"/>
        <v>929644.490240001</v>
      </c>
      <c r="W60" s="431">
        <v>12</v>
      </c>
      <c r="X60" s="424">
        <f t="shared" si="60"/>
        <v>77470.374186666697</v>
      </c>
      <c r="Y60" s="427"/>
      <c r="Z60" s="424">
        <f t="shared" si="61"/>
        <v>77470.374186666697</v>
      </c>
      <c r="AA60" s="436">
        <v>49548.776186666699</v>
      </c>
      <c r="AB60" s="436">
        <f t="shared" si="62"/>
        <v>27921.598000000002</v>
      </c>
      <c r="AC60" s="436"/>
      <c r="AD60" s="436"/>
      <c r="AE60" s="436"/>
    </row>
    <row r="61" spans="1:31" ht="18" x14ac:dyDescent="0.15">
      <c r="A61" s="421">
        <v>54</v>
      </c>
      <c r="B61" s="12" t="s">
        <v>546</v>
      </c>
      <c r="C61" s="424">
        <v>624373.75</v>
      </c>
      <c r="D61" s="423">
        <v>12</v>
      </c>
      <c r="E61" s="424">
        <f t="shared" si="47"/>
        <v>7492485</v>
      </c>
      <c r="F61" s="424"/>
      <c r="G61" s="425">
        <v>464998.8</v>
      </c>
      <c r="H61" s="427"/>
      <c r="I61" s="424">
        <f t="shared" si="48"/>
        <v>7027486.2000000002</v>
      </c>
      <c r="J61" s="424">
        <v>200000</v>
      </c>
      <c r="K61" s="424">
        <v>0.2</v>
      </c>
      <c r="L61" s="424">
        <f t="shared" si="49"/>
        <v>1405497.24</v>
      </c>
      <c r="M61" s="424">
        <f t="shared" si="50"/>
        <v>1605497.24</v>
      </c>
      <c r="N61" s="424">
        <f t="shared" si="51"/>
        <v>2070496.04</v>
      </c>
      <c r="O61" s="424">
        <f t="shared" si="52"/>
        <v>5421988.96</v>
      </c>
      <c r="P61" s="424">
        <f t="shared" si="53"/>
        <v>21000</v>
      </c>
      <c r="Q61" s="424">
        <f t="shared" si="54"/>
        <v>33000</v>
      </c>
      <c r="R61" s="424">
        <f t="shared" si="55"/>
        <v>75000</v>
      </c>
      <c r="S61" s="424">
        <f t="shared" si="56"/>
        <v>95000</v>
      </c>
      <c r="T61" s="424">
        <f t="shared" si="57"/>
        <v>336000</v>
      </c>
      <c r="U61" s="424">
        <f t="shared" si="58"/>
        <v>533277.3504</v>
      </c>
      <c r="V61" s="424">
        <f t="shared" si="59"/>
        <v>1093277.3504000001</v>
      </c>
      <c r="W61" s="431">
        <v>12</v>
      </c>
      <c r="X61" s="424">
        <f t="shared" si="60"/>
        <v>91106.445866666705</v>
      </c>
      <c r="Y61" s="427"/>
      <c r="Z61" s="424">
        <f t="shared" si="61"/>
        <v>91106.445866666705</v>
      </c>
      <c r="AA61" s="436">
        <v>46666.666666666701</v>
      </c>
      <c r="AB61" s="436">
        <f t="shared" si="62"/>
        <v>44439.779199999997</v>
      </c>
      <c r="AC61" s="436"/>
      <c r="AD61" s="436"/>
      <c r="AE61" s="436"/>
    </row>
    <row r="62" spans="1:31" ht="18" x14ac:dyDescent="0.1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47"/>
        <v>5708446</v>
      </c>
      <c r="F62" s="424"/>
      <c r="G62" s="425">
        <v>351075.68</v>
      </c>
      <c r="H62" s="427"/>
      <c r="I62" s="424">
        <f t="shared" si="48"/>
        <v>5357370.32</v>
      </c>
      <c r="J62" s="424">
        <v>200000</v>
      </c>
      <c r="K62" s="424">
        <v>0.2</v>
      </c>
      <c r="L62" s="424">
        <f t="shared" si="49"/>
        <v>1071474.064</v>
      </c>
      <c r="M62" s="424">
        <f t="shared" si="50"/>
        <v>1271474.064</v>
      </c>
      <c r="N62" s="424">
        <f t="shared" si="51"/>
        <v>1622549.7439999999</v>
      </c>
      <c r="O62" s="424">
        <f t="shared" si="52"/>
        <v>4085896.2560000001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212615.10143999901</v>
      </c>
      <c r="V62" s="424">
        <f t="shared" si="59"/>
        <v>772615.10143999895</v>
      </c>
      <c r="W62" s="431">
        <v>12</v>
      </c>
      <c r="X62" s="424">
        <f t="shared" si="60"/>
        <v>64384.591786666599</v>
      </c>
      <c r="Y62" s="427"/>
      <c r="Z62" s="424">
        <f t="shared" si="61"/>
        <v>64384.591786666599</v>
      </c>
      <c r="AA62" s="436">
        <v>41338.951098666701</v>
      </c>
      <c r="AB62" s="436">
        <f t="shared" si="62"/>
        <v>23045.640687999901</v>
      </c>
      <c r="AC62" s="436"/>
      <c r="AD62" s="436"/>
      <c r="AE62" s="436"/>
    </row>
    <row r="63" spans="1:31" ht="18" x14ac:dyDescent="0.1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47"/>
        <v>5708446</v>
      </c>
      <c r="F63" s="424"/>
      <c r="G63" s="425">
        <v>351075.68</v>
      </c>
      <c r="H63" s="427"/>
      <c r="I63" s="424">
        <f t="shared" si="48"/>
        <v>5357370.32</v>
      </c>
      <c r="J63" s="424">
        <v>200000</v>
      </c>
      <c r="K63" s="424">
        <v>0.2</v>
      </c>
      <c r="L63" s="424">
        <f t="shared" si="49"/>
        <v>1071474.064</v>
      </c>
      <c r="M63" s="424">
        <f t="shared" si="50"/>
        <v>1271474.064</v>
      </c>
      <c r="N63" s="424">
        <f t="shared" si="51"/>
        <v>1622549.7439999999</v>
      </c>
      <c r="O63" s="424">
        <f t="shared" si="52"/>
        <v>4085896.2560000001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212615.10143999901</v>
      </c>
      <c r="V63" s="424">
        <f t="shared" si="59"/>
        <v>772615.10143999895</v>
      </c>
      <c r="W63" s="431">
        <v>12</v>
      </c>
      <c r="X63" s="424">
        <f t="shared" si="60"/>
        <v>64384.591786666599</v>
      </c>
      <c r="Y63" s="427"/>
      <c r="Z63" s="424">
        <f t="shared" si="61"/>
        <v>64384.591786666599</v>
      </c>
      <c r="AA63" s="436">
        <v>41338.951098666701</v>
      </c>
      <c r="AB63" s="436">
        <f t="shared" si="62"/>
        <v>23045.640687999901</v>
      </c>
      <c r="AC63" s="436"/>
      <c r="AD63" s="436"/>
      <c r="AE63" s="436"/>
    </row>
    <row r="64" spans="1:31" ht="18" x14ac:dyDescent="0.1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47"/>
        <v>5708446</v>
      </c>
      <c r="F64" s="424"/>
      <c r="G64" s="425">
        <v>351075.68</v>
      </c>
      <c r="H64" s="427"/>
      <c r="I64" s="424">
        <f t="shared" si="48"/>
        <v>5357370.32</v>
      </c>
      <c r="J64" s="424">
        <v>200000</v>
      </c>
      <c r="K64" s="424">
        <v>0.2</v>
      </c>
      <c r="L64" s="424">
        <f t="shared" si="49"/>
        <v>1071474.064</v>
      </c>
      <c r="M64" s="424">
        <f t="shared" si="50"/>
        <v>1271474.064</v>
      </c>
      <c r="N64" s="424">
        <f t="shared" si="51"/>
        <v>1622549.7439999999</v>
      </c>
      <c r="O64" s="424">
        <f t="shared" si="52"/>
        <v>4085896.2560000001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212615.10143999901</v>
      </c>
      <c r="V64" s="424">
        <f t="shared" si="59"/>
        <v>772615.10143999895</v>
      </c>
      <c r="W64" s="431">
        <v>12</v>
      </c>
      <c r="X64" s="424">
        <f t="shared" si="60"/>
        <v>64384.591786666599</v>
      </c>
      <c r="Y64" s="427"/>
      <c r="Z64" s="424">
        <f t="shared" si="61"/>
        <v>64384.591786666599</v>
      </c>
      <c r="AA64" s="436">
        <v>41338.951098666701</v>
      </c>
      <c r="AB64" s="436">
        <f t="shared" si="62"/>
        <v>23045.640687999901</v>
      </c>
      <c r="AC64" s="436"/>
      <c r="AD64" s="436"/>
      <c r="AE64" s="436"/>
    </row>
    <row r="65" spans="1:31" ht="18" x14ac:dyDescent="0.1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47"/>
        <v>5854742</v>
      </c>
      <c r="F65" s="424"/>
      <c r="G65" s="425">
        <v>362779.36</v>
      </c>
      <c r="H65" s="427"/>
      <c r="I65" s="424">
        <f t="shared" si="48"/>
        <v>5491962.6399999997</v>
      </c>
      <c r="J65" s="424">
        <v>200000</v>
      </c>
      <c r="K65" s="424">
        <v>0.2</v>
      </c>
      <c r="L65" s="424">
        <f t="shared" si="49"/>
        <v>1098392.5279999999</v>
      </c>
      <c r="M65" s="424">
        <f t="shared" si="50"/>
        <v>1298392.5279999999</v>
      </c>
      <c r="N65" s="424">
        <f t="shared" si="51"/>
        <v>1661171.888</v>
      </c>
      <c r="O65" s="424">
        <f t="shared" si="52"/>
        <v>4193570.1120000002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238456.826880001</v>
      </c>
      <c r="V65" s="424">
        <f t="shared" si="59"/>
        <v>798456.826880001</v>
      </c>
      <c r="W65" s="431">
        <v>12</v>
      </c>
      <c r="X65" s="424">
        <f t="shared" si="60"/>
        <v>66538.068906666696</v>
      </c>
      <c r="Y65" s="427"/>
      <c r="Z65" s="424">
        <f t="shared" si="61"/>
        <v>66538.068906666696</v>
      </c>
      <c r="AA65" s="436">
        <v>43368.882414666703</v>
      </c>
      <c r="AB65" s="436">
        <f t="shared" si="62"/>
        <v>23169.186492000001</v>
      </c>
      <c r="AC65" s="436"/>
      <c r="AD65" s="436"/>
      <c r="AE65" s="436"/>
    </row>
    <row r="66" spans="1:31" ht="18" x14ac:dyDescent="0.1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47"/>
        <v>4811587</v>
      </c>
      <c r="F66" s="424"/>
      <c r="G66" s="429">
        <v>288926.96000000002</v>
      </c>
      <c r="H66" s="427"/>
      <c r="I66" s="424">
        <f t="shared" si="48"/>
        <v>4522660.04</v>
      </c>
      <c r="J66" s="424">
        <v>200000</v>
      </c>
      <c r="K66" s="424">
        <v>0.2</v>
      </c>
      <c r="L66" s="424">
        <f t="shared" si="49"/>
        <v>904532.00799999898</v>
      </c>
      <c r="M66" s="424">
        <f t="shared" si="50"/>
        <v>1104532.0079999999</v>
      </c>
      <c r="N66" s="424">
        <f t="shared" si="51"/>
        <v>1393458.9680000001</v>
      </c>
      <c r="O66" s="424">
        <f t="shared" si="52"/>
        <v>3418128.0320000001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52350.727679999203</v>
      </c>
      <c r="V66" s="424">
        <f t="shared" si="59"/>
        <v>612350.72767999896</v>
      </c>
      <c r="W66" s="431">
        <v>12</v>
      </c>
      <c r="X66" s="424">
        <f t="shared" si="60"/>
        <v>51029.227306666602</v>
      </c>
      <c r="Y66" s="427"/>
      <c r="Z66" s="424">
        <f t="shared" si="61"/>
        <v>51029.227306666602</v>
      </c>
      <c r="AA66" s="436">
        <v>33825.986562666702</v>
      </c>
      <c r="AB66" s="436">
        <f t="shared" si="62"/>
        <v>17203.240743999901</v>
      </c>
      <c r="AC66" s="436"/>
      <c r="AD66" s="436"/>
      <c r="AE66" s="436"/>
    </row>
    <row r="67" spans="1:31" ht="18" x14ac:dyDescent="0.2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" x14ac:dyDescent="0.2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" x14ac:dyDescent="0.1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" x14ac:dyDescent="0.15">
      <c r="A70" s="421"/>
      <c r="B70" s="9" t="s">
        <v>170</v>
      </c>
      <c r="C70" s="424">
        <v>1635720</v>
      </c>
      <c r="D70" s="423">
        <v>12</v>
      </c>
      <c r="E70" s="424">
        <f t="shared" ref="E70:E76" si="63">C70*D70</f>
        <v>19628640</v>
      </c>
      <c r="F70" s="424"/>
      <c r="G70" s="425">
        <v>1378291.2</v>
      </c>
      <c r="H70" s="427"/>
      <c r="I70" s="424">
        <f t="shared" ref="I70:I76" si="64">E70-F70-G70-H70</f>
        <v>18250348.800000001</v>
      </c>
      <c r="J70" s="424">
        <v>200000</v>
      </c>
      <c r="K70" s="424">
        <v>0.2</v>
      </c>
      <c r="L70" s="424">
        <f t="shared" ref="L70:L76" si="65">I70*K70</f>
        <v>3650069.76</v>
      </c>
      <c r="M70" s="424">
        <f t="shared" ref="M70:M76" si="66">J70+L70</f>
        <v>3850069.76</v>
      </c>
      <c r="N70" s="424">
        <f t="shared" ref="N70:N76" si="67">F70+G70+H70+M70</f>
        <v>5228360.96</v>
      </c>
      <c r="O70" s="424">
        <f t="shared" ref="O70:O76" si="68">E70-N70</f>
        <v>14400279.039999999</v>
      </c>
      <c r="P70" s="424">
        <f t="shared" ref="P70:P76" si="69">IF(O70&lt;300000,0.07*O70,21000)</f>
        <v>21000</v>
      </c>
      <c r="Q70" s="424">
        <f t="shared" ref="Q70:Q76" si="70">IF((O70-300000)&lt;0,0,IF((O70-300000)&lt;300000,0.11*(O70-300000),33000))</f>
        <v>33000</v>
      </c>
      <c r="R70" s="424">
        <f t="shared" ref="R70:R76" si="71">IF((O70-600000)&lt;0,0,IF((O70-600000)&lt;500000,0.15*(O70-600000),75000))</f>
        <v>75000</v>
      </c>
      <c r="S70" s="424">
        <f t="shared" ref="S70:S76" si="72">IF((O70-1100000)&lt;0,0,IF((O70-1100000)&lt;500000,0.19*(O70-1100000),95000))</f>
        <v>95000</v>
      </c>
      <c r="T70" s="424">
        <f t="shared" ref="T70:T76" si="73">IF((O70-1600000)&lt;0,0,IF((O70-1600000)&lt;1600000,0.21*(O70-1600000),336000))</f>
        <v>336000</v>
      </c>
      <c r="U70" s="424">
        <f t="shared" ref="U70:U73" si="74">24%*(O70-3200000)</f>
        <v>2688066.9696</v>
      </c>
      <c r="V70" s="424">
        <f t="shared" ref="V70:V76" si="75">P70+Q70+R70+S70+T70+U70</f>
        <v>3248066.9696</v>
      </c>
      <c r="W70" s="431">
        <v>12</v>
      </c>
      <c r="X70" s="424">
        <f t="shared" ref="X70:X76" si="76">V70/W70</f>
        <v>270672.24746666697</v>
      </c>
      <c r="Y70" s="427"/>
      <c r="Z70" s="424">
        <f t="shared" ref="Z70:Z76" si="77">X70</f>
        <v>270672.24746666697</v>
      </c>
      <c r="AA70" s="436">
        <v>180306.806858667</v>
      </c>
      <c r="AB70" s="436">
        <f t="shared" ref="AB70:AB76" si="78">Z70-AA70</f>
        <v>90365.440607999597</v>
      </c>
      <c r="AC70" s="436"/>
      <c r="AD70" s="436"/>
      <c r="AE70" s="436"/>
    </row>
    <row r="71" spans="1:31" ht="18" x14ac:dyDescent="0.15">
      <c r="A71" s="421">
        <v>62</v>
      </c>
      <c r="B71" s="12" t="s">
        <v>547</v>
      </c>
      <c r="C71" s="424">
        <v>761396.83333333302</v>
      </c>
      <c r="D71" s="423">
        <v>12</v>
      </c>
      <c r="E71" s="424">
        <f t="shared" si="63"/>
        <v>9136762</v>
      </c>
      <c r="F71" s="424"/>
      <c r="G71" s="425">
        <v>0</v>
      </c>
      <c r="H71" s="427"/>
      <c r="I71" s="424">
        <f t="shared" si="64"/>
        <v>9136762</v>
      </c>
      <c r="J71" s="424">
        <v>200000</v>
      </c>
      <c r="K71" s="424">
        <v>0.2</v>
      </c>
      <c r="L71" s="424">
        <f t="shared" si="65"/>
        <v>1827352.4</v>
      </c>
      <c r="M71" s="424">
        <f t="shared" si="66"/>
        <v>2027352.4</v>
      </c>
      <c r="N71" s="424">
        <f t="shared" si="67"/>
        <v>2027352.4</v>
      </c>
      <c r="O71" s="424">
        <f t="shared" si="68"/>
        <v>7109409.5999999996</v>
      </c>
      <c r="P71" s="424">
        <f t="shared" si="69"/>
        <v>21000</v>
      </c>
      <c r="Q71" s="424">
        <f t="shared" si="70"/>
        <v>33000</v>
      </c>
      <c r="R71" s="424">
        <f t="shared" si="71"/>
        <v>75000</v>
      </c>
      <c r="S71" s="424">
        <f t="shared" si="72"/>
        <v>95000</v>
      </c>
      <c r="T71" s="424">
        <f t="shared" si="73"/>
        <v>336000</v>
      </c>
      <c r="U71" s="424">
        <f t="shared" si="74"/>
        <v>938258.30399999896</v>
      </c>
      <c r="V71" s="424">
        <f t="shared" si="75"/>
        <v>1498258.304</v>
      </c>
      <c r="W71" s="431">
        <v>12</v>
      </c>
      <c r="X71" s="424">
        <f t="shared" si="76"/>
        <v>124854.858666667</v>
      </c>
      <c r="Y71" s="427"/>
      <c r="Z71" s="424">
        <f t="shared" si="77"/>
        <v>124854.858666667</v>
      </c>
      <c r="AA71" s="436">
        <v>77764.980266666695</v>
      </c>
      <c r="AB71" s="436">
        <f t="shared" si="78"/>
        <v>47089.8783999999</v>
      </c>
      <c r="AC71" s="436"/>
      <c r="AD71" s="436"/>
      <c r="AE71" s="436"/>
    </row>
    <row r="72" spans="1:31" ht="31.5" x14ac:dyDescent="0.2">
      <c r="A72" s="421">
        <v>63</v>
      </c>
      <c r="B72" s="16" t="s">
        <v>550</v>
      </c>
      <c r="C72" s="424">
        <f>700675.583333333+80000</f>
        <v>780675.58333333302</v>
      </c>
      <c r="D72" s="423">
        <v>12</v>
      </c>
      <c r="E72" s="424">
        <f t="shared" si="63"/>
        <v>9368107</v>
      </c>
      <c r="F72" s="424"/>
      <c r="G72" s="425">
        <v>0</v>
      </c>
      <c r="H72" s="427"/>
      <c r="I72" s="424">
        <f t="shared" si="64"/>
        <v>9368107</v>
      </c>
      <c r="J72" s="424">
        <v>200000</v>
      </c>
      <c r="K72" s="424">
        <v>0.2</v>
      </c>
      <c r="L72" s="424">
        <f t="shared" si="65"/>
        <v>1873621.4</v>
      </c>
      <c r="M72" s="424">
        <f t="shared" si="66"/>
        <v>2073621.4</v>
      </c>
      <c r="N72" s="424">
        <f t="shared" si="67"/>
        <v>2073621.4</v>
      </c>
      <c r="O72" s="424">
        <f t="shared" si="68"/>
        <v>7294485.5999999996</v>
      </c>
      <c r="P72" s="424">
        <f t="shared" si="69"/>
        <v>21000</v>
      </c>
      <c r="Q72" s="424">
        <f t="shared" si="70"/>
        <v>33000</v>
      </c>
      <c r="R72" s="424">
        <f t="shared" si="71"/>
        <v>75000</v>
      </c>
      <c r="S72" s="424">
        <f t="shared" si="72"/>
        <v>95000</v>
      </c>
      <c r="T72" s="424">
        <f t="shared" si="73"/>
        <v>336000</v>
      </c>
      <c r="U72" s="424">
        <f t="shared" si="74"/>
        <v>982676.54399999895</v>
      </c>
      <c r="V72" s="424">
        <f t="shared" si="75"/>
        <v>1542676.544</v>
      </c>
      <c r="W72" s="431">
        <v>12</v>
      </c>
      <c r="X72" s="424">
        <f t="shared" si="76"/>
        <v>128556.37866666701</v>
      </c>
      <c r="Y72" s="427"/>
      <c r="Z72" s="424">
        <f t="shared" si="77"/>
        <v>128556.37866666701</v>
      </c>
      <c r="AA72" s="436">
        <v>64596.9391466667</v>
      </c>
      <c r="AB72" s="436">
        <f t="shared" si="78"/>
        <v>63959.439519999898</v>
      </c>
      <c r="AC72" s="436"/>
      <c r="AD72" s="436"/>
      <c r="AE72" s="436"/>
    </row>
    <row r="73" spans="1:31" ht="18" x14ac:dyDescent="0.15">
      <c r="A73" s="421">
        <v>64</v>
      </c>
      <c r="B73" s="9" t="s">
        <v>174</v>
      </c>
      <c r="C73" s="424">
        <v>596622.25</v>
      </c>
      <c r="D73" s="423">
        <v>12</v>
      </c>
      <c r="E73" s="424">
        <f t="shared" si="63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64"/>
        <v>6713089.8449999997</v>
      </c>
      <c r="J73" s="424">
        <v>200000</v>
      </c>
      <c r="K73" s="424">
        <v>0.2</v>
      </c>
      <c r="L73" s="424">
        <f t="shared" si="65"/>
        <v>1342617.969</v>
      </c>
      <c r="M73" s="424">
        <f t="shared" si="66"/>
        <v>1542617.969</v>
      </c>
      <c r="N73" s="424">
        <f t="shared" si="67"/>
        <v>1988995.1240000001</v>
      </c>
      <c r="O73" s="424">
        <f t="shared" si="68"/>
        <v>5170471.8760000002</v>
      </c>
      <c r="P73" s="424">
        <f t="shared" si="69"/>
        <v>21000</v>
      </c>
      <c r="Q73" s="424">
        <f t="shared" si="70"/>
        <v>33000</v>
      </c>
      <c r="R73" s="424">
        <f t="shared" si="71"/>
        <v>75000</v>
      </c>
      <c r="S73" s="424">
        <f t="shared" si="72"/>
        <v>95000</v>
      </c>
      <c r="T73" s="424">
        <f t="shared" si="73"/>
        <v>336000</v>
      </c>
      <c r="U73" s="424">
        <f t="shared" si="74"/>
        <v>472913.25024000002</v>
      </c>
      <c r="V73" s="424">
        <f t="shared" si="75"/>
        <v>1032913.25024</v>
      </c>
      <c r="W73" s="431">
        <v>12</v>
      </c>
      <c r="X73" s="424">
        <f t="shared" si="76"/>
        <v>86076.104186666693</v>
      </c>
      <c r="Y73" s="427"/>
      <c r="Z73" s="424">
        <f t="shared" si="77"/>
        <v>86076.104186666693</v>
      </c>
      <c r="AA73" s="436">
        <v>56350.586186666696</v>
      </c>
      <c r="AB73" s="436">
        <f t="shared" si="78"/>
        <v>29725.518</v>
      </c>
      <c r="AC73" s="436"/>
      <c r="AD73" s="436"/>
      <c r="AE73" s="436"/>
    </row>
    <row r="74" spans="1:31" ht="18" x14ac:dyDescent="0.15">
      <c r="A74" s="421">
        <v>65</v>
      </c>
      <c r="B74" s="9" t="s">
        <v>181</v>
      </c>
      <c r="C74" s="424">
        <v>408901.5</v>
      </c>
      <c r="D74" s="423">
        <v>12</v>
      </c>
      <c r="E74" s="424">
        <f t="shared" si="63"/>
        <v>4906818</v>
      </c>
      <c r="F74" s="424"/>
      <c r="G74" s="425">
        <v>296545.44</v>
      </c>
      <c r="H74" s="427"/>
      <c r="I74" s="424">
        <f t="shared" si="64"/>
        <v>4610272.5599999996</v>
      </c>
      <c r="J74" s="424">
        <v>200000</v>
      </c>
      <c r="K74" s="424">
        <v>0.2</v>
      </c>
      <c r="L74" s="424">
        <f t="shared" si="65"/>
        <v>922054.51199999999</v>
      </c>
      <c r="M74" s="424">
        <f t="shared" si="66"/>
        <v>1122054.5120000001</v>
      </c>
      <c r="N74" s="424">
        <f t="shared" si="67"/>
        <v>1418599.952</v>
      </c>
      <c r="O74" s="424">
        <f t="shared" si="68"/>
        <v>3488218.048</v>
      </c>
      <c r="P74" s="424">
        <f t="shared" si="69"/>
        <v>21000</v>
      </c>
      <c r="Q74" s="424">
        <f t="shared" si="70"/>
        <v>33000</v>
      </c>
      <c r="R74" s="424">
        <f t="shared" si="71"/>
        <v>75000</v>
      </c>
      <c r="S74" s="424">
        <f t="shared" si="72"/>
        <v>95000</v>
      </c>
      <c r="T74" s="424">
        <f t="shared" si="73"/>
        <v>336000</v>
      </c>
      <c r="U74" s="424">
        <f>0.24*(O74-3200000)</f>
        <v>69172.331520000007</v>
      </c>
      <c r="V74" s="424">
        <f t="shared" si="75"/>
        <v>629172.33152000001</v>
      </c>
      <c r="W74" s="431">
        <v>12</v>
      </c>
      <c r="X74" s="424">
        <f t="shared" si="76"/>
        <v>52431.027626666699</v>
      </c>
      <c r="Y74" s="427"/>
      <c r="Z74" s="424">
        <f t="shared" si="77"/>
        <v>52431.027626666699</v>
      </c>
      <c r="AA74" s="436">
        <v>17507.548966666702</v>
      </c>
      <c r="AB74" s="436">
        <f t="shared" si="78"/>
        <v>34923.478660000001</v>
      </c>
      <c r="AC74" s="436"/>
      <c r="AD74" s="436"/>
      <c r="AE74" s="436"/>
    </row>
    <row r="75" spans="1:31" ht="24.75" customHeight="1" x14ac:dyDescent="0.15">
      <c r="A75" s="421"/>
      <c r="B75" s="9" t="s">
        <v>183</v>
      </c>
      <c r="C75" s="424">
        <v>363165.33333333302</v>
      </c>
      <c r="D75" s="423">
        <v>12</v>
      </c>
      <c r="E75" s="424">
        <f t="shared" si="63"/>
        <v>4357984</v>
      </c>
      <c r="F75" s="424"/>
      <c r="G75" s="425">
        <v>252638.72</v>
      </c>
      <c r="H75" s="427"/>
      <c r="I75" s="424">
        <f t="shared" si="64"/>
        <v>4105345.28</v>
      </c>
      <c r="J75" s="424">
        <v>200000</v>
      </c>
      <c r="K75" s="424">
        <v>0.2</v>
      </c>
      <c r="L75" s="424">
        <f t="shared" si="65"/>
        <v>821069.05599999905</v>
      </c>
      <c r="M75" s="424">
        <f t="shared" si="66"/>
        <v>1021069.056</v>
      </c>
      <c r="N75" s="424">
        <f t="shared" si="67"/>
        <v>1273707.7760000001</v>
      </c>
      <c r="O75" s="424">
        <f t="shared" si="68"/>
        <v>3084276.2239999999</v>
      </c>
      <c r="P75" s="424">
        <f t="shared" si="69"/>
        <v>21000</v>
      </c>
      <c r="Q75" s="424">
        <f t="shared" si="70"/>
        <v>33000</v>
      </c>
      <c r="R75" s="424">
        <f t="shared" si="71"/>
        <v>75000</v>
      </c>
      <c r="S75" s="424">
        <f t="shared" si="72"/>
        <v>95000</v>
      </c>
      <c r="T75" s="424">
        <f t="shared" si="73"/>
        <v>311698.00703999901</v>
      </c>
      <c r="U75" s="424"/>
      <c r="V75" s="424">
        <f t="shared" si="75"/>
        <v>535698.00703999901</v>
      </c>
      <c r="W75" s="431">
        <v>12</v>
      </c>
      <c r="X75" s="424">
        <f t="shared" si="76"/>
        <v>44641.500586666603</v>
      </c>
      <c r="Y75" s="427"/>
      <c r="Z75" s="424">
        <f t="shared" si="77"/>
        <v>44641.500586666603</v>
      </c>
      <c r="AA75" s="436">
        <v>29058.4826046667</v>
      </c>
      <c r="AB75" s="436">
        <f t="shared" si="78"/>
        <v>15583.017981999899</v>
      </c>
      <c r="AC75" s="436"/>
      <c r="AD75" s="436"/>
      <c r="AE75" s="436"/>
    </row>
    <row r="76" spans="1:31" ht="18" x14ac:dyDescent="0.15">
      <c r="A76" s="421"/>
      <c r="B76" s="9" t="s">
        <v>185</v>
      </c>
      <c r="C76" s="424">
        <v>324459.75</v>
      </c>
      <c r="D76" s="423">
        <v>12</v>
      </c>
      <c r="E76" s="424">
        <f t="shared" si="63"/>
        <v>3893517</v>
      </c>
      <c r="F76" s="424"/>
      <c r="G76" s="425">
        <v>215481.36</v>
      </c>
      <c r="H76" s="427"/>
      <c r="I76" s="424">
        <f t="shared" si="64"/>
        <v>3678035.64</v>
      </c>
      <c r="J76" s="424">
        <v>200000</v>
      </c>
      <c r="K76" s="424">
        <v>0.2</v>
      </c>
      <c r="L76" s="424">
        <f t="shared" si="65"/>
        <v>735607.12800000003</v>
      </c>
      <c r="M76" s="424">
        <f t="shared" si="66"/>
        <v>935607.12800000003</v>
      </c>
      <c r="N76" s="424">
        <f t="shared" si="67"/>
        <v>1151088.4879999999</v>
      </c>
      <c r="O76" s="424">
        <f t="shared" si="68"/>
        <v>2742428.5120000001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239909.98752</v>
      </c>
      <c r="U76" s="424"/>
      <c r="V76" s="424">
        <f t="shared" si="75"/>
        <v>463909.98752000002</v>
      </c>
      <c r="W76" s="431">
        <v>12</v>
      </c>
      <c r="X76" s="424">
        <f t="shared" si="76"/>
        <v>38659.165626666698</v>
      </c>
      <c r="Y76" s="427"/>
      <c r="Z76" s="424">
        <f t="shared" si="77"/>
        <v>38659.165626666698</v>
      </c>
      <c r="AA76" s="436">
        <v>24751.170462666701</v>
      </c>
      <c r="AB76" s="436">
        <f t="shared" si="78"/>
        <v>13907.995164</v>
      </c>
      <c r="AC76" s="436"/>
      <c r="AD76" s="436"/>
      <c r="AE76" s="436"/>
    </row>
    <row r="77" spans="1:31" ht="18" x14ac:dyDescent="0.1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" x14ac:dyDescent="0.2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18" x14ac:dyDescent="0.15">
      <c r="A79" s="421">
        <v>67</v>
      </c>
      <c r="B79" s="18" t="s">
        <v>187</v>
      </c>
      <c r="C79" s="424"/>
      <c r="AB79" s="259" t="s">
        <v>649</v>
      </c>
      <c r="AC79" s="436"/>
      <c r="AD79" s="436"/>
      <c r="AE79" s="436"/>
    </row>
    <row r="80" spans="1:31" ht="18" x14ac:dyDescent="0.15">
      <c r="A80" s="421">
        <v>68</v>
      </c>
      <c r="B80" s="9" t="s">
        <v>190</v>
      </c>
      <c r="C80" s="424">
        <v>1096034</v>
      </c>
      <c r="D80" s="423">
        <v>12</v>
      </c>
      <c r="E80" s="424">
        <f t="shared" ref="E80:E89" si="79">C80*D80</f>
        <v>13152408</v>
      </c>
      <c r="F80" s="424"/>
      <c r="G80" s="425">
        <v>709635.44</v>
      </c>
      <c r="H80" s="427"/>
      <c r="I80" s="424">
        <f t="shared" ref="I80:I89" si="80">E80-F80-G80-H80</f>
        <v>12442772.560000001</v>
      </c>
      <c r="J80" s="424">
        <v>200000</v>
      </c>
      <c r="K80" s="424">
        <v>0.2</v>
      </c>
      <c r="L80" s="424">
        <f t="shared" ref="L80:L89" si="81">I80*K80</f>
        <v>2488554.5120000001</v>
      </c>
      <c r="M80" s="424">
        <f t="shared" ref="M80:M89" si="82">J80+L80</f>
        <v>2688554.5120000001</v>
      </c>
      <c r="N80" s="424">
        <f t="shared" ref="N80:N89" si="83">F80+G80+H80+M80</f>
        <v>3398189.952</v>
      </c>
      <c r="O80" s="424">
        <f t="shared" ref="O80:O89" si="84">E80-N80</f>
        <v>9754218.0480000004</v>
      </c>
      <c r="P80" s="424">
        <f t="shared" ref="P80:P89" si="85">IF(O80&lt;300000,0.07*O80,21000)</f>
        <v>21000</v>
      </c>
      <c r="Q80" s="424">
        <f t="shared" ref="Q80:Q89" si="86">IF((O80-300000)&lt;0,0,IF((O80-300000)&lt;300000,0.11*(O80-300000),33000))</f>
        <v>33000</v>
      </c>
      <c r="R80" s="424">
        <f t="shared" ref="R80:R89" si="87">IF((O80-600000)&lt;0,0,IF((O80-600000)&lt;500000,0.15*(O80-600000),75000))</f>
        <v>75000</v>
      </c>
      <c r="S80" s="424">
        <f t="shared" ref="S80:S89" si="88">IF((O80-1100000)&lt;0,0,IF((O80-1100000)&lt;500000,0.19*(O80-1100000),95000))</f>
        <v>95000</v>
      </c>
      <c r="T80" s="424">
        <f t="shared" ref="T80:T89" si="89">IF((O80-1600000)&lt;0,0,IF((O80-1600000)&lt;1600000,0.21*(O80-1600000),336000))</f>
        <v>336000</v>
      </c>
      <c r="U80" s="424">
        <f t="shared" ref="U80:U88" si="90">24%*(O80-3200000)</f>
        <v>1573012.33152</v>
      </c>
      <c r="V80" s="424">
        <f t="shared" ref="V80:V89" si="91">P80+Q80+R80+S80+T80+U80</f>
        <v>2133012.33152</v>
      </c>
      <c r="W80" s="431">
        <v>12</v>
      </c>
      <c r="X80" s="424">
        <f t="shared" ref="X80:X89" si="92">V80/W80</f>
        <v>177751.027626667</v>
      </c>
      <c r="Y80" s="427"/>
      <c r="Z80" s="424">
        <f t="shared" ref="Z80:Z89" si="93">X80</f>
        <v>177751.027626667</v>
      </c>
      <c r="AA80" s="424">
        <v>99156.9391466667</v>
      </c>
      <c r="AB80" s="436">
        <f t="shared" ref="AB80:AB89" si="94">Z80-AA80</f>
        <v>78594.088480000006</v>
      </c>
      <c r="AC80" s="436" t="s">
        <v>190</v>
      </c>
      <c r="AD80" s="436"/>
      <c r="AE80" s="436"/>
    </row>
    <row r="81" spans="1:31" ht="18" x14ac:dyDescent="0.15">
      <c r="A81" s="421">
        <v>69</v>
      </c>
      <c r="B81" s="9" t="s">
        <v>188</v>
      </c>
      <c r="C81" s="570">
        <v>1552042.66666667</v>
      </c>
      <c r="D81" s="423">
        <v>12</v>
      </c>
      <c r="E81" s="424">
        <f t="shared" si="79"/>
        <v>18624512</v>
      </c>
      <c r="F81" s="424">
        <f>18254.975*12</f>
        <v>219059.7</v>
      </c>
      <c r="G81" s="425">
        <f>114857.6*12</f>
        <v>1378291.2</v>
      </c>
      <c r="H81" s="427"/>
      <c r="I81" s="424">
        <f t="shared" si="80"/>
        <v>17027161.100000001</v>
      </c>
      <c r="J81" s="424">
        <v>200000</v>
      </c>
      <c r="K81" s="424">
        <v>0.2</v>
      </c>
      <c r="L81" s="424">
        <f t="shared" si="81"/>
        <v>3405432.22</v>
      </c>
      <c r="M81" s="424">
        <f t="shared" si="82"/>
        <v>3605432.22</v>
      </c>
      <c r="N81" s="424">
        <f t="shared" si="83"/>
        <v>5202783.12</v>
      </c>
      <c r="O81" s="424">
        <f t="shared" si="84"/>
        <v>13421728.880000001</v>
      </c>
      <c r="P81" s="424">
        <f t="shared" si="85"/>
        <v>21000</v>
      </c>
      <c r="Q81" s="424">
        <f t="shared" si="86"/>
        <v>33000</v>
      </c>
      <c r="R81" s="424">
        <f t="shared" si="87"/>
        <v>75000</v>
      </c>
      <c r="S81" s="424">
        <f t="shared" si="88"/>
        <v>95000</v>
      </c>
      <c r="T81" s="424">
        <f t="shared" si="89"/>
        <v>336000</v>
      </c>
      <c r="U81" s="424">
        <f t="shared" si="90"/>
        <v>2453214.9312</v>
      </c>
      <c r="V81" s="424">
        <f t="shared" si="91"/>
        <v>3013214.9312</v>
      </c>
      <c r="W81" s="431">
        <v>12</v>
      </c>
      <c r="X81" s="424">
        <f t="shared" si="92"/>
        <v>251101.244266667</v>
      </c>
      <c r="Y81" s="427"/>
      <c r="Z81" s="424">
        <f t="shared" si="93"/>
        <v>251101.244266667</v>
      </c>
      <c r="AA81" s="424">
        <v>98996.103146666705</v>
      </c>
      <c r="AB81" s="436">
        <f t="shared" si="94"/>
        <v>152105.14111999999</v>
      </c>
      <c r="AC81" s="436" t="s">
        <v>188</v>
      </c>
      <c r="AD81" s="436"/>
      <c r="AE81" s="436"/>
    </row>
    <row r="82" spans="1:31" ht="31.5" x14ac:dyDescent="0.2">
      <c r="A82" s="421">
        <v>70</v>
      </c>
      <c r="B82" s="9" t="s">
        <v>193</v>
      </c>
      <c r="C82" s="424">
        <v>587895.16666666698</v>
      </c>
      <c r="D82" s="423">
        <v>12</v>
      </c>
      <c r="E82" s="424">
        <f t="shared" si="79"/>
        <v>7054742</v>
      </c>
      <c r="F82" s="424"/>
      <c r="G82" s="425">
        <v>558833.36</v>
      </c>
      <c r="H82" s="427"/>
      <c r="I82" s="424">
        <f t="shared" si="80"/>
        <v>6495908.6399999997</v>
      </c>
      <c r="J82" s="424">
        <v>200000</v>
      </c>
      <c r="K82" s="424">
        <v>0.2</v>
      </c>
      <c r="L82" s="424">
        <f t="shared" si="81"/>
        <v>1299181.7279999999</v>
      </c>
      <c r="M82" s="424">
        <f t="shared" si="82"/>
        <v>1499181.7279999999</v>
      </c>
      <c r="N82" s="424">
        <f t="shared" si="83"/>
        <v>2058015.088</v>
      </c>
      <c r="O82" s="424">
        <f t="shared" si="84"/>
        <v>4996726.9119999995</v>
      </c>
      <c r="P82" s="424">
        <f t="shared" si="85"/>
        <v>21000</v>
      </c>
      <c r="Q82" s="424">
        <f t="shared" si="86"/>
        <v>33000</v>
      </c>
      <c r="R82" s="424">
        <f t="shared" si="87"/>
        <v>75000</v>
      </c>
      <c r="S82" s="424">
        <f t="shared" si="88"/>
        <v>95000</v>
      </c>
      <c r="T82" s="424">
        <f t="shared" si="89"/>
        <v>336000</v>
      </c>
      <c r="U82" s="424">
        <f t="shared" si="90"/>
        <v>431214.45888000098</v>
      </c>
      <c r="V82" s="424">
        <f t="shared" si="91"/>
        <v>991214.45888000098</v>
      </c>
      <c r="W82" s="431">
        <v>12</v>
      </c>
      <c r="X82" s="424">
        <f t="shared" si="92"/>
        <v>82601.204906666695</v>
      </c>
      <c r="Y82" s="427"/>
      <c r="Z82" s="424">
        <f t="shared" si="93"/>
        <v>82601.204906666695</v>
      </c>
      <c r="AA82" s="424">
        <v>79956.9391466667</v>
      </c>
      <c r="AB82" s="436">
        <f t="shared" si="94"/>
        <v>2644.2657600000098</v>
      </c>
      <c r="AC82" s="436" t="s">
        <v>193</v>
      </c>
      <c r="AD82" s="436"/>
      <c r="AE82" s="436"/>
    </row>
    <row r="83" spans="1:31" ht="18" x14ac:dyDescent="0.15">
      <c r="A83" s="421">
        <v>71</v>
      </c>
      <c r="B83" s="9" t="s">
        <v>194</v>
      </c>
      <c r="C83" s="424">
        <v>582746.5</v>
      </c>
      <c r="D83" s="423">
        <v>12</v>
      </c>
      <c r="E83" s="424">
        <f t="shared" si="79"/>
        <v>6992958</v>
      </c>
      <c r="F83" s="424"/>
      <c r="G83" s="425">
        <v>424132.72</v>
      </c>
      <c r="H83" s="427"/>
      <c r="I83" s="424">
        <f t="shared" si="80"/>
        <v>6568825.2800000003</v>
      </c>
      <c r="J83" s="424">
        <v>200000</v>
      </c>
      <c r="K83" s="424">
        <v>0.2</v>
      </c>
      <c r="L83" s="424">
        <f t="shared" si="81"/>
        <v>1313765.0560000001</v>
      </c>
      <c r="M83" s="424">
        <f t="shared" si="82"/>
        <v>1513765.0560000001</v>
      </c>
      <c r="N83" s="424">
        <f t="shared" si="83"/>
        <v>1937897.7760000001</v>
      </c>
      <c r="O83" s="424">
        <f t="shared" si="84"/>
        <v>5055060.2240000004</v>
      </c>
      <c r="P83" s="424">
        <f t="shared" si="85"/>
        <v>21000</v>
      </c>
      <c r="Q83" s="424">
        <f t="shared" si="86"/>
        <v>33000</v>
      </c>
      <c r="R83" s="424">
        <f t="shared" si="87"/>
        <v>75000</v>
      </c>
      <c r="S83" s="424">
        <f t="shared" si="88"/>
        <v>95000</v>
      </c>
      <c r="T83" s="424">
        <f t="shared" si="89"/>
        <v>336000</v>
      </c>
      <c r="U83" s="424">
        <f t="shared" si="90"/>
        <v>445214.45376</v>
      </c>
      <c r="V83" s="424">
        <f t="shared" si="91"/>
        <v>1005214.4537599999</v>
      </c>
      <c r="W83" s="431">
        <v>12</v>
      </c>
      <c r="X83" s="424">
        <f t="shared" si="92"/>
        <v>83767.871146666701</v>
      </c>
      <c r="Y83" s="427"/>
      <c r="Z83" s="424">
        <f t="shared" si="93"/>
        <v>83767.871146666701</v>
      </c>
      <c r="AA83" s="424">
        <v>75574.677290666703</v>
      </c>
      <c r="AB83" s="436">
        <f t="shared" si="94"/>
        <v>8193.1938559999508</v>
      </c>
      <c r="AC83" s="436" t="s">
        <v>194</v>
      </c>
      <c r="AD83" s="436"/>
      <c r="AE83" s="436"/>
    </row>
    <row r="84" spans="1:31" ht="18" x14ac:dyDescent="0.15">
      <c r="A84" s="421">
        <v>72</v>
      </c>
      <c r="B84" s="9" t="s">
        <v>195</v>
      </c>
      <c r="C84" s="424">
        <v>548915.91666666698</v>
      </c>
      <c r="D84" s="423">
        <v>12</v>
      </c>
      <c r="E84" s="424">
        <f t="shared" si="79"/>
        <v>6586991</v>
      </c>
      <c r="F84" s="424"/>
      <c r="G84" s="425">
        <v>411759.28</v>
      </c>
      <c r="H84" s="427"/>
      <c r="I84" s="424">
        <f t="shared" si="80"/>
        <v>6175231.7199999997</v>
      </c>
      <c r="J84" s="424">
        <v>200000</v>
      </c>
      <c r="K84" s="424">
        <v>0.2</v>
      </c>
      <c r="L84" s="424">
        <f t="shared" si="81"/>
        <v>1235046.344</v>
      </c>
      <c r="M84" s="424">
        <f t="shared" si="82"/>
        <v>1435046.344</v>
      </c>
      <c r="N84" s="424">
        <f t="shared" si="83"/>
        <v>1846805.6240000001</v>
      </c>
      <c r="O84" s="424">
        <f t="shared" si="84"/>
        <v>4740185.3760000002</v>
      </c>
      <c r="P84" s="424">
        <f t="shared" si="85"/>
        <v>21000</v>
      </c>
      <c r="Q84" s="424">
        <f t="shared" si="86"/>
        <v>33000</v>
      </c>
      <c r="R84" s="424">
        <f t="shared" si="87"/>
        <v>75000</v>
      </c>
      <c r="S84" s="424">
        <f t="shared" si="88"/>
        <v>95000</v>
      </c>
      <c r="T84" s="424">
        <f t="shared" si="89"/>
        <v>336000</v>
      </c>
      <c r="U84" s="424">
        <f t="shared" si="90"/>
        <v>369644.490240001</v>
      </c>
      <c r="V84" s="424">
        <f t="shared" si="91"/>
        <v>929644.490240001</v>
      </c>
      <c r="W84" s="431">
        <v>12</v>
      </c>
      <c r="X84" s="424">
        <f t="shared" si="92"/>
        <v>77470.374186666697</v>
      </c>
      <c r="Y84" s="427"/>
      <c r="Z84" s="424">
        <f t="shared" si="93"/>
        <v>77470.374186666697</v>
      </c>
      <c r="AA84" s="424">
        <v>50985.977546666698</v>
      </c>
      <c r="AB84" s="436">
        <f t="shared" si="94"/>
        <v>26484.396639999999</v>
      </c>
      <c r="AC84" s="436" t="s">
        <v>195</v>
      </c>
      <c r="AD84" s="436"/>
      <c r="AE84" s="436"/>
    </row>
    <row r="85" spans="1:31" ht="31.5" x14ac:dyDescent="0.2">
      <c r="A85" s="421">
        <v>73</v>
      </c>
      <c r="B85" s="9" t="s">
        <v>196</v>
      </c>
      <c r="C85" s="424">
        <v>568870.75</v>
      </c>
      <c r="D85" s="423">
        <v>12</v>
      </c>
      <c r="E85" s="424">
        <f t="shared" si="79"/>
        <v>6826449</v>
      </c>
      <c r="F85" s="424"/>
      <c r="G85" s="425">
        <v>411715.92</v>
      </c>
      <c r="H85" s="427"/>
      <c r="I85" s="424">
        <f t="shared" si="80"/>
        <v>6414733.0800000001</v>
      </c>
      <c r="J85" s="424">
        <v>200000</v>
      </c>
      <c r="K85" s="424">
        <v>0.2</v>
      </c>
      <c r="L85" s="424">
        <f t="shared" si="81"/>
        <v>1282946.6159999999</v>
      </c>
      <c r="M85" s="424">
        <f t="shared" si="82"/>
        <v>1482946.6159999999</v>
      </c>
      <c r="N85" s="424">
        <f t="shared" si="83"/>
        <v>1894662.5360000001</v>
      </c>
      <c r="O85" s="424">
        <f t="shared" si="84"/>
        <v>4931786.4639999997</v>
      </c>
      <c r="P85" s="424">
        <f t="shared" si="85"/>
        <v>21000</v>
      </c>
      <c r="Q85" s="424">
        <f t="shared" si="86"/>
        <v>33000</v>
      </c>
      <c r="R85" s="424">
        <f t="shared" si="87"/>
        <v>75000</v>
      </c>
      <c r="S85" s="424">
        <f t="shared" si="88"/>
        <v>95000</v>
      </c>
      <c r="T85" s="424">
        <f t="shared" si="89"/>
        <v>336000</v>
      </c>
      <c r="U85" s="424">
        <f t="shared" si="90"/>
        <v>415628.75135999999</v>
      </c>
      <c r="V85" s="424">
        <f t="shared" si="91"/>
        <v>975628.75135999999</v>
      </c>
      <c r="W85" s="431">
        <v>12</v>
      </c>
      <c r="X85" s="424">
        <f t="shared" si="92"/>
        <v>81302.3959466667</v>
      </c>
      <c r="Y85" s="427"/>
      <c r="Z85" s="424">
        <f t="shared" si="93"/>
        <v>81302.3959466667</v>
      </c>
      <c r="AA85" s="424">
        <v>49548.776186666699</v>
      </c>
      <c r="AB85" s="436">
        <f t="shared" si="94"/>
        <v>31753.619760000001</v>
      </c>
      <c r="AC85" s="436" t="s">
        <v>196</v>
      </c>
      <c r="AD85" s="436"/>
      <c r="AE85" s="436"/>
    </row>
    <row r="86" spans="1:31" ht="18" x14ac:dyDescent="0.15">
      <c r="A86" s="421">
        <v>74</v>
      </c>
      <c r="B86" s="9" t="s">
        <v>198</v>
      </c>
      <c r="C86" s="424">
        <v>475703.83333333302</v>
      </c>
      <c r="D86" s="423">
        <v>12</v>
      </c>
      <c r="E86" s="424">
        <f t="shared" si="79"/>
        <v>5708446</v>
      </c>
      <c r="F86" s="424"/>
      <c r="G86" s="430">
        <f>29256.3066666667*12</f>
        <v>351075.68</v>
      </c>
      <c r="H86" s="427"/>
      <c r="I86" s="424">
        <f t="shared" si="80"/>
        <v>5357370.32</v>
      </c>
      <c r="J86" s="424">
        <v>200000</v>
      </c>
      <c r="K86" s="424">
        <v>0.2</v>
      </c>
      <c r="L86" s="424">
        <f t="shared" si="81"/>
        <v>1071474.064</v>
      </c>
      <c r="M86" s="424">
        <f t="shared" si="82"/>
        <v>1271474.064</v>
      </c>
      <c r="N86" s="424">
        <f t="shared" si="83"/>
        <v>1622549.7439999999</v>
      </c>
      <c r="O86" s="424">
        <f t="shared" si="84"/>
        <v>4085896.2560000001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212615.10143999901</v>
      </c>
      <c r="V86" s="424">
        <f t="shared" si="91"/>
        <v>772615.10143999895</v>
      </c>
      <c r="W86" s="431">
        <v>12</v>
      </c>
      <c r="X86" s="424">
        <f t="shared" si="92"/>
        <v>64384.591786666599</v>
      </c>
      <c r="Y86" s="427"/>
      <c r="Z86" s="424">
        <f t="shared" si="93"/>
        <v>64384.591786666599</v>
      </c>
      <c r="AA86" s="424">
        <v>53384.053562666697</v>
      </c>
      <c r="AB86" s="436">
        <f t="shared" si="94"/>
        <v>11000.5382239999</v>
      </c>
      <c r="AC86" s="436" t="s">
        <v>198</v>
      </c>
      <c r="AD86" s="436"/>
      <c r="AE86" s="436"/>
    </row>
    <row r="87" spans="1:31" ht="24" customHeight="1" x14ac:dyDescent="0.15">
      <c r="A87" s="421">
        <v>75</v>
      </c>
      <c r="B87" s="9" t="s">
        <v>199</v>
      </c>
      <c r="C87" s="424">
        <v>510248.91666666698</v>
      </c>
      <c r="D87" s="423">
        <v>12</v>
      </c>
      <c r="E87" s="424">
        <f t="shared" si="79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80"/>
        <v>5741425.5429999996</v>
      </c>
      <c r="J87" s="424">
        <v>200000</v>
      </c>
      <c r="K87" s="424">
        <v>0.2</v>
      </c>
      <c r="L87" s="424">
        <f t="shared" si="81"/>
        <v>1148285.1085999999</v>
      </c>
      <c r="M87" s="424">
        <f t="shared" si="82"/>
        <v>1348285.1085999999</v>
      </c>
      <c r="N87" s="424">
        <f t="shared" si="83"/>
        <v>1729846.5656000001</v>
      </c>
      <c r="O87" s="424">
        <f t="shared" si="84"/>
        <v>4393140.4343999997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286353.70425600099</v>
      </c>
      <c r="V87" s="424">
        <f t="shared" si="91"/>
        <v>846353.70425600104</v>
      </c>
      <c r="W87" s="431">
        <v>12</v>
      </c>
      <c r="X87" s="424">
        <f t="shared" si="92"/>
        <v>70529.475354666705</v>
      </c>
      <c r="Y87" s="427"/>
      <c r="Z87" s="424">
        <f t="shared" si="93"/>
        <v>70529.475354666705</v>
      </c>
      <c r="AA87" s="424">
        <v>41242.0361406667</v>
      </c>
      <c r="AB87" s="436">
        <f t="shared" si="94"/>
        <v>29287.439214000002</v>
      </c>
      <c r="AC87" s="436" t="s">
        <v>199</v>
      </c>
      <c r="AD87" s="436"/>
      <c r="AE87" s="436"/>
    </row>
    <row r="88" spans="1:31" ht="18" x14ac:dyDescent="0.15">
      <c r="A88" s="421">
        <v>76</v>
      </c>
      <c r="B88" s="9" t="s">
        <v>202</v>
      </c>
      <c r="C88" s="424">
        <v>400965.58333333302</v>
      </c>
      <c r="D88" s="423">
        <v>12</v>
      </c>
      <c r="E88" s="424">
        <f t="shared" si="79"/>
        <v>4811587</v>
      </c>
      <c r="F88" s="424"/>
      <c r="G88" s="425">
        <v>288926.96000000002</v>
      </c>
      <c r="H88" s="427"/>
      <c r="I88" s="424">
        <f t="shared" si="80"/>
        <v>4522660.04</v>
      </c>
      <c r="J88" s="424">
        <v>200000</v>
      </c>
      <c r="K88" s="424">
        <v>0.2</v>
      </c>
      <c r="L88" s="424">
        <f t="shared" si="81"/>
        <v>904532.00799999898</v>
      </c>
      <c r="M88" s="424">
        <f t="shared" si="82"/>
        <v>1104532.0079999999</v>
      </c>
      <c r="N88" s="424">
        <f t="shared" si="83"/>
        <v>1393458.9680000001</v>
      </c>
      <c r="O88" s="424">
        <f t="shared" si="84"/>
        <v>3418128.0320000001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52350.727679999203</v>
      </c>
      <c r="V88" s="424">
        <f t="shared" si="91"/>
        <v>612350.72767999896</v>
      </c>
      <c r="W88" s="431">
        <v>12</v>
      </c>
      <c r="X88" s="424">
        <f t="shared" si="92"/>
        <v>51029.227306666602</v>
      </c>
      <c r="Y88" s="427"/>
      <c r="Z88" s="424">
        <f t="shared" si="93"/>
        <v>51029.227306666602</v>
      </c>
      <c r="AA88" s="424">
        <v>45414.4562526667</v>
      </c>
      <c r="AB88" s="436">
        <f t="shared" si="94"/>
        <v>5614.7710539998998</v>
      </c>
      <c r="AC88" s="436" t="s">
        <v>202</v>
      </c>
      <c r="AD88" s="436"/>
      <c r="AE88" s="436"/>
    </row>
    <row r="89" spans="1:31" ht="18" x14ac:dyDescent="0.15">
      <c r="A89" s="421"/>
      <c r="B89" s="9" t="s">
        <v>204</v>
      </c>
      <c r="C89" s="424">
        <v>330631.91666666698</v>
      </c>
      <c r="D89" s="423">
        <v>12</v>
      </c>
      <c r="E89" s="424">
        <f t="shared" si="79"/>
        <v>3967583</v>
      </c>
      <c r="F89" s="424"/>
      <c r="G89" s="425">
        <v>221406.64</v>
      </c>
      <c r="H89" s="427"/>
      <c r="I89" s="424">
        <f t="shared" si="80"/>
        <v>3746176.36</v>
      </c>
      <c r="J89" s="424">
        <v>200000</v>
      </c>
      <c r="K89" s="424">
        <v>0.2</v>
      </c>
      <c r="L89" s="424">
        <f t="shared" si="81"/>
        <v>749235.27200000104</v>
      </c>
      <c r="M89" s="424">
        <f t="shared" si="82"/>
        <v>949235.27200000104</v>
      </c>
      <c r="N89" s="424">
        <f t="shared" si="83"/>
        <v>1170641.912</v>
      </c>
      <c r="O89" s="424">
        <f t="shared" si="84"/>
        <v>2796941.088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251357.628480001</v>
      </c>
      <c r="U89" s="424"/>
      <c r="V89" s="424">
        <f t="shared" si="91"/>
        <v>475357.628480001</v>
      </c>
      <c r="W89" s="431">
        <v>12</v>
      </c>
      <c r="X89" s="424">
        <f t="shared" si="92"/>
        <v>39613.135706666697</v>
      </c>
      <c r="Y89" s="427"/>
      <c r="Z89" s="424">
        <f t="shared" si="93"/>
        <v>39613.135706666697</v>
      </c>
      <c r="AA89" s="424">
        <v>33825.986562666702</v>
      </c>
      <c r="AB89" s="436">
        <f t="shared" si="94"/>
        <v>5787.14914400001</v>
      </c>
      <c r="AC89" s="436" t="s">
        <v>204</v>
      </c>
      <c r="AD89" s="436"/>
      <c r="AE89" s="436"/>
    </row>
    <row r="90" spans="1:31" ht="18" x14ac:dyDescent="0.2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" x14ac:dyDescent="0.2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" x14ac:dyDescent="0.15">
      <c r="A92" s="421">
        <v>78</v>
      </c>
      <c r="B92" s="18" t="s">
        <v>207</v>
      </c>
      <c r="C92" s="424"/>
      <c r="AC92" s="436"/>
      <c r="AD92" s="436"/>
      <c r="AE92" s="436"/>
    </row>
    <row r="93" spans="1:31" ht="31.5" x14ac:dyDescent="0.2">
      <c r="A93" s="421">
        <v>79</v>
      </c>
      <c r="B93" s="12" t="s">
        <v>208</v>
      </c>
      <c r="C93" s="424">
        <v>1452042.67</v>
      </c>
      <c r="D93" s="423">
        <v>12</v>
      </c>
      <c r="E93" s="424">
        <f t="shared" ref="E93:E96" si="95"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 t="shared" ref="I93:I96" si="96">E93-F93-G93-H93</f>
        <v>16113755.125800001</v>
      </c>
      <c r="J93" s="424">
        <v>200000</v>
      </c>
      <c r="K93" s="424">
        <v>0.2</v>
      </c>
      <c r="L93" s="424">
        <f t="shared" ref="L93:L96" si="97">I93*K93</f>
        <v>3222751.0251600002</v>
      </c>
      <c r="M93" s="424">
        <f t="shared" ref="M93:M96" si="98">J93+L93</f>
        <v>3422751.0251600002</v>
      </c>
      <c r="N93" s="424">
        <f t="shared" ref="N93:N96" si="99">F93+G93+H93+M93</f>
        <v>4733507.9393600002</v>
      </c>
      <c r="O93" s="424">
        <f t="shared" ref="O93:O96" si="100">E93-N93</f>
        <v>12691004.100640001</v>
      </c>
      <c r="P93" s="424">
        <f t="shared" ref="P93:P96" si="101">IF(O93&lt;300000,0.07*O93,21000)</f>
        <v>21000</v>
      </c>
      <c r="Q93" s="424">
        <f t="shared" ref="Q93:Q96" si="102">IF((O93-300000)&lt;0,0,IF((O93-300000)&lt;300000,0.11*(O93-300000),33000))</f>
        <v>33000</v>
      </c>
      <c r="R93" s="424">
        <f t="shared" ref="R93:R96" si="103">IF((O93-600000)&lt;0,0,IF((O93-600000)&lt;500000,0.15*(O93-600000),75000))</f>
        <v>75000</v>
      </c>
      <c r="S93" s="424">
        <f t="shared" ref="S93:S96" si="104">IF((O93-1100000)&lt;0,0,IF((O93-1100000)&lt;500000,0.19*(O93-1100000),95000))</f>
        <v>95000</v>
      </c>
      <c r="T93" s="424">
        <f t="shared" ref="T93:T96" si="105">IF((O93-1600000)&lt;0,0,IF((O93-1600000)&lt;1600000,0.21*(O93-1600000),336000))</f>
        <v>336000</v>
      </c>
      <c r="U93" s="424">
        <f t="shared" ref="U93:U95" si="106">24%*(O93-3200000)</f>
        <v>2277840.9841535999</v>
      </c>
      <c r="V93" s="424">
        <f t="shared" ref="V93:V96" si="107">P93+Q93+R93+S93+T93+U93</f>
        <v>2837840.9841535999</v>
      </c>
      <c r="W93" s="431">
        <v>12</v>
      </c>
      <c r="X93" s="424">
        <f t="shared" ref="X93:X96" si="108">V93/W93</f>
        <v>236486.74867946701</v>
      </c>
      <c r="Y93" s="427"/>
      <c r="Z93" s="424">
        <f t="shared" ref="Z93:Z96" si="109">X93</f>
        <v>236486.74867946701</v>
      </c>
      <c r="AA93" s="436">
        <v>82423.216202666707</v>
      </c>
      <c r="AB93" s="436">
        <f t="shared" ref="AB93:AB96" si="110">Z93-AA93</f>
        <v>154063.5324768</v>
      </c>
      <c r="AC93" s="436" t="s">
        <v>208</v>
      </c>
      <c r="AD93" s="436"/>
      <c r="AE93" s="436"/>
    </row>
    <row r="94" spans="1:31" ht="18" x14ac:dyDescent="0.15">
      <c r="A94" s="421">
        <v>80</v>
      </c>
      <c r="B94" s="9" t="s">
        <v>211</v>
      </c>
      <c r="C94" s="424">
        <v>526622.25</v>
      </c>
      <c r="D94" s="423">
        <v>12</v>
      </c>
      <c r="E94" s="424">
        <f t="shared" si="95"/>
        <v>6319467</v>
      </c>
      <c r="F94" s="424"/>
      <c r="G94" s="425">
        <v>438357.36</v>
      </c>
      <c r="H94" s="427"/>
      <c r="I94" s="424">
        <f t="shared" si="96"/>
        <v>5881109.6399999997</v>
      </c>
      <c r="J94" s="424">
        <v>200000</v>
      </c>
      <c r="K94" s="424">
        <v>0.2</v>
      </c>
      <c r="L94" s="424">
        <f t="shared" si="97"/>
        <v>1176221.9280000001</v>
      </c>
      <c r="M94" s="424">
        <f t="shared" si="98"/>
        <v>1376221.9280000001</v>
      </c>
      <c r="N94" s="424">
        <f t="shared" si="99"/>
        <v>1814579.2879999999</v>
      </c>
      <c r="O94" s="424">
        <f t="shared" si="100"/>
        <v>4504887.7120000003</v>
      </c>
      <c r="P94" s="424">
        <f t="shared" si="101"/>
        <v>21000</v>
      </c>
      <c r="Q94" s="424">
        <f t="shared" si="102"/>
        <v>33000</v>
      </c>
      <c r="R94" s="424">
        <f t="shared" si="103"/>
        <v>75000</v>
      </c>
      <c r="S94" s="424">
        <f t="shared" si="104"/>
        <v>95000</v>
      </c>
      <c r="T94" s="424">
        <f t="shared" si="105"/>
        <v>336000</v>
      </c>
      <c r="U94" s="424">
        <f t="shared" si="106"/>
        <v>313173.05088</v>
      </c>
      <c r="V94" s="424">
        <f t="shared" si="107"/>
        <v>873173.05088</v>
      </c>
      <c r="W94" s="431">
        <v>12</v>
      </c>
      <c r="X94" s="424">
        <f t="shared" si="108"/>
        <v>72764.420906666695</v>
      </c>
      <c r="Y94" s="427"/>
      <c r="Z94" s="424">
        <f t="shared" si="109"/>
        <v>72764.420906666695</v>
      </c>
      <c r="AA94" s="436">
        <v>82627.951418666693</v>
      </c>
      <c r="AB94" s="436">
        <f t="shared" si="110"/>
        <v>-9863.5305120000394</v>
      </c>
      <c r="AC94" s="436" t="s">
        <v>211</v>
      </c>
      <c r="AD94" s="436"/>
      <c r="AE94" s="436"/>
    </row>
    <row r="95" spans="1:31" ht="31.5" x14ac:dyDescent="0.2">
      <c r="A95" s="421">
        <v>81</v>
      </c>
      <c r="B95" s="9" t="s">
        <v>217</v>
      </c>
      <c r="C95" s="424">
        <v>437895.16666666698</v>
      </c>
      <c r="D95" s="423">
        <v>12</v>
      </c>
      <c r="E95" s="424">
        <f t="shared" si="95"/>
        <v>5254742</v>
      </c>
      <c r="F95" s="424"/>
      <c r="G95" s="425">
        <v>362779.36</v>
      </c>
      <c r="H95" s="427"/>
      <c r="I95" s="424">
        <f t="shared" si="96"/>
        <v>4891962.6399999997</v>
      </c>
      <c r="J95" s="424">
        <v>200000</v>
      </c>
      <c r="K95" s="424">
        <v>0.2</v>
      </c>
      <c r="L95" s="424">
        <f t="shared" si="97"/>
        <v>978392.52800000098</v>
      </c>
      <c r="M95" s="424">
        <f t="shared" si="98"/>
        <v>1178392.5279999999</v>
      </c>
      <c r="N95" s="424">
        <f t="shared" si="99"/>
        <v>1541171.888</v>
      </c>
      <c r="O95" s="424">
        <f t="shared" si="100"/>
        <v>3713570.1120000002</v>
      </c>
      <c r="P95" s="424">
        <f t="shared" si="101"/>
        <v>21000</v>
      </c>
      <c r="Q95" s="424">
        <f t="shared" si="102"/>
        <v>33000</v>
      </c>
      <c r="R95" s="424">
        <f t="shared" si="103"/>
        <v>75000</v>
      </c>
      <c r="S95" s="424">
        <f t="shared" si="104"/>
        <v>95000</v>
      </c>
      <c r="T95" s="424">
        <f t="shared" si="105"/>
        <v>336000</v>
      </c>
      <c r="U95" s="424">
        <f t="shared" si="106"/>
        <v>123256.826880001</v>
      </c>
      <c r="V95" s="424">
        <f t="shared" si="107"/>
        <v>683256.826880001</v>
      </c>
      <c r="W95" s="431">
        <v>12</v>
      </c>
      <c r="X95" s="424">
        <f t="shared" si="108"/>
        <v>56938.068906666696</v>
      </c>
      <c r="Y95" s="427"/>
      <c r="Z95" s="424">
        <f t="shared" si="109"/>
        <v>56938.068906666696</v>
      </c>
      <c r="AA95" s="436">
        <v>43492.373376666699</v>
      </c>
      <c r="AB95" s="436">
        <f t="shared" si="110"/>
        <v>13445.695530000001</v>
      </c>
      <c r="AC95" s="436" t="s">
        <v>217</v>
      </c>
      <c r="AD95" s="436"/>
      <c r="AE95" s="436"/>
    </row>
    <row r="96" spans="1:31" ht="18" x14ac:dyDescent="0.15">
      <c r="A96" s="421"/>
      <c r="B96" s="9" t="s">
        <v>219</v>
      </c>
      <c r="C96" s="424">
        <v>360965.58333333302</v>
      </c>
      <c r="D96" s="423">
        <v>12</v>
      </c>
      <c r="E96" s="424">
        <f t="shared" si="95"/>
        <v>4331587</v>
      </c>
      <c r="F96" s="424"/>
      <c r="G96" s="425">
        <v>288926.96000000002</v>
      </c>
      <c r="H96" s="427"/>
      <c r="I96" s="424">
        <f t="shared" si="96"/>
        <v>4042660.04</v>
      </c>
      <c r="J96" s="424">
        <v>200000</v>
      </c>
      <c r="K96" s="424">
        <v>0.2</v>
      </c>
      <c r="L96" s="424">
        <f t="shared" si="97"/>
        <v>808532.00799999898</v>
      </c>
      <c r="M96" s="424">
        <f t="shared" si="98"/>
        <v>1008532.008</v>
      </c>
      <c r="N96" s="424">
        <f t="shared" si="99"/>
        <v>1297458.9680000001</v>
      </c>
      <c r="O96" s="424">
        <f t="shared" si="100"/>
        <v>3034128.0320000001</v>
      </c>
      <c r="P96" s="424">
        <f t="shared" si="101"/>
        <v>21000</v>
      </c>
      <c r="Q96" s="424">
        <f t="shared" si="102"/>
        <v>33000</v>
      </c>
      <c r="R96" s="424">
        <f t="shared" si="103"/>
        <v>75000</v>
      </c>
      <c r="S96" s="424">
        <f t="shared" si="104"/>
        <v>95000</v>
      </c>
      <c r="T96" s="424">
        <f t="shared" si="105"/>
        <v>301166.88671999902</v>
      </c>
      <c r="U96" s="424"/>
      <c r="V96" s="424">
        <f t="shared" si="107"/>
        <v>525166.88671999902</v>
      </c>
      <c r="W96" s="431">
        <v>12</v>
      </c>
      <c r="X96" s="424">
        <f t="shared" si="108"/>
        <v>43763.907226666597</v>
      </c>
      <c r="Y96" s="427"/>
      <c r="Z96" s="424">
        <f t="shared" si="109"/>
        <v>43763.907226666597</v>
      </c>
      <c r="AA96" s="436">
        <v>34968.882414666703</v>
      </c>
      <c r="AB96" s="436">
        <f t="shared" si="110"/>
        <v>8795.0248119999105</v>
      </c>
      <c r="AC96" s="436" t="s">
        <v>219</v>
      </c>
      <c r="AD96" s="436"/>
      <c r="AE96" s="436"/>
    </row>
    <row r="97" spans="1:31" ht="18" x14ac:dyDescent="0.1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" x14ac:dyDescent="0.2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1.5" x14ac:dyDescent="0.2">
      <c r="A99" s="421">
        <v>84</v>
      </c>
      <c r="B99" s="18" t="s">
        <v>221</v>
      </c>
      <c r="C99" s="424"/>
      <c r="G99" s="259">
        <v>0</v>
      </c>
      <c r="AB99" s="259" t="s">
        <v>648</v>
      </c>
      <c r="AC99" s="436"/>
      <c r="AD99" s="436"/>
      <c r="AE99" s="436"/>
    </row>
    <row r="100" spans="1:31" ht="18" x14ac:dyDescent="0.15">
      <c r="A100" s="421">
        <v>85</v>
      </c>
      <c r="B100" s="9" t="s">
        <v>222</v>
      </c>
      <c r="C100" s="424">
        <v>1635720</v>
      </c>
      <c r="D100" s="423">
        <v>12</v>
      </c>
      <c r="E100" s="424">
        <f t="shared" ref="E100:E106" si="111">C100*D100</f>
        <v>19628640</v>
      </c>
      <c r="F100" s="424"/>
      <c r="G100" s="425">
        <v>1378291.2</v>
      </c>
      <c r="H100" s="427"/>
      <c r="I100" s="424">
        <f t="shared" ref="I100:I105" si="112">E100-F100-G100-H100</f>
        <v>18250348.800000001</v>
      </c>
      <c r="J100" s="424">
        <v>200000</v>
      </c>
      <c r="K100" s="424">
        <v>0.2</v>
      </c>
      <c r="L100" s="424">
        <f t="shared" ref="L100:L106" si="113">I100*K100</f>
        <v>3650069.76</v>
      </c>
      <c r="M100" s="424">
        <f t="shared" ref="M100:M106" si="114">J100+L100</f>
        <v>3850069.76</v>
      </c>
      <c r="N100" s="424">
        <f t="shared" ref="N100:N105" si="115">F100+G100+H100+M100</f>
        <v>5228360.96</v>
      </c>
      <c r="O100" s="424">
        <f t="shared" ref="O100:O106" si="116">E100-N100</f>
        <v>14400279.039999999</v>
      </c>
      <c r="P100" s="424">
        <f t="shared" ref="P100:P106" si="117">IF(O100&lt;300000,0.07*O100,21000)</f>
        <v>21000</v>
      </c>
      <c r="Q100" s="424">
        <f t="shared" ref="Q100:Q106" si="118">IF((O100-300000)&lt;0,0,IF((O100-300000)&lt;300000,0.11*(O100-300000),33000))</f>
        <v>33000</v>
      </c>
      <c r="R100" s="424">
        <f t="shared" ref="R100:R106" si="119">IF((O100-600000)&lt;0,0,IF((O100-600000)&lt;500000,0.15*(O100-600000),75000))</f>
        <v>75000</v>
      </c>
      <c r="S100" s="424">
        <f t="shared" ref="S100:S106" si="120">IF((O100-1100000)&lt;0,0,IF((O100-1100000)&lt;500000,0.19*(O100-1100000),95000))</f>
        <v>95000</v>
      </c>
      <c r="T100" s="424">
        <f t="shared" ref="T100:T106" si="121">IF((O100-1600000)&lt;0,0,IF((O100-1600000)&lt;1600000,0.21*(O100-1600000),336000))</f>
        <v>336000</v>
      </c>
      <c r="U100" s="424">
        <f t="shared" ref="U100:U102" si="122">24%*(O100-3200000)</f>
        <v>2688066.9696</v>
      </c>
      <c r="V100" s="424">
        <f t="shared" ref="V100:V106" si="123">P100+Q100+R100+S100+T100+U100</f>
        <v>3248066.9696</v>
      </c>
      <c r="W100" s="431">
        <v>12</v>
      </c>
      <c r="X100" s="424">
        <f t="shared" ref="X100:X106" si="124">V100/W100</f>
        <v>270672.24746666697</v>
      </c>
      <c r="Y100" s="427"/>
      <c r="Z100" s="424">
        <f t="shared" ref="Z100:Z106" si="125">X100</f>
        <v>270672.24746666697</v>
      </c>
      <c r="AA100" s="436">
        <v>180306.806858667</v>
      </c>
      <c r="AB100" s="436">
        <f t="shared" ref="AB100:AB106" si="126">Z100-AA100</f>
        <v>90365.440607999597</v>
      </c>
      <c r="AC100" s="436" t="s">
        <v>222</v>
      </c>
      <c r="AD100" s="436"/>
      <c r="AE100" s="436"/>
    </row>
    <row r="101" spans="1:31" ht="18" x14ac:dyDescent="0.15">
      <c r="A101" s="421">
        <v>86</v>
      </c>
      <c r="B101" s="9" t="s">
        <v>224</v>
      </c>
      <c r="C101" s="424">
        <v>942373.16666666698</v>
      </c>
      <c r="D101" s="423">
        <v>12</v>
      </c>
      <c r="E101" s="424">
        <f t="shared" si="111"/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112"/>
        <v>10563803.809</v>
      </c>
      <c r="J101" s="424">
        <v>200000</v>
      </c>
      <c r="K101" s="424">
        <v>0.2</v>
      </c>
      <c r="L101" s="424">
        <f t="shared" si="113"/>
        <v>2112760.7618</v>
      </c>
      <c r="M101" s="424">
        <f t="shared" si="114"/>
        <v>2312760.7618</v>
      </c>
      <c r="N101" s="424">
        <f t="shared" si="115"/>
        <v>3057434.9528000001</v>
      </c>
      <c r="O101" s="424">
        <f t="shared" si="116"/>
        <v>8251043.0471999999</v>
      </c>
      <c r="P101" s="424">
        <f t="shared" si="117"/>
        <v>21000</v>
      </c>
      <c r="Q101" s="424">
        <f t="shared" si="118"/>
        <v>33000</v>
      </c>
      <c r="R101" s="424">
        <f t="shared" si="119"/>
        <v>75000</v>
      </c>
      <c r="S101" s="424">
        <f t="shared" si="120"/>
        <v>95000</v>
      </c>
      <c r="T101" s="424">
        <f t="shared" si="121"/>
        <v>336000</v>
      </c>
      <c r="U101" s="424">
        <f t="shared" si="122"/>
        <v>1212250.3313279999</v>
      </c>
      <c r="V101" s="424">
        <f t="shared" si="123"/>
        <v>1772250.3313279999</v>
      </c>
      <c r="W101" s="431">
        <v>12</v>
      </c>
      <c r="X101" s="424">
        <f t="shared" si="124"/>
        <v>147687.52761066699</v>
      </c>
      <c r="Y101" s="427"/>
      <c r="Z101" s="424">
        <f t="shared" si="125"/>
        <v>147687.52761066699</v>
      </c>
      <c r="AA101" s="436">
        <v>99703.216202666707</v>
      </c>
      <c r="AB101" s="436">
        <f t="shared" si="126"/>
        <v>47984.311408000001</v>
      </c>
      <c r="AC101" s="436" t="s">
        <v>224</v>
      </c>
      <c r="AD101" s="436"/>
      <c r="AE101" s="436"/>
    </row>
    <row r="102" spans="1:31" ht="18" x14ac:dyDescent="0.15">
      <c r="A102" s="421">
        <v>87</v>
      </c>
      <c r="B102" s="9" t="s">
        <v>226</v>
      </c>
      <c r="C102" s="424">
        <v>700086.5</v>
      </c>
      <c r="D102" s="423">
        <v>12</v>
      </c>
      <c r="E102" s="424">
        <f t="shared" si="111"/>
        <v>8401038</v>
      </c>
      <c r="F102" s="424">
        <f>'[8]JANUARY 2024'!$V$107*12</f>
        <v>7901.79</v>
      </c>
      <c r="G102" s="425">
        <v>424132.72</v>
      </c>
      <c r="H102" s="427"/>
      <c r="I102" s="424">
        <f t="shared" si="112"/>
        <v>7969003.4900000002</v>
      </c>
      <c r="J102" s="424">
        <v>200000</v>
      </c>
      <c r="K102" s="424">
        <v>0.2</v>
      </c>
      <c r="L102" s="424">
        <f t="shared" si="113"/>
        <v>1593800.6980000001</v>
      </c>
      <c r="M102" s="424">
        <f t="shared" si="114"/>
        <v>1793800.6980000001</v>
      </c>
      <c r="N102" s="424">
        <f t="shared" si="115"/>
        <v>2225835.2080000001</v>
      </c>
      <c r="O102" s="424">
        <f t="shared" si="116"/>
        <v>6175202.7920000004</v>
      </c>
      <c r="P102" s="424">
        <f t="shared" si="117"/>
        <v>21000</v>
      </c>
      <c r="Q102" s="424">
        <f t="shared" si="118"/>
        <v>33000</v>
      </c>
      <c r="R102" s="424">
        <f t="shared" si="119"/>
        <v>75000</v>
      </c>
      <c r="S102" s="424">
        <f t="shared" si="120"/>
        <v>95000</v>
      </c>
      <c r="T102" s="424">
        <f t="shared" si="121"/>
        <v>336000</v>
      </c>
      <c r="U102" s="424">
        <f t="shared" si="122"/>
        <v>714048.67007999995</v>
      </c>
      <c r="V102" s="424">
        <f t="shared" si="123"/>
        <v>1274048.6700800001</v>
      </c>
      <c r="W102" s="431">
        <v>12</v>
      </c>
      <c r="X102" s="424">
        <f t="shared" si="124"/>
        <v>106170.72250666701</v>
      </c>
      <c r="Y102" s="427"/>
      <c r="Z102" s="424">
        <f t="shared" si="125"/>
        <v>106170.72250666701</v>
      </c>
      <c r="AA102" s="436">
        <v>180180.378218667</v>
      </c>
      <c r="AB102" s="436">
        <f t="shared" si="126"/>
        <v>-74009.655712000298</v>
      </c>
      <c r="AC102" s="436" t="s">
        <v>226</v>
      </c>
      <c r="AD102" s="436"/>
      <c r="AE102" s="436"/>
    </row>
    <row r="103" spans="1:31" ht="18" x14ac:dyDescent="0.15">
      <c r="A103" s="421">
        <v>88</v>
      </c>
      <c r="B103" s="9" t="s">
        <v>228</v>
      </c>
      <c r="C103" s="424">
        <v>601625.033321667</v>
      </c>
      <c r="D103" s="423">
        <v>12</v>
      </c>
      <c r="E103" s="424">
        <f t="shared" si="111"/>
        <v>7219500.3998600002</v>
      </c>
      <c r="F103" s="424"/>
      <c r="G103" s="425">
        <v>424132.72</v>
      </c>
      <c r="H103" s="427"/>
      <c r="I103" s="424">
        <f t="shared" si="112"/>
        <v>6795367.6798599996</v>
      </c>
      <c r="J103" s="424">
        <v>200000</v>
      </c>
      <c r="K103" s="424">
        <v>0.2</v>
      </c>
      <c r="L103" s="424">
        <f t="shared" si="113"/>
        <v>1359073.5359720001</v>
      </c>
      <c r="M103" s="424">
        <f t="shared" si="114"/>
        <v>1559073.5359720001</v>
      </c>
      <c r="N103" s="424">
        <f t="shared" si="115"/>
        <v>1983206.2559720001</v>
      </c>
      <c r="O103" s="424">
        <f t="shared" si="116"/>
        <v>5236294.1438880004</v>
      </c>
      <c r="P103" s="424">
        <f t="shared" si="117"/>
        <v>21000</v>
      </c>
      <c r="Q103" s="424">
        <f t="shared" si="118"/>
        <v>33000</v>
      </c>
      <c r="R103" s="424">
        <f t="shared" si="119"/>
        <v>75000</v>
      </c>
      <c r="S103" s="424">
        <f t="shared" si="120"/>
        <v>95000</v>
      </c>
      <c r="T103" s="424">
        <f t="shared" si="121"/>
        <v>336000</v>
      </c>
      <c r="U103" s="424">
        <f>0.24*(O103-3200000)</f>
        <v>488710.59453312098</v>
      </c>
      <c r="V103" s="424">
        <f t="shared" si="123"/>
        <v>1048710.59453312</v>
      </c>
      <c r="W103" s="431">
        <v>12</v>
      </c>
      <c r="X103" s="424">
        <f t="shared" si="124"/>
        <v>87392.5495444267</v>
      </c>
      <c r="Y103" s="427"/>
      <c r="Z103" s="424">
        <f t="shared" si="125"/>
        <v>87392.5495444267</v>
      </c>
      <c r="AA103" s="436">
        <v>99907.951418666693</v>
      </c>
      <c r="AB103" s="436">
        <f t="shared" si="126"/>
        <v>-12515.40187424</v>
      </c>
      <c r="AC103" s="436" t="s">
        <v>228</v>
      </c>
      <c r="AD103" s="436"/>
      <c r="AE103" s="436"/>
    </row>
    <row r="104" spans="1:31" ht="18" x14ac:dyDescent="0.15">
      <c r="A104" s="421">
        <v>89</v>
      </c>
      <c r="B104" s="9" t="s">
        <v>230</v>
      </c>
      <c r="C104" s="424">
        <v>374481.86414666701</v>
      </c>
      <c r="D104" s="423">
        <v>12</v>
      </c>
      <c r="E104" s="424">
        <f t="shared" si="111"/>
        <v>4493782.3697600001</v>
      </c>
      <c r="F104" s="424"/>
      <c r="G104" s="425">
        <v>239182.48</v>
      </c>
      <c r="H104" s="427"/>
      <c r="I104" s="424">
        <f t="shared" si="112"/>
        <v>4254599.8897599997</v>
      </c>
      <c r="J104" s="424">
        <v>200000</v>
      </c>
      <c r="K104" s="424">
        <v>0.2</v>
      </c>
      <c r="L104" s="424">
        <f t="shared" si="113"/>
        <v>850919.97795200103</v>
      </c>
      <c r="M104" s="424">
        <f t="shared" si="114"/>
        <v>1050919.977952</v>
      </c>
      <c r="N104" s="424">
        <f t="shared" si="115"/>
        <v>1290102.457952</v>
      </c>
      <c r="O104" s="424">
        <f t="shared" si="116"/>
        <v>3203679.9118079999</v>
      </c>
      <c r="P104" s="424">
        <f t="shared" si="117"/>
        <v>21000</v>
      </c>
      <c r="Q104" s="424">
        <f t="shared" si="118"/>
        <v>33000</v>
      </c>
      <c r="R104" s="424">
        <f t="shared" si="119"/>
        <v>75000</v>
      </c>
      <c r="S104" s="424">
        <f t="shared" si="120"/>
        <v>95000</v>
      </c>
      <c r="T104" s="424">
        <f t="shared" si="121"/>
        <v>336000</v>
      </c>
      <c r="U104" s="424">
        <f>0.24*(O104-3200000)</f>
        <v>883.17883392076897</v>
      </c>
      <c r="V104" s="424">
        <f t="shared" si="123"/>
        <v>560883.17883392097</v>
      </c>
      <c r="W104" s="431">
        <v>12</v>
      </c>
      <c r="X104" s="424">
        <f t="shared" si="124"/>
        <v>46740.264902826697</v>
      </c>
      <c r="Y104" s="427"/>
      <c r="Z104" s="424">
        <f t="shared" si="125"/>
        <v>46740.264902826697</v>
      </c>
      <c r="AA104" s="436">
        <v>58941.101743466701</v>
      </c>
      <c r="AB104" s="436">
        <f t="shared" si="126"/>
        <v>-12200.83684064</v>
      </c>
      <c r="AC104" s="436" t="s">
        <v>230</v>
      </c>
      <c r="AD104" s="436"/>
      <c r="AE104" s="436"/>
    </row>
    <row r="105" spans="1:31" ht="31.5" x14ac:dyDescent="0.2">
      <c r="A105" s="421"/>
      <c r="B105" s="16" t="s">
        <v>233</v>
      </c>
      <c r="C105" s="424">
        <v>588275.17122000002</v>
      </c>
      <c r="D105" s="423">
        <v>12</v>
      </c>
      <c r="E105" s="424">
        <f t="shared" si="111"/>
        <v>7059302.0546399998</v>
      </c>
      <c r="F105" s="424"/>
      <c r="G105" s="425">
        <v>233257.2</v>
      </c>
      <c r="H105" s="427"/>
      <c r="I105" s="424">
        <f t="shared" si="112"/>
        <v>6826044.8546399996</v>
      </c>
      <c r="J105" s="424">
        <v>200000</v>
      </c>
      <c r="K105" s="424">
        <v>0.2</v>
      </c>
      <c r="L105" s="424">
        <f t="shared" si="113"/>
        <v>1365208.9709280001</v>
      </c>
      <c r="M105" s="424">
        <f t="shared" si="114"/>
        <v>1565208.9709280001</v>
      </c>
      <c r="N105" s="424">
        <f t="shared" si="115"/>
        <v>1798466.170928</v>
      </c>
      <c r="O105" s="424">
        <f t="shared" si="116"/>
        <v>5260835.8837120002</v>
      </c>
      <c r="P105" s="424">
        <f t="shared" si="117"/>
        <v>21000</v>
      </c>
      <c r="Q105" s="424">
        <f t="shared" si="118"/>
        <v>33000</v>
      </c>
      <c r="R105" s="424">
        <f t="shared" si="119"/>
        <v>75000</v>
      </c>
      <c r="S105" s="424">
        <f t="shared" si="120"/>
        <v>95000</v>
      </c>
      <c r="T105" s="424">
        <f t="shared" si="121"/>
        <v>336000</v>
      </c>
      <c r="U105" s="424">
        <f>0.24*(O105-3200000)</f>
        <v>494600.61209087999</v>
      </c>
      <c r="V105" s="424">
        <f t="shared" si="123"/>
        <v>1054600.6120908801</v>
      </c>
      <c r="W105" s="431">
        <v>12</v>
      </c>
      <c r="X105" s="424">
        <f t="shared" si="124"/>
        <v>87883.384340906603</v>
      </c>
      <c r="Y105" s="427"/>
      <c r="Z105" s="424">
        <f t="shared" si="125"/>
        <v>87883.384340906603</v>
      </c>
      <c r="AA105" s="436">
        <v>58631.439944426696</v>
      </c>
      <c r="AB105" s="436">
        <f t="shared" si="126"/>
        <v>29251.944396480001</v>
      </c>
      <c r="AC105" s="436" t="s">
        <v>233</v>
      </c>
      <c r="AD105" s="436"/>
      <c r="AE105" s="436"/>
    </row>
    <row r="106" spans="1:31" ht="18" x14ac:dyDescent="0.15">
      <c r="A106" s="421"/>
      <c r="B106" s="16" t="s">
        <v>234</v>
      </c>
      <c r="C106" s="424">
        <v>355198.112111667</v>
      </c>
      <c r="D106" s="423">
        <v>12</v>
      </c>
      <c r="E106" s="424">
        <f t="shared" si="11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113"/>
        <v>808194.14106800104</v>
      </c>
      <c r="M106" s="424">
        <f t="shared" si="114"/>
        <v>1008194.141068</v>
      </c>
      <c r="N106" s="424">
        <f>F107+G106+H106+M106</f>
        <v>1229600.781068</v>
      </c>
      <c r="O106" s="424">
        <f t="shared" si="116"/>
        <v>3032776.564272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300883.07849712099</v>
      </c>
      <c r="U106" s="424"/>
      <c r="V106" s="424">
        <f t="shared" si="123"/>
        <v>524883.07849712099</v>
      </c>
      <c r="W106" s="431">
        <v>12</v>
      </c>
      <c r="X106" s="424">
        <f t="shared" si="124"/>
        <v>43740.256541426701</v>
      </c>
      <c r="Y106" s="427"/>
      <c r="Z106" s="424">
        <f t="shared" si="125"/>
        <v>43740.256541426701</v>
      </c>
      <c r="AA106" s="436">
        <v>31871.335203306699</v>
      </c>
      <c r="AB106" s="436">
        <f t="shared" si="126"/>
        <v>11868.921338120001</v>
      </c>
      <c r="AC106" s="436" t="s">
        <v>234</v>
      </c>
      <c r="AD106" s="436"/>
      <c r="AE106" s="436"/>
    </row>
    <row r="107" spans="1:31" ht="18" x14ac:dyDescent="0.1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" x14ac:dyDescent="0.2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1.5" x14ac:dyDescent="0.2">
      <c r="A109" s="421">
        <v>91</v>
      </c>
      <c r="B109" s="18" t="s">
        <v>235</v>
      </c>
      <c r="C109" s="424"/>
      <c r="G109" s="425"/>
      <c r="U109" s="424"/>
      <c r="AC109" s="436"/>
      <c r="AD109" s="436"/>
      <c r="AE109" s="436"/>
    </row>
    <row r="110" spans="1:31" ht="31.5" x14ac:dyDescent="0.2">
      <c r="A110" s="421">
        <v>92</v>
      </c>
      <c r="B110" s="12" t="s">
        <v>152</v>
      </c>
      <c r="C110" s="424">
        <v>888080.26666666695</v>
      </c>
      <c r="D110" s="423">
        <v>12</v>
      </c>
      <c r="E110" s="424">
        <f t="shared" ref="E110:E112" si="127">C110*D110</f>
        <v>10656963.199999999</v>
      </c>
      <c r="F110" s="424">
        <f>'[8]JANUARY 2024'!$V$115*12</f>
        <v>9678.9599999999991</v>
      </c>
      <c r="G110" s="425">
        <v>577340.96</v>
      </c>
      <c r="H110" s="427"/>
      <c r="I110" s="424">
        <f t="shared" ref="I110:I112" si="128">E110-F110-G110-H110</f>
        <v>10069943.279999999</v>
      </c>
      <c r="J110" s="424">
        <v>200000</v>
      </c>
      <c r="K110" s="424">
        <v>0.2</v>
      </c>
      <c r="L110" s="424">
        <f t="shared" ref="L110:L112" si="129">I110*K110</f>
        <v>2013988.656</v>
      </c>
      <c r="M110" s="424">
        <f t="shared" ref="M110:M112" si="130">J110+L110</f>
        <v>2213988.656</v>
      </c>
      <c r="N110" s="424">
        <f t="shared" ref="N110:N112" si="131">F110+G110+H110+M110</f>
        <v>2801008.5759999999</v>
      </c>
      <c r="O110" s="424">
        <f t="shared" ref="O110:O112" si="132">E110-N110</f>
        <v>7855954.6239999998</v>
      </c>
      <c r="P110" s="424">
        <f t="shared" ref="P110:P112" si="133">IF(O110&lt;300000,0.07*O110,21000)</f>
        <v>21000</v>
      </c>
      <c r="Q110" s="424">
        <f t="shared" ref="Q110:Q112" si="134">IF((O110-300000)&lt;0,0,IF((O110-300000)&lt;300000,0.11*(O110-300000),33000))</f>
        <v>33000</v>
      </c>
      <c r="R110" s="424">
        <f t="shared" ref="R110:R112" si="135">IF((O110-600000)&lt;0,0,IF((O110-600000)&lt;500000,0.15*(O110-600000),75000))</f>
        <v>75000</v>
      </c>
      <c r="S110" s="424">
        <f t="shared" ref="S110:S112" si="136">IF((O110-1100000)&lt;0,0,IF((O110-1100000)&lt;500000,0.19*(O110-1100000),95000))</f>
        <v>95000</v>
      </c>
      <c r="T110" s="424">
        <f t="shared" ref="T110:T112" si="137">IF((O110-1600000)&lt;0,0,IF((O110-1600000)&lt;1600000,0.21*(O110-1600000),336000))</f>
        <v>336000</v>
      </c>
      <c r="U110" s="424">
        <f t="shared" ref="U110:U112" si="138">0.24*(O110-3200000)</f>
        <v>1117429.1097599999</v>
      </c>
      <c r="V110" s="424">
        <f t="shared" ref="V110:V112" si="139">P110+Q110+R110+S110+T110+U110</f>
        <v>1677429.1097599999</v>
      </c>
      <c r="W110" s="431">
        <v>12</v>
      </c>
      <c r="X110" s="424">
        <f t="shared" ref="X110:X112" si="140">V110/W110</f>
        <v>139785.759146667</v>
      </c>
      <c r="Y110" s="427"/>
      <c r="Z110" s="424">
        <f t="shared" ref="Z110:Z112" si="141">X110</f>
        <v>139785.759146667</v>
      </c>
      <c r="AA110" s="436">
        <v>77610.116906666706</v>
      </c>
      <c r="AB110" s="436">
        <f t="shared" ref="AB110:AB112" si="142">Z110-AA110</f>
        <v>62175.642240000001</v>
      </c>
      <c r="AC110" s="436"/>
      <c r="AD110" s="436"/>
      <c r="AE110" s="436"/>
    </row>
    <row r="111" spans="1:31" ht="18" x14ac:dyDescent="0.15">
      <c r="A111" s="421">
        <v>93</v>
      </c>
      <c r="B111" s="9" t="s">
        <v>236</v>
      </c>
      <c r="C111" s="424">
        <v>487895.16666666698</v>
      </c>
      <c r="D111" s="423">
        <v>12</v>
      </c>
      <c r="E111" s="424">
        <f t="shared" si="127"/>
        <v>5854742</v>
      </c>
      <c r="F111" s="424"/>
      <c r="G111" s="425">
        <v>362779.36</v>
      </c>
      <c r="H111" s="427"/>
      <c r="I111" s="424">
        <f t="shared" si="128"/>
        <v>5491962.6399999997</v>
      </c>
      <c r="J111" s="424">
        <v>200000</v>
      </c>
      <c r="K111" s="424">
        <v>0.2</v>
      </c>
      <c r="L111" s="424">
        <f t="shared" si="129"/>
        <v>1098392.5279999999</v>
      </c>
      <c r="M111" s="424">
        <f t="shared" si="130"/>
        <v>1298392.5279999999</v>
      </c>
      <c r="N111" s="424">
        <f t="shared" si="131"/>
        <v>1661171.888</v>
      </c>
      <c r="O111" s="424">
        <f t="shared" si="132"/>
        <v>4193570.1120000002</v>
      </c>
      <c r="P111" s="424">
        <f t="shared" si="133"/>
        <v>21000</v>
      </c>
      <c r="Q111" s="424">
        <f t="shared" si="134"/>
        <v>33000</v>
      </c>
      <c r="R111" s="424">
        <f t="shared" si="135"/>
        <v>75000</v>
      </c>
      <c r="S111" s="424">
        <f t="shared" si="136"/>
        <v>95000</v>
      </c>
      <c r="T111" s="424">
        <f t="shared" si="137"/>
        <v>336000</v>
      </c>
      <c r="U111" s="424">
        <f t="shared" si="138"/>
        <v>238456.826880001</v>
      </c>
      <c r="V111" s="424">
        <f t="shared" si="139"/>
        <v>798456.826880001</v>
      </c>
      <c r="W111" s="431">
        <v>12</v>
      </c>
      <c r="X111" s="424">
        <f t="shared" si="140"/>
        <v>66538.068906666696</v>
      </c>
      <c r="Y111" s="427"/>
      <c r="Z111" s="424">
        <f t="shared" si="141"/>
        <v>66538.068906666696</v>
      </c>
      <c r="AA111" s="436">
        <v>43368.882414666703</v>
      </c>
      <c r="AB111" s="436">
        <f t="shared" si="142"/>
        <v>23169.186492000001</v>
      </c>
      <c r="AC111" s="436"/>
      <c r="AD111" s="436"/>
      <c r="AE111" s="436"/>
    </row>
    <row r="112" spans="1:31" ht="18" x14ac:dyDescent="0.15">
      <c r="A112" s="421">
        <v>94</v>
      </c>
      <c r="B112" s="9" t="s">
        <v>177</v>
      </c>
      <c r="C112" s="430">
        <v>450086.5</v>
      </c>
      <c r="D112" s="423">
        <v>12</v>
      </c>
      <c r="E112" s="424">
        <f t="shared" si="127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 t="shared" si="128"/>
        <v>5019635.5049999999</v>
      </c>
      <c r="J112" s="424">
        <v>200000</v>
      </c>
      <c r="K112" s="424">
        <v>0.2</v>
      </c>
      <c r="L112" s="424">
        <f t="shared" si="129"/>
        <v>1003927.101</v>
      </c>
      <c r="M112" s="424">
        <f t="shared" si="130"/>
        <v>1203927.101</v>
      </c>
      <c r="N112" s="424">
        <f t="shared" si="131"/>
        <v>1585329.5959999999</v>
      </c>
      <c r="O112" s="424">
        <f t="shared" si="132"/>
        <v>3815708.4040000001</v>
      </c>
      <c r="P112" s="424">
        <f t="shared" si="133"/>
        <v>21000</v>
      </c>
      <c r="Q112" s="424">
        <f t="shared" si="134"/>
        <v>33000</v>
      </c>
      <c r="R112" s="424">
        <f t="shared" si="135"/>
        <v>75000</v>
      </c>
      <c r="S112" s="424">
        <f t="shared" si="136"/>
        <v>95000</v>
      </c>
      <c r="T112" s="424">
        <f t="shared" si="137"/>
        <v>336000</v>
      </c>
      <c r="U112" s="424">
        <f t="shared" si="138"/>
        <v>147770.01696000001</v>
      </c>
      <c r="V112" s="424">
        <f t="shared" si="139"/>
        <v>707770.01696000004</v>
      </c>
      <c r="W112" s="431">
        <v>12</v>
      </c>
      <c r="X112" s="424">
        <f t="shared" si="140"/>
        <v>58980.834746666696</v>
      </c>
      <c r="Y112" s="427"/>
      <c r="Z112" s="424">
        <f t="shared" si="141"/>
        <v>58980.834746666696</v>
      </c>
      <c r="AA112" s="436">
        <v>35221.954086666701</v>
      </c>
      <c r="AB112" s="436">
        <f t="shared" si="142"/>
        <v>23758.880659999999</v>
      </c>
      <c r="AC112" s="436"/>
      <c r="AD112" s="436"/>
      <c r="AE112" s="436"/>
    </row>
    <row r="113" spans="1:31" ht="18" x14ac:dyDescent="0.2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" x14ac:dyDescent="0.2">
      <c r="A114" s="421">
        <v>96</v>
      </c>
      <c r="B114" s="20"/>
      <c r="C114" s="424"/>
      <c r="U114" s="437"/>
      <c r="AC114" s="436"/>
      <c r="AD114" s="436"/>
      <c r="AE114" s="436"/>
    </row>
    <row r="115" spans="1:31" ht="18" x14ac:dyDescent="0.15">
      <c r="A115" s="421">
        <v>97</v>
      </c>
      <c r="B115" s="18" t="s">
        <v>250</v>
      </c>
      <c r="C115" s="424"/>
      <c r="U115" s="437"/>
      <c r="AC115" s="436"/>
      <c r="AD115" s="436"/>
      <c r="AE115" s="436"/>
    </row>
    <row r="116" spans="1:31" ht="18" x14ac:dyDescent="0.15">
      <c r="A116" s="421">
        <v>98</v>
      </c>
      <c r="B116" s="9" t="s">
        <v>251</v>
      </c>
      <c r="C116" s="424">
        <v>1635720</v>
      </c>
      <c r="D116" s="423">
        <v>12</v>
      </c>
      <c r="E116" s="424">
        <f t="shared" ref="E116:E125" si="143"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44">E116-F116-G116-H116</f>
        <v>18225826.794</v>
      </c>
      <c r="J116" s="424">
        <v>200000</v>
      </c>
      <c r="K116" s="424">
        <v>0.2</v>
      </c>
      <c r="L116" s="424">
        <f t="shared" ref="L116:L125" si="145">I116*K116</f>
        <v>3645165.3588</v>
      </c>
      <c r="M116" s="424">
        <f t="shared" ref="M116:M125" si="146">J116+L116</f>
        <v>3845165.3588</v>
      </c>
      <c r="N116" s="424">
        <f t="shared" ref="N116:N125" si="147">F116+G116+H116+M116</f>
        <v>5247978.5647999998</v>
      </c>
      <c r="O116" s="424">
        <f t="shared" ref="O116:O125" si="148">E116-N116</f>
        <v>14380661.4352</v>
      </c>
      <c r="P116" s="424">
        <f t="shared" ref="P116:P125" si="149">IF(O116&lt;300000,0.07*O116,21000)</f>
        <v>21000</v>
      </c>
      <c r="Q116" s="424">
        <f t="shared" ref="Q116:Q125" si="150">IF((O116-300000)&lt;0,0,IF((O116-300000)&lt;300000,0.11*(O116-300000),33000))</f>
        <v>33000</v>
      </c>
      <c r="R116" s="424">
        <f t="shared" ref="R116:R125" si="151">IF((O116-600000)&lt;0,0,IF((O116-600000)&lt;500000,0.15*(O116-600000),75000))</f>
        <v>75000</v>
      </c>
      <c r="S116" s="424">
        <f t="shared" ref="S116:S125" si="152">IF((O116-1100000)&lt;0,0,IF((O116-1100000)&lt;500000,0.19*(O116-1100000),95000))</f>
        <v>95000</v>
      </c>
      <c r="T116" s="424">
        <f t="shared" ref="T116:T125" si="153">IF((O116-1600000)&lt;0,0,IF((O116-1600000)&lt;1600000,0.21*(O116-1600000),336000))</f>
        <v>336000</v>
      </c>
      <c r="U116" s="424">
        <f t="shared" ref="U116:U122" si="154">0.24*(O116-3200000)</f>
        <v>2683358.7444480001</v>
      </c>
      <c r="V116" s="424">
        <f t="shared" ref="V116:V125" si="155">P116+Q116+R116+S116+T116+U116</f>
        <v>3243358.7444480001</v>
      </c>
      <c r="W116" s="431">
        <v>12</v>
      </c>
      <c r="X116" s="424">
        <f t="shared" ref="X116:X125" si="156">V116/W116</f>
        <v>270279.89537066699</v>
      </c>
      <c r="Y116" s="427"/>
      <c r="Z116" s="424">
        <f t="shared" ref="Z116:Z125" si="157">X116</f>
        <v>270279.89537066699</v>
      </c>
      <c r="AA116" s="436">
        <v>179914.45476266701</v>
      </c>
      <c r="AB116" s="436">
        <f t="shared" ref="AB116:AB125" si="158">Z116-AA116</f>
        <v>90365.440607999699</v>
      </c>
      <c r="AC116" s="436"/>
      <c r="AD116" s="436"/>
      <c r="AE116" s="436"/>
    </row>
    <row r="117" spans="1:31" ht="18" x14ac:dyDescent="0.15">
      <c r="A117" s="421">
        <v>99</v>
      </c>
      <c r="B117" s="9" t="s">
        <v>253</v>
      </c>
      <c r="C117" s="424">
        <v>929203.58333333302</v>
      </c>
      <c r="D117" s="423">
        <v>12</v>
      </c>
      <c r="E117" s="424">
        <f t="shared" si="143"/>
        <v>11150443</v>
      </c>
      <c r="F117" s="424">
        <f>9980.56666666667*12</f>
        <v>119766.8</v>
      </c>
      <c r="G117" s="425">
        <v>709635.44</v>
      </c>
      <c r="H117" s="427"/>
      <c r="I117" s="424">
        <f t="shared" si="144"/>
        <v>10321040.76</v>
      </c>
      <c r="J117" s="424">
        <v>200000</v>
      </c>
      <c r="K117" s="424">
        <v>0.2</v>
      </c>
      <c r="L117" s="424">
        <f t="shared" si="145"/>
        <v>2064208.152</v>
      </c>
      <c r="M117" s="424">
        <f t="shared" si="146"/>
        <v>2264208.1519999998</v>
      </c>
      <c r="N117" s="424">
        <f t="shared" si="147"/>
        <v>3093610.392</v>
      </c>
      <c r="O117" s="424">
        <f t="shared" si="148"/>
        <v>8056832.608</v>
      </c>
      <c r="P117" s="424">
        <f t="shared" si="149"/>
        <v>21000</v>
      </c>
      <c r="Q117" s="424">
        <f t="shared" si="150"/>
        <v>33000</v>
      </c>
      <c r="R117" s="424">
        <f t="shared" si="151"/>
        <v>75000</v>
      </c>
      <c r="S117" s="424">
        <f t="shared" si="152"/>
        <v>95000</v>
      </c>
      <c r="T117" s="424">
        <f t="shared" si="153"/>
        <v>336000</v>
      </c>
      <c r="U117" s="424">
        <f t="shared" si="154"/>
        <v>1165639.82592</v>
      </c>
      <c r="V117" s="424">
        <f t="shared" si="155"/>
        <v>1725639.82592</v>
      </c>
      <c r="W117" s="431">
        <v>12</v>
      </c>
      <c r="X117" s="424">
        <f t="shared" si="156"/>
        <v>143803.318826667</v>
      </c>
      <c r="Y117" s="427"/>
      <c r="Z117" s="424">
        <f t="shared" si="157"/>
        <v>143803.318826667</v>
      </c>
      <c r="AA117" s="436">
        <v>98995.956938666699</v>
      </c>
      <c r="AB117" s="436">
        <f t="shared" si="158"/>
        <v>44807.361887999898</v>
      </c>
      <c r="AC117" s="436"/>
      <c r="AD117" s="436"/>
      <c r="AE117" s="436"/>
    </row>
    <row r="118" spans="1:31" ht="18" x14ac:dyDescent="0.15">
      <c r="A118" s="421"/>
      <c r="B118" s="12" t="s">
        <v>255</v>
      </c>
      <c r="C118" s="424">
        <v>936034</v>
      </c>
      <c r="D118" s="423">
        <v>12</v>
      </c>
      <c r="E118" s="424">
        <f t="shared" si="143"/>
        <v>11232408</v>
      </c>
      <c r="F118" s="424">
        <f>9678.96*12</f>
        <v>116147.52</v>
      </c>
      <c r="G118" s="425">
        <v>709636.44</v>
      </c>
      <c r="H118" s="427"/>
      <c r="I118" s="424">
        <f t="shared" si="144"/>
        <v>10406624.039999999</v>
      </c>
      <c r="J118" s="424">
        <v>200000</v>
      </c>
      <c r="K118" s="424">
        <v>0.2</v>
      </c>
      <c r="L118" s="424">
        <f t="shared" si="145"/>
        <v>2081324.808</v>
      </c>
      <c r="M118" s="424">
        <f t="shared" si="146"/>
        <v>2281324.8080000002</v>
      </c>
      <c r="N118" s="424">
        <f t="shared" si="147"/>
        <v>3107108.7680000002</v>
      </c>
      <c r="O118" s="424">
        <f t="shared" si="148"/>
        <v>8125299.2319999998</v>
      </c>
      <c r="P118" s="424">
        <f t="shared" si="149"/>
        <v>21000</v>
      </c>
      <c r="Q118" s="424">
        <f t="shared" si="150"/>
        <v>33000</v>
      </c>
      <c r="R118" s="424">
        <f t="shared" si="151"/>
        <v>75000</v>
      </c>
      <c r="S118" s="424">
        <f t="shared" si="152"/>
        <v>95000</v>
      </c>
      <c r="T118" s="424">
        <f t="shared" si="153"/>
        <v>336000</v>
      </c>
      <c r="U118" s="424">
        <f t="shared" si="154"/>
        <v>1182071.81568</v>
      </c>
      <c r="V118" s="424">
        <f t="shared" si="155"/>
        <v>1742071.81568</v>
      </c>
      <c r="W118" s="431">
        <v>12</v>
      </c>
      <c r="X118" s="424">
        <f t="shared" si="156"/>
        <v>145172.65130666699</v>
      </c>
      <c r="Y118" s="427"/>
      <c r="Z118" s="424">
        <f t="shared" si="157"/>
        <v>145172.65130666699</v>
      </c>
      <c r="AA118" s="436">
        <v>89396.103146666603</v>
      </c>
      <c r="AB118" s="436">
        <f t="shared" si="158"/>
        <v>55776.5481600001</v>
      </c>
      <c r="AC118" s="436"/>
      <c r="AD118" s="436"/>
      <c r="AE118" s="436"/>
    </row>
    <row r="119" spans="1:31" ht="18" x14ac:dyDescent="0.15">
      <c r="A119" s="421"/>
      <c r="B119" s="12" t="s">
        <v>556</v>
      </c>
      <c r="C119" s="424">
        <v>662118.08333333302</v>
      </c>
      <c r="D119" s="423">
        <v>12</v>
      </c>
      <c r="E119" s="424">
        <f t="shared" si="143"/>
        <v>7945417</v>
      </c>
      <c r="F119" s="424"/>
      <c r="G119" s="425">
        <v>0</v>
      </c>
      <c r="H119" s="427"/>
      <c r="I119" s="424">
        <f t="shared" si="144"/>
        <v>7945417</v>
      </c>
      <c r="J119" s="424">
        <v>200000</v>
      </c>
      <c r="K119" s="424">
        <v>0.2</v>
      </c>
      <c r="L119" s="424">
        <f t="shared" si="145"/>
        <v>1589083.4</v>
      </c>
      <c r="M119" s="424">
        <f t="shared" si="146"/>
        <v>1789083.4</v>
      </c>
      <c r="N119" s="424">
        <f t="shared" si="147"/>
        <v>1789083.4</v>
      </c>
      <c r="O119" s="424">
        <f t="shared" si="148"/>
        <v>6156333.5999999996</v>
      </c>
      <c r="P119" s="424">
        <f t="shared" si="149"/>
        <v>21000</v>
      </c>
      <c r="Q119" s="424">
        <f t="shared" si="150"/>
        <v>33000</v>
      </c>
      <c r="R119" s="424">
        <f t="shared" si="151"/>
        <v>75000</v>
      </c>
      <c r="S119" s="424">
        <f t="shared" si="152"/>
        <v>95000</v>
      </c>
      <c r="T119" s="424">
        <f t="shared" si="153"/>
        <v>336000</v>
      </c>
      <c r="U119" s="424">
        <f t="shared" si="154"/>
        <v>709520.06399999897</v>
      </c>
      <c r="V119" s="424">
        <f t="shared" si="155"/>
        <v>1269520.064</v>
      </c>
      <c r="W119" s="431">
        <v>12</v>
      </c>
      <c r="X119" s="424">
        <f t="shared" si="156"/>
        <v>105793.338666667</v>
      </c>
      <c r="Y119" s="427"/>
      <c r="Z119" s="424">
        <f t="shared" si="157"/>
        <v>105793.338666667</v>
      </c>
      <c r="AA119" s="436">
        <v>60214.677290666703</v>
      </c>
      <c r="AB119" s="436">
        <f t="shared" si="158"/>
        <v>45578.661375999902</v>
      </c>
      <c r="AC119" s="436"/>
      <c r="AD119" s="436"/>
      <c r="AE119" s="436"/>
    </row>
    <row r="120" spans="1:31" ht="18" x14ac:dyDescent="0.15">
      <c r="A120" s="421">
        <v>101</v>
      </c>
      <c r="B120" s="9" t="s">
        <v>257</v>
      </c>
      <c r="C120" s="424">
        <v>540498</v>
      </c>
      <c r="D120" s="423">
        <v>12</v>
      </c>
      <c r="E120" s="424">
        <f t="shared" si="143"/>
        <v>6485976</v>
      </c>
      <c r="F120" s="424"/>
      <c r="G120" s="425">
        <v>451678.08</v>
      </c>
      <c r="H120" s="427"/>
      <c r="I120" s="424">
        <f t="shared" si="144"/>
        <v>6034297.9199999999</v>
      </c>
      <c r="J120" s="424">
        <v>200000</v>
      </c>
      <c r="K120" s="424">
        <v>0.2</v>
      </c>
      <c r="L120" s="424">
        <f t="shared" si="145"/>
        <v>1206859.584</v>
      </c>
      <c r="M120" s="424">
        <f t="shared" si="146"/>
        <v>1406859.584</v>
      </c>
      <c r="N120" s="424">
        <f t="shared" si="147"/>
        <v>1858537.6640000001</v>
      </c>
      <c r="O120" s="424">
        <f t="shared" si="148"/>
        <v>4627438.3360000001</v>
      </c>
      <c r="P120" s="424">
        <f t="shared" si="149"/>
        <v>21000</v>
      </c>
      <c r="Q120" s="424">
        <f t="shared" si="150"/>
        <v>33000</v>
      </c>
      <c r="R120" s="424">
        <f t="shared" si="151"/>
        <v>75000</v>
      </c>
      <c r="S120" s="424">
        <f t="shared" si="152"/>
        <v>95000</v>
      </c>
      <c r="T120" s="424">
        <f t="shared" si="153"/>
        <v>336000</v>
      </c>
      <c r="U120" s="424">
        <f t="shared" si="154"/>
        <v>342585.20064</v>
      </c>
      <c r="V120" s="424">
        <f t="shared" si="155"/>
        <v>902585.20064000005</v>
      </c>
      <c r="W120" s="431">
        <v>12</v>
      </c>
      <c r="X120" s="424">
        <f t="shared" si="156"/>
        <v>75215.4333866667</v>
      </c>
      <c r="Y120" s="427"/>
      <c r="Z120" s="424">
        <f t="shared" si="157"/>
        <v>75215.4333866667</v>
      </c>
      <c r="AA120" s="436">
        <v>44846.6165886667</v>
      </c>
      <c r="AB120" s="436">
        <f t="shared" si="158"/>
        <v>30368.816798</v>
      </c>
      <c r="AC120" s="436"/>
      <c r="AD120" s="436"/>
      <c r="AE120" s="436"/>
    </row>
    <row r="121" spans="1:31" ht="18" x14ac:dyDescent="0.15">
      <c r="A121" s="421">
        <v>103</v>
      </c>
      <c r="B121" s="9" t="s">
        <v>259</v>
      </c>
      <c r="C121" s="424">
        <v>512746.5</v>
      </c>
      <c r="D121" s="423">
        <v>12</v>
      </c>
      <c r="E121" s="424">
        <f t="shared" si="143"/>
        <v>6152958</v>
      </c>
      <c r="F121" s="430">
        <f>646.3525*12</f>
        <v>7756.23</v>
      </c>
      <c r="G121" s="425">
        <v>425036.64</v>
      </c>
      <c r="H121" s="427"/>
      <c r="I121" s="424">
        <f t="shared" si="144"/>
        <v>5720165.1299999999</v>
      </c>
      <c r="J121" s="424">
        <v>200000</v>
      </c>
      <c r="K121" s="424">
        <v>0.2</v>
      </c>
      <c r="L121" s="424">
        <f t="shared" si="145"/>
        <v>1144033.0260000001</v>
      </c>
      <c r="M121" s="424">
        <f t="shared" si="146"/>
        <v>1344033.0260000001</v>
      </c>
      <c r="N121" s="424">
        <f t="shared" si="147"/>
        <v>1776825.8959999999</v>
      </c>
      <c r="O121" s="424">
        <f t="shared" si="148"/>
        <v>4376132.1040000003</v>
      </c>
      <c r="P121" s="424">
        <f t="shared" si="149"/>
        <v>21000</v>
      </c>
      <c r="Q121" s="424">
        <f t="shared" si="150"/>
        <v>33000</v>
      </c>
      <c r="R121" s="424">
        <f t="shared" si="151"/>
        <v>75000</v>
      </c>
      <c r="S121" s="424">
        <f t="shared" si="152"/>
        <v>95000</v>
      </c>
      <c r="T121" s="424">
        <f t="shared" si="153"/>
        <v>336000</v>
      </c>
      <c r="U121" s="424">
        <f t="shared" si="154"/>
        <v>282271.70496</v>
      </c>
      <c r="V121" s="424">
        <f t="shared" si="155"/>
        <v>842271.70496</v>
      </c>
      <c r="W121" s="431">
        <v>12</v>
      </c>
      <c r="X121" s="424">
        <f t="shared" si="156"/>
        <v>70189.308746666706</v>
      </c>
      <c r="Y121" s="427"/>
      <c r="Z121" s="424">
        <f t="shared" si="157"/>
        <v>70189.308746666706</v>
      </c>
      <c r="AA121" s="436">
        <v>42029.589186666701</v>
      </c>
      <c r="AB121" s="436">
        <f t="shared" si="158"/>
        <v>28159.719560000001</v>
      </c>
      <c r="AC121" s="436"/>
      <c r="AD121" s="436"/>
      <c r="AE121" s="436"/>
    </row>
    <row r="122" spans="1:31" ht="18" x14ac:dyDescent="0.15">
      <c r="A122" s="421">
        <v>105</v>
      </c>
      <c r="B122" s="9" t="s">
        <v>260</v>
      </c>
      <c r="C122" s="424">
        <v>526622.25</v>
      </c>
      <c r="D122" s="423">
        <v>12</v>
      </c>
      <c r="E122" s="424">
        <f t="shared" si="143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44"/>
        <v>5873089.8449999997</v>
      </c>
      <c r="J122" s="424">
        <v>200000</v>
      </c>
      <c r="K122" s="424">
        <v>0.2</v>
      </c>
      <c r="L122" s="424">
        <f t="shared" si="145"/>
        <v>1174617.969</v>
      </c>
      <c r="M122" s="424">
        <f t="shared" si="146"/>
        <v>1374617.969</v>
      </c>
      <c r="N122" s="424">
        <f t="shared" si="147"/>
        <v>1820995.1240000001</v>
      </c>
      <c r="O122" s="424">
        <f t="shared" si="148"/>
        <v>4498471.8760000002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311633.25024000002</v>
      </c>
      <c r="V122" s="424">
        <f t="shared" si="155"/>
        <v>871633.25023999996</v>
      </c>
      <c r="W122" s="431">
        <v>12</v>
      </c>
      <c r="X122" s="424">
        <f t="shared" si="156"/>
        <v>72636.104186666693</v>
      </c>
      <c r="Y122" s="427"/>
      <c r="Z122" s="424">
        <f t="shared" si="157"/>
        <v>72636.104186666693</v>
      </c>
      <c r="AA122" s="436">
        <v>43380.096246666697</v>
      </c>
      <c r="AB122" s="436">
        <f t="shared" si="158"/>
        <v>29256.00794</v>
      </c>
      <c r="AC122" s="436"/>
      <c r="AD122" s="436"/>
      <c r="AE122" s="436"/>
    </row>
    <row r="123" spans="1:31" ht="18" x14ac:dyDescent="0.15">
      <c r="A123" s="421">
        <v>106</v>
      </c>
      <c r="B123" s="9" t="s">
        <v>263</v>
      </c>
      <c r="C123" s="424">
        <v>330481.66666666698</v>
      </c>
      <c r="D123" s="423">
        <v>12</v>
      </c>
      <c r="E123" s="424">
        <f t="shared" si="143"/>
        <v>3965780</v>
      </c>
      <c r="F123" s="424"/>
      <c r="G123" s="425">
        <v>259662.4</v>
      </c>
      <c r="H123" s="427"/>
      <c r="I123" s="424">
        <f t="shared" si="144"/>
        <v>3706117.6</v>
      </c>
      <c r="J123" s="424">
        <v>200000</v>
      </c>
      <c r="K123" s="424">
        <v>0.2</v>
      </c>
      <c r="L123" s="424">
        <f t="shared" si="145"/>
        <v>741223.52000000095</v>
      </c>
      <c r="M123" s="424">
        <f t="shared" si="146"/>
        <v>941223.52000000095</v>
      </c>
      <c r="N123" s="424">
        <f t="shared" si="147"/>
        <v>1200885.92</v>
      </c>
      <c r="O123" s="424">
        <f t="shared" si="148"/>
        <v>2764894.08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244627.75680000099</v>
      </c>
      <c r="U123" s="424"/>
      <c r="V123" s="424">
        <f t="shared" si="155"/>
        <v>468627.75680000102</v>
      </c>
      <c r="W123" s="431">
        <v>12</v>
      </c>
      <c r="X123" s="424">
        <f t="shared" si="156"/>
        <v>39052.313066666698</v>
      </c>
      <c r="Y123" s="427"/>
      <c r="Z123" s="424">
        <f t="shared" si="157"/>
        <v>39052.313066666698</v>
      </c>
      <c r="AA123" s="436">
        <v>23036.012346666699</v>
      </c>
      <c r="AB123" s="436">
        <f t="shared" si="158"/>
        <v>16016.300719999999</v>
      </c>
      <c r="AC123" s="436"/>
      <c r="AD123" s="436"/>
      <c r="AE123" s="436"/>
    </row>
    <row r="124" spans="1:31" ht="18" x14ac:dyDescent="0.15">
      <c r="A124" s="421">
        <v>107</v>
      </c>
      <c r="B124" s="16" t="s">
        <v>265</v>
      </c>
      <c r="C124" s="424">
        <v>274459.75</v>
      </c>
      <c r="D124" s="423">
        <v>12</v>
      </c>
      <c r="E124" s="424">
        <f t="shared" si="143"/>
        <v>3293517</v>
      </c>
      <c r="F124" s="424"/>
      <c r="G124" s="425">
        <v>215481.36</v>
      </c>
      <c r="H124" s="427"/>
      <c r="I124" s="424">
        <f t="shared" si="144"/>
        <v>3078035.64</v>
      </c>
      <c r="J124" s="424">
        <v>200000</v>
      </c>
      <c r="K124" s="424">
        <v>0.2</v>
      </c>
      <c r="L124" s="424">
        <f t="shared" si="145"/>
        <v>615607.12800000003</v>
      </c>
      <c r="M124" s="424">
        <f t="shared" si="146"/>
        <v>815607.12800000003</v>
      </c>
      <c r="N124" s="424">
        <f t="shared" si="147"/>
        <v>1031088.488</v>
      </c>
      <c r="O124" s="424">
        <f t="shared" si="148"/>
        <v>2262428.5120000001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139109.98752</v>
      </c>
      <c r="U124" s="424"/>
      <c r="V124" s="424">
        <f t="shared" si="155"/>
        <v>363109.98752000002</v>
      </c>
      <c r="W124" s="431">
        <v>12</v>
      </c>
      <c r="X124" s="424">
        <f t="shared" si="156"/>
        <v>30259.165626666701</v>
      </c>
      <c r="Y124" s="427"/>
      <c r="Z124" s="424">
        <f t="shared" si="157"/>
        <v>30259.165626666701</v>
      </c>
      <c r="AA124" s="436">
        <v>17042.713866666702</v>
      </c>
      <c r="AB124" s="436">
        <f t="shared" si="158"/>
        <v>13216.45176</v>
      </c>
      <c r="AC124" s="436"/>
      <c r="AD124" s="436"/>
      <c r="AE124" s="436"/>
    </row>
    <row r="125" spans="1:31" ht="18" x14ac:dyDescent="0.15">
      <c r="A125" s="421">
        <v>108</v>
      </c>
      <c r="B125" s="16" t="s">
        <v>267</v>
      </c>
      <c r="C125" s="424">
        <v>274459.75</v>
      </c>
      <c r="D125" s="423">
        <v>12</v>
      </c>
      <c r="E125" s="424">
        <f t="shared" si="143"/>
        <v>3293517</v>
      </c>
      <c r="F125" s="424"/>
      <c r="G125" s="425">
        <v>215481.36</v>
      </c>
      <c r="H125" s="427"/>
      <c r="I125" s="424">
        <f t="shared" si="144"/>
        <v>3078035.64</v>
      </c>
      <c r="J125" s="424">
        <v>200000</v>
      </c>
      <c r="K125" s="424">
        <v>0.2</v>
      </c>
      <c r="L125" s="424">
        <f t="shared" si="145"/>
        <v>615607.12800000003</v>
      </c>
      <c r="M125" s="424">
        <f t="shared" si="146"/>
        <v>815607.12800000003</v>
      </c>
      <c r="N125" s="424">
        <f t="shared" si="147"/>
        <v>1031088.488</v>
      </c>
      <c r="O125" s="424">
        <f t="shared" si="148"/>
        <v>2262428.5120000001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139109.98752</v>
      </c>
      <c r="U125" s="424"/>
      <c r="V125" s="424">
        <f t="shared" si="155"/>
        <v>363109.98752000002</v>
      </c>
      <c r="W125" s="431">
        <v>12</v>
      </c>
      <c r="X125" s="424">
        <f t="shared" si="156"/>
        <v>30259.165626666701</v>
      </c>
      <c r="Y125" s="427"/>
      <c r="Z125" s="424">
        <f t="shared" si="157"/>
        <v>30259.165626666701</v>
      </c>
      <c r="AA125" s="436">
        <v>17042.713866666702</v>
      </c>
      <c r="AB125" s="436">
        <f t="shared" si="158"/>
        <v>13216.45176</v>
      </c>
      <c r="AC125" s="436"/>
      <c r="AD125" s="436"/>
      <c r="AE125" s="436"/>
    </row>
    <row r="126" spans="1:31" ht="18" x14ac:dyDescent="0.1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" x14ac:dyDescent="0.2">
      <c r="A127" s="421">
        <v>110</v>
      </c>
      <c r="B127" s="20"/>
      <c r="C127" s="424"/>
      <c r="U127" s="437"/>
      <c r="AC127" s="436"/>
      <c r="AD127" s="436"/>
      <c r="AE127" s="436"/>
    </row>
    <row r="128" spans="1:31" ht="18" x14ac:dyDescent="0.15">
      <c r="A128" s="421">
        <v>111</v>
      </c>
      <c r="B128" s="18" t="s">
        <v>270</v>
      </c>
      <c r="C128" s="424"/>
      <c r="U128" s="437"/>
      <c r="AC128" s="436"/>
      <c r="AD128" s="436"/>
      <c r="AE128" s="436"/>
    </row>
    <row r="129" spans="1:31" ht="18" x14ac:dyDescent="0.15">
      <c r="A129" s="421">
        <v>112</v>
      </c>
      <c r="B129" s="9" t="s">
        <v>557</v>
      </c>
      <c r="C129" s="424">
        <v>1535720</v>
      </c>
      <c r="D129" s="423">
        <v>12</v>
      </c>
      <c r="E129" s="424">
        <f t="shared" ref="E129:E187" si="159">C129*D129</f>
        <v>18428640</v>
      </c>
      <c r="F129" s="424"/>
      <c r="G129" s="425">
        <v>1378291.2</v>
      </c>
      <c r="H129" s="427"/>
      <c r="I129" s="424">
        <f t="shared" ref="I129:I187" si="160">E129-F129-G129-H129</f>
        <v>17050348.800000001</v>
      </c>
      <c r="J129" s="424">
        <v>200000</v>
      </c>
      <c r="K129" s="424">
        <v>0.2</v>
      </c>
      <c r="L129" s="424">
        <f t="shared" ref="L129:L187" si="161">I129*K129</f>
        <v>3410069.76</v>
      </c>
      <c r="M129" s="424">
        <f t="shared" ref="M129:M187" si="162">J129+L129</f>
        <v>3610069.76</v>
      </c>
      <c r="N129" s="424">
        <f t="shared" ref="N129:N187" si="163">F129+G129+H129+M129</f>
        <v>4988360.96</v>
      </c>
      <c r="O129" s="424">
        <f t="shared" ref="O129:O187" si="164">E129-N129</f>
        <v>13440279.039999999</v>
      </c>
      <c r="P129" s="424">
        <f t="shared" ref="P129:P187" si="165">IF(O129&lt;300000,0.07*O129,21000)</f>
        <v>21000</v>
      </c>
      <c r="Q129" s="424">
        <f t="shared" ref="Q129:Q187" si="166">IF((O129-300000)&lt;0,0,IF((O129-300000)&lt;300000,0.11*(O129-300000),33000))</f>
        <v>33000</v>
      </c>
      <c r="R129" s="424">
        <f t="shared" ref="R129:R187" si="167">IF((O129-600000)&lt;0,0,IF((O129-600000)&lt;500000,0.15*(O129-600000),75000))</f>
        <v>75000</v>
      </c>
      <c r="S129" s="424">
        <f t="shared" ref="S129:S187" si="168">IF((O129-1100000)&lt;0,0,IF((O129-1100000)&lt;500000,0.19*(O129-1100000),95000))</f>
        <v>95000</v>
      </c>
      <c r="T129" s="424">
        <f t="shared" ref="T129:T187" si="169">IF((O129-1600000)&lt;0,0,IF((O129-1600000)&lt;1600000,0.21*(O129-1600000),336000))</f>
        <v>336000</v>
      </c>
      <c r="U129" s="424">
        <f t="shared" ref="U129:U141" si="170">0.24*(O129-3200000)</f>
        <v>2457666.9696</v>
      </c>
      <c r="V129" s="424">
        <f t="shared" ref="V129:V187" si="171">P129+Q129+R129+S129+T129+U129</f>
        <v>3017666.9696</v>
      </c>
      <c r="W129" s="431">
        <v>12</v>
      </c>
      <c r="X129" s="424">
        <f t="shared" ref="X129:X187" si="172">V129/W129</f>
        <v>251472.247466667</v>
      </c>
      <c r="Y129" s="427"/>
      <c r="Z129" s="424">
        <f t="shared" ref="Z129:Z187" si="173">X129</f>
        <v>251472.247466667</v>
      </c>
      <c r="AA129" s="436">
        <v>161106.806858667</v>
      </c>
      <c r="AB129" s="436">
        <f t="shared" ref="AB129:AB187" si="174">Z129-AA129</f>
        <v>90365.440607999597</v>
      </c>
      <c r="AC129" s="436"/>
      <c r="AD129" s="436"/>
      <c r="AE129" s="436"/>
    </row>
    <row r="130" spans="1:31" ht="18" x14ac:dyDescent="0.15">
      <c r="A130" s="421">
        <v>113</v>
      </c>
      <c r="B130" s="9" t="s">
        <v>559</v>
      </c>
      <c r="C130" s="424">
        <v>852373.16666666698</v>
      </c>
      <c r="D130" s="423">
        <v>12</v>
      </c>
      <c r="E130" s="424">
        <f t="shared" si="159"/>
        <v>10228478</v>
      </c>
      <c r="F130" s="424"/>
      <c r="G130" s="425">
        <v>0</v>
      </c>
      <c r="H130" s="427"/>
      <c r="I130" s="424">
        <f t="shared" si="160"/>
        <v>10228478</v>
      </c>
      <c r="J130" s="424">
        <v>200000</v>
      </c>
      <c r="K130" s="424">
        <v>0.2</v>
      </c>
      <c r="L130" s="424">
        <f t="shared" si="161"/>
        <v>2045695.6</v>
      </c>
      <c r="M130" s="424">
        <f t="shared" si="162"/>
        <v>2245695.6</v>
      </c>
      <c r="N130" s="424">
        <f t="shared" si="163"/>
        <v>2245695.6</v>
      </c>
      <c r="O130" s="424">
        <f t="shared" si="164"/>
        <v>7982782.4000000004</v>
      </c>
      <c r="P130" s="424">
        <f t="shared" si="165"/>
        <v>21000</v>
      </c>
      <c r="Q130" s="424">
        <f t="shared" si="166"/>
        <v>33000</v>
      </c>
      <c r="R130" s="424">
        <f t="shared" si="167"/>
        <v>75000</v>
      </c>
      <c r="S130" s="424">
        <f t="shared" si="168"/>
        <v>95000</v>
      </c>
      <c r="T130" s="424">
        <f t="shared" si="169"/>
        <v>336000</v>
      </c>
      <c r="U130" s="424">
        <f t="shared" si="170"/>
        <v>1147867.7760000001</v>
      </c>
      <c r="V130" s="424">
        <f t="shared" si="171"/>
        <v>1707867.7760000001</v>
      </c>
      <c r="W130" s="431">
        <v>12</v>
      </c>
      <c r="X130" s="424">
        <f t="shared" si="172"/>
        <v>142322.31466666699</v>
      </c>
      <c r="Y130" s="427"/>
      <c r="Z130" s="424">
        <f t="shared" si="173"/>
        <v>142322.31466666699</v>
      </c>
      <c r="AA130" s="436">
        <v>82627.951418666693</v>
      </c>
      <c r="AB130" s="436">
        <f t="shared" si="174"/>
        <v>59694.363248000001</v>
      </c>
      <c r="AC130" s="436"/>
      <c r="AD130" s="436"/>
      <c r="AE130" s="436"/>
    </row>
    <row r="131" spans="1:31" ht="18" x14ac:dyDescent="0.15">
      <c r="A131" s="421">
        <v>114</v>
      </c>
      <c r="B131" s="12" t="s">
        <v>274</v>
      </c>
      <c r="C131" s="424">
        <v>902373.16666666698</v>
      </c>
      <c r="D131" s="423">
        <v>12</v>
      </c>
      <c r="E131" s="424">
        <f t="shared" si="159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60"/>
        <v>10083803.809</v>
      </c>
      <c r="J131" s="424">
        <v>200000</v>
      </c>
      <c r="K131" s="424">
        <v>0.2</v>
      </c>
      <c r="L131" s="424">
        <f t="shared" si="161"/>
        <v>2016760.7618</v>
      </c>
      <c r="M131" s="424">
        <f t="shared" si="162"/>
        <v>2216760.7618</v>
      </c>
      <c r="N131" s="424">
        <f t="shared" si="163"/>
        <v>2961434.9528000001</v>
      </c>
      <c r="O131" s="424">
        <f t="shared" si="164"/>
        <v>7867043.0471999999</v>
      </c>
      <c r="P131" s="424">
        <f t="shared" si="165"/>
        <v>21000</v>
      </c>
      <c r="Q131" s="424">
        <f t="shared" si="166"/>
        <v>33000</v>
      </c>
      <c r="R131" s="424">
        <f t="shared" si="167"/>
        <v>75000</v>
      </c>
      <c r="S131" s="424">
        <f t="shared" si="168"/>
        <v>95000</v>
      </c>
      <c r="T131" s="424">
        <f t="shared" si="169"/>
        <v>336000</v>
      </c>
      <c r="U131" s="424">
        <f t="shared" si="170"/>
        <v>1120090.3313279999</v>
      </c>
      <c r="V131" s="424">
        <f t="shared" si="171"/>
        <v>1680090.3313279999</v>
      </c>
      <c r="W131" s="431">
        <v>12</v>
      </c>
      <c r="X131" s="424">
        <f t="shared" si="172"/>
        <v>140007.52761066699</v>
      </c>
      <c r="Y131" s="427"/>
      <c r="Z131" s="424">
        <f t="shared" si="173"/>
        <v>140007.52761066699</v>
      </c>
      <c r="AA131" s="436">
        <v>92023.216202666707</v>
      </c>
      <c r="AB131" s="436">
        <f t="shared" si="174"/>
        <v>47984.311408000001</v>
      </c>
      <c r="AC131" s="436"/>
      <c r="AD131" s="436"/>
      <c r="AE131" s="436"/>
    </row>
    <row r="132" spans="1:31" ht="18" x14ac:dyDescent="0.15">
      <c r="A132" s="421">
        <v>115</v>
      </c>
      <c r="B132" s="9" t="s">
        <v>276</v>
      </c>
      <c r="C132" s="424">
        <v>554373.75</v>
      </c>
      <c r="D132" s="423">
        <v>12</v>
      </c>
      <c r="E132" s="424">
        <f t="shared" si="159"/>
        <v>6652485</v>
      </c>
      <c r="F132" s="424">
        <f t="shared" ref="F132:F134" si="175">712.24525*12</f>
        <v>8546.9429999999993</v>
      </c>
      <c r="G132" s="425">
        <v>464998.8</v>
      </c>
      <c r="H132" s="427"/>
      <c r="I132" s="424">
        <f t="shared" si="160"/>
        <v>6178939.2570000002</v>
      </c>
      <c r="J132" s="424">
        <v>200000</v>
      </c>
      <c r="K132" s="424">
        <v>0.2</v>
      </c>
      <c r="L132" s="424">
        <f t="shared" si="161"/>
        <v>1235787.8514</v>
      </c>
      <c r="M132" s="424">
        <f t="shared" si="162"/>
        <v>1435787.8514</v>
      </c>
      <c r="N132" s="424">
        <f t="shared" si="163"/>
        <v>1909333.5944000001</v>
      </c>
      <c r="O132" s="424">
        <f t="shared" si="164"/>
        <v>4743151.4056000002</v>
      </c>
      <c r="P132" s="424">
        <f t="shared" si="165"/>
        <v>21000</v>
      </c>
      <c r="Q132" s="424">
        <f t="shared" si="166"/>
        <v>33000</v>
      </c>
      <c r="R132" s="424">
        <f t="shared" si="167"/>
        <v>75000</v>
      </c>
      <c r="S132" s="424">
        <f t="shared" si="168"/>
        <v>95000</v>
      </c>
      <c r="T132" s="424">
        <f t="shared" si="169"/>
        <v>336000</v>
      </c>
      <c r="U132" s="424">
        <f t="shared" si="170"/>
        <v>370356.337344</v>
      </c>
      <c r="V132" s="424">
        <f t="shared" si="171"/>
        <v>930356.337344</v>
      </c>
      <c r="W132" s="431">
        <v>12</v>
      </c>
      <c r="X132" s="424">
        <f t="shared" si="172"/>
        <v>77529.694778666701</v>
      </c>
      <c r="Y132" s="427"/>
      <c r="Z132" s="424">
        <f t="shared" si="173"/>
        <v>77529.694778666701</v>
      </c>
      <c r="AA132" s="436">
        <v>46081.202598666699</v>
      </c>
      <c r="AB132" s="436">
        <f t="shared" si="174"/>
        <v>31448.492180000001</v>
      </c>
      <c r="AC132" s="436"/>
      <c r="AD132" s="436"/>
      <c r="AE132" s="436"/>
    </row>
    <row r="133" spans="1:31" ht="18" x14ac:dyDescent="0.15">
      <c r="A133" s="421">
        <v>116</v>
      </c>
      <c r="B133" s="9" t="s">
        <v>278</v>
      </c>
      <c r="C133" s="424">
        <v>554373.75</v>
      </c>
      <c r="D133" s="423">
        <v>12</v>
      </c>
      <c r="E133" s="424">
        <f t="shared" si="159"/>
        <v>6652485</v>
      </c>
      <c r="F133" s="424">
        <f t="shared" si="175"/>
        <v>8546.9429999999993</v>
      </c>
      <c r="G133" s="425">
        <v>464998.8</v>
      </c>
      <c r="H133" s="427"/>
      <c r="I133" s="424">
        <f t="shared" si="160"/>
        <v>6178939.2570000002</v>
      </c>
      <c r="J133" s="424">
        <v>200000</v>
      </c>
      <c r="K133" s="424">
        <v>0.2</v>
      </c>
      <c r="L133" s="424">
        <f t="shared" si="161"/>
        <v>1235787.8514</v>
      </c>
      <c r="M133" s="424">
        <f t="shared" si="162"/>
        <v>1435787.8514</v>
      </c>
      <c r="N133" s="424">
        <f t="shared" si="163"/>
        <v>1909333.5944000001</v>
      </c>
      <c r="O133" s="424">
        <f t="shared" si="164"/>
        <v>4743151.4056000002</v>
      </c>
      <c r="P133" s="424">
        <f t="shared" si="165"/>
        <v>21000</v>
      </c>
      <c r="Q133" s="424">
        <f t="shared" si="166"/>
        <v>33000</v>
      </c>
      <c r="R133" s="424">
        <f t="shared" si="167"/>
        <v>75000</v>
      </c>
      <c r="S133" s="424">
        <f t="shared" si="168"/>
        <v>95000</v>
      </c>
      <c r="T133" s="424">
        <f t="shared" si="169"/>
        <v>336000</v>
      </c>
      <c r="U133" s="424">
        <f t="shared" si="170"/>
        <v>370356.337344</v>
      </c>
      <c r="V133" s="424">
        <f t="shared" si="171"/>
        <v>930356.337344</v>
      </c>
      <c r="W133" s="431">
        <v>12</v>
      </c>
      <c r="X133" s="424">
        <f t="shared" si="172"/>
        <v>77529.694778666701</v>
      </c>
      <c r="Y133" s="427"/>
      <c r="Z133" s="424">
        <f t="shared" si="173"/>
        <v>77529.694778666701</v>
      </c>
      <c r="AA133" s="436">
        <v>46081.202598666699</v>
      </c>
      <c r="AB133" s="436">
        <f t="shared" si="174"/>
        <v>31448.492180000001</v>
      </c>
      <c r="AC133" s="436"/>
      <c r="AD133" s="436"/>
      <c r="AE133" s="436"/>
    </row>
    <row r="134" spans="1:31" ht="18" x14ac:dyDescent="0.15">
      <c r="A134" s="421">
        <v>117</v>
      </c>
      <c r="B134" s="9" t="s">
        <v>280</v>
      </c>
      <c r="C134" s="424">
        <v>554373.75</v>
      </c>
      <c r="D134" s="423">
        <v>12</v>
      </c>
      <c r="E134" s="424">
        <f t="shared" si="159"/>
        <v>6652485</v>
      </c>
      <c r="F134" s="424">
        <f t="shared" si="175"/>
        <v>8546.9429999999993</v>
      </c>
      <c r="G134" s="425">
        <v>464998.8</v>
      </c>
      <c r="H134" s="427"/>
      <c r="I134" s="424">
        <f t="shared" si="160"/>
        <v>6178939.2570000002</v>
      </c>
      <c r="J134" s="424">
        <v>200000</v>
      </c>
      <c r="K134" s="424">
        <v>0.2</v>
      </c>
      <c r="L134" s="424">
        <f t="shared" si="161"/>
        <v>1235787.8514</v>
      </c>
      <c r="M134" s="424">
        <f t="shared" si="162"/>
        <v>1435787.8514</v>
      </c>
      <c r="N134" s="424">
        <f t="shared" si="163"/>
        <v>1909333.5944000001</v>
      </c>
      <c r="O134" s="424">
        <f t="shared" si="164"/>
        <v>4743151.4056000002</v>
      </c>
      <c r="P134" s="424">
        <f t="shared" si="165"/>
        <v>21000</v>
      </c>
      <c r="Q134" s="424">
        <f t="shared" si="166"/>
        <v>33000</v>
      </c>
      <c r="R134" s="424">
        <f t="shared" si="167"/>
        <v>75000</v>
      </c>
      <c r="S134" s="424">
        <f t="shared" si="168"/>
        <v>95000</v>
      </c>
      <c r="T134" s="424">
        <f t="shared" si="169"/>
        <v>336000</v>
      </c>
      <c r="U134" s="424">
        <f t="shared" si="170"/>
        <v>370356.337344</v>
      </c>
      <c r="V134" s="424">
        <f t="shared" si="171"/>
        <v>930356.337344</v>
      </c>
      <c r="W134" s="431">
        <v>12</v>
      </c>
      <c r="X134" s="424">
        <f t="shared" si="172"/>
        <v>77529.694778666701</v>
      </c>
      <c r="Y134" s="427"/>
      <c r="Z134" s="424">
        <f t="shared" si="173"/>
        <v>77529.694778666701</v>
      </c>
      <c r="AA134" s="436">
        <v>46081.202598666699</v>
      </c>
      <c r="AB134" s="436">
        <f t="shared" si="174"/>
        <v>31448.492180000001</v>
      </c>
      <c r="AC134" s="436"/>
      <c r="AD134" s="436"/>
      <c r="AE134" s="436"/>
    </row>
    <row r="135" spans="1:31" ht="18" x14ac:dyDescent="0.15">
      <c r="A135" s="421">
        <v>118</v>
      </c>
      <c r="B135" s="9" t="s">
        <v>213</v>
      </c>
      <c r="C135" s="424">
        <v>450086.5</v>
      </c>
      <c r="D135" s="423">
        <v>12</v>
      </c>
      <c r="E135" s="424">
        <f t="shared" si="159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60"/>
        <v>5019635.5049999999</v>
      </c>
      <c r="J135" s="424">
        <v>200000</v>
      </c>
      <c r="K135" s="424">
        <v>0.2</v>
      </c>
      <c r="L135" s="424">
        <f t="shared" si="161"/>
        <v>1003927.101</v>
      </c>
      <c r="M135" s="424">
        <f t="shared" si="162"/>
        <v>1203927.101</v>
      </c>
      <c r="N135" s="424">
        <f t="shared" si="163"/>
        <v>1585329.5959999999</v>
      </c>
      <c r="O135" s="424">
        <f t="shared" si="164"/>
        <v>3815708.4040000001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147770.01696000001</v>
      </c>
      <c r="V135" s="424">
        <f t="shared" si="171"/>
        <v>707770.01696000004</v>
      </c>
      <c r="W135" s="431">
        <v>12</v>
      </c>
      <c r="X135" s="424">
        <f t="shared" si="172"/>
        <v>58980.834746666696</v>
      </c>
      <c r="Y135" s="427"/>
      <c r="Z135" s="424">
        <f t="shared" si="173"/>
        <v>58980.834746666696</v>
      </c>
      <c r="AA135" s="436">
        <v>35221.954086666701</v>
      </c>
      <c r="AB135" s="436">
        <f t="shared" si="174"/>
        <v>23758.880659999999</v>
      </c>
      <c r="AC135" s="436"/>
      <c r="AD135" s="436"/>
      <c r="AE135" s="436"/>
    </row>
    <row r="136" spans="1:31" ht="18" x14ac:dyDescent="0.15">
      <c r="A136" s="421">
        <v>119</v>
      </c>
      <c r="B136" s="9" t="s">
        <v>281</v>
      </c>
      <c r="C136" s="424">
        <v>450086.5</v>
      </c>
      <c r="D136" s="423">
        <v>12</v>
      </c>
      <c r="E136" s="424">
        <f t="shared" si="159"/>
        <v>5401038</v>
      </c>
      <c r="F136" s="424"/>
      <c r="G136" s="425">
        <v>374483.04</v>
      </c>
      <c r="H136" s="427"/>
      <c r="I136" s="424">
        <f t="shared" si="160"/>
        <v>5026554.96</v>
      </c>
      <c r="J136" s="424">
        <v>200000</v>
      </c>
      <c r="K136" s="424">
        <v>0.2</v>
      </c>
      <c r="L136" s="424">
        <f t="shared" si="161"/>
        <v>1005310.992</v>
      </c>
      <c r="M136" s="424">
        <f t="shared" si="162"/>
        <v>1205310.9920000001</v>
      </c>
      <c r="N136" s="424">
        <f t="shared" si="163"/>
        <v>1579794.0319999999</v>
      </c>
      <c r="O136" s="424">
        <f t="shared" si="164"/>
        <v>3821243.9679999999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149098.55231999999</v>
      </c>
      <c r="V136" s="424">
        <f t="shared" si="171"/>
        <v>709098.55232000002</v>
      </c>
      <c r="W136" s="431">
        <v>12</v>
      </c>
      <c r="X136" s="424">
        <f t="shared" si="172"/>
        <v>59091.5460266667</v>
      </c>
      <c r="Y136" s="427"/>
      <c r="Z136" s="424">
        <f t="shared" si="173"/>
        <v>59091.5460266667</v>
      </c>
      <c r="AA136" s="436">
        <v>35318.826456666699</v>
      </c>
      <c r="AB136" s="436">
        <f t="shared" si="174"/>
        <v>23772.719570000001</v>
      </c>
      <c r="AC136" s="436"/>
      <c r="AD136" s="436"/>
      <c r="AE136" s="436"/>
    </row>
    <row r="137" spans="1:31" ht="18" x14ac:dyDescent="0.15">
      <c r="A137" s="421">
        <v>120</v>
      </c>
      <c r="B137" s="9" t="s">
        <v>282</v>
      </c>
      <c r="C137" s="424">
        <v>510248.91666666698</v>
      </c>
      <c r="D137" s="423">
        <v>12</v>
      </c>
      <c r="E137" s="424">
        <f t="shared" si="159"/>
        <v>6122987</v>
      </c>
      <c r="F137" s="424"/>
      <c r="G137" s="425">
        <v>374483.04</v>
      </c>
      <c r="H137" s="427"/>
      <c r="I137" s="424">
        <f t="shared" si="160"/>
        <v>5748503.96</v>
      </c>
      <c r="J137" s="424">
        <v>200000</v>
      </c>
      <c r="K137" s="424">
        <v>0.2</v>
      </c>
      <c r="L137" s="424">
        <f t="shared" si="161"/>
        <v>1149700.7919999999</v>
      </c>
      <c r="M137" s="424">
        <f t="shared" si="162"/>
        <v>1349700.7919999999</v>
      </c>
      <c r="N137" s="424">
        <f t="shared" si="163"/>
        <v>1724183.8319999999</v>
      </c>
      <c r="O137" s="424">
        <f t="shared" si="164"/>
        <v>4398803.1679999996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287712.76032000099</v>
      </c>
      <c r="V137" s="424">
        <f t="shared" si="171"/>
        <v>847712.76032000105</v>
      </c>
      <c r="W137" s="431">
        <v>12</v>
      </c>
      <c r="X137" s="424">
        <f t="shared" si="172"/>
        <v>70642.730026666701</v>
      </c>
      <c r="Y137" s="427"/>
      <c r="Z137" s="424">
        <f t="shared" si="173"/>
        <v>70642.730026666701</v>
      </c>
      <c r="AA137" s="436">
        <v>35318.826456666699</v>
      </c>
      <c r="AB137" s="436">
        <f t="shared" si="174"/>
        <v>35323.903570000002</v>
      </c>
      <c r="AC137" s="436"/>
      <c r="AD137" s="436"/>
      <c r="AE137" s="436"/>
    </row>
    <row r="138" spans="1:31" ht="31.5" x14ac:dyDescent="0.2">
      <c r="A138" s="421">
        <v>121</v>
      </c>
      <c r="B138" s="9" t="s">
        <v>284</v>
      </c>
      <c r="C138" s="424">
        <v>437895.16666666698</v>
      </c>
      <c r="D138" s="423">
        <v>12</v>
      </c>
      <c r="E138" s="424">
        <f t="shared" si="159"/>
        <v>5254742</v>
      </c>
      <c r="F138" s="424"/>
      <c r="G138" s="425">
        <v>362779.36</v>
      </c>
      <c r="H138" s="427"/>
      <c r="I138" s="424">
        <f t="shared" si="160"/>
        <v>4891962.6399999997</v>
      </c>
      <c r="J138" s="424">
        <v>200000</v>
      </c>
      <c r="K138" s="424">
        <v>0.2</v>
      </c>
      <c r="L138" s="424">
        <f t="shared" si="161"/>
        <v>978392.52800000098</v>
      </c>
      <c r="M138" s="424">
        <f t="shared" si="162"/>
        <v>1178392.5279999999</v>
      </c>
      <c r="N138" s="424">
        <f t="shared" si="163"/>
        <v>1541171.888</v>
      </c>
      <c r="O138" s="424">
        <f t="shared" si="164"/>
        <v>3713570.1120000002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123256.826880001</v>
      </c>
      <c r="V138" s="424">
        <f t="shared" si="171"/>
        <v>683256.826880001</v>
      </c>
      <c r="W138" s="431">
        <v>12</v>
      </c>
      <c r="X138" s="424">
        <f t="shared" si="172"/>
        <v>56938.068906666696</v>
      </c>
      <c r="Y138" s="427"/>
      <c r="Z138" s="424">
        <f t="shared" si="173"/>
        <v>56938.068906666696</v>
      </c>
      <c r="AA138" s="436">
        <v>34968.882414666703</v>
      </c>
      <c r="AB138" s="436">
        <f t="shared" si="174"/>
        <v>21969.186492000001</v>
      </c>
      <c r="AC138" s="436"/>
      <c r="AD138" s="436"/>
      <c r="AE138" s="436"/>
    </row>
    <row r="139" spans="1:31" ht="18" x14ac:dyDescent="0.15">
      <c r="A139" s="421">
        <v>122</v>
      </c>
      <c r="B139" s="9" t="s">
        <v>286</v>
      </c>
      <c r="C139" s="424">
        <v>425703.83333333302</v>
      </c>
      <c r="D139" s="423">
        <v>12</v>
      </c>
      <c r="E139" s="424">
        <f t="shared" si="159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60"/>
        <v>4750914.0559999999</v>
      </c>
      <c r="J139" s="424">
        <v>200000</v>
      </c>
      <c r="K139" s="424">
        <v>0.2</v>
      </c>
      <c r="L139" s="424">
        <f t="shared" si="161"/>
        <v>950182.81119999895</v>
      </c>
      <c r="M139" s="424">
        <f t="shared" si="162"/>
        <v>1150182.8112000001</v>
      </c>
      <c r="N139" s="424">
        <f t="shared" si="163"/>
        <v>1507714.7552</v>
      </c>
      <c r="O139" s="424">
        <f t="shared" si="164"/>
        <v>3600731.2448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96175.498751999199</v>
      </c>
      <c r="V139" s="424">
        <f t="shared" si="171"/>
        <v>656175.498751999</v>
      </c>
      <c r="W139" s="431">
        <v>12</v>
      </c>
      <c r="X139" s="424">
        <f t="shared" si="172"/>
        <v>54681.2915626666</v>
      </c>
      <c r="Y139" s="427"/>
      <c r="Z139" s="424">
        <f t="shared" si="173"/>
        <v>54681.2915626666</v>
      </c>
      <c r="AA139" s="436">
        <v>32848.563402666703</v>
      </c>
      <c r="AB139" s="436">
        <f t="shared" si="174"/>
        <v>21832.728159999901</v>
      </c>
      <c r="AC139" s="436"/>
      <c r="AD139" s="436"/>
      <c r="AE139" s="436"/>
    </row>
    <row r="140" spans="1:31" ht="18" x14ac:dyDescent="0.15">
      <c r="A140" s="421">
        <v>123</v>
      </c>
      <c r="B140" s="9" t="s">
        <v>60</v>
      </c>
      <c r="C140" s="570">
        <v>591753.16666666698</v>
      </c>
      <c r="D140" s="423">
        <v>12</v>
      </c>
      <c r="E140" s="424">
        <f t="shared" si="159"/>
        <v>7101038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6719635.5049999999</v>
      </c>
      <c r="J140" s="424">
        <v>200000</v>
      </c>
      <c r="K140" s="424">
        <v>0.2</v>
      </c>
      <c r="L140" s="424">
        <f t="shared" si="161"/>
        <v>1343927.101</v>
      </c>
      <c r="M140" s="424">
        <f t="shared" si="162"/>
        <v>1543927.101</v>
      </c>
      <c r="N140" s="424">
        <f t="shared" si="163"/>
        <v>1925329.5959999999</v>
      </c>
      <c r="O140" s="424">
        <f t="shared" si="164"/>
        <v>5175708.4040000001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474170.01696000103</v>
      </c>
      <c r="V140" s="424">
        <f t="shared" si="171"/>
        <v>1034170.01696</v>
      </c>
      <c r="W140" s="431">
        <v>12</v>
      </c>
      <c r="X140" s="424">
        <f t="shared" si="172"/>
        <v>86180.834746666704</v>
      </c>
      <c r="Y140" s="427"/>
      <c r="Z140" s="424">
        <f t="shared" si="173"/>
        <v>86180.834746666704</v>
      </c>
      <c r="AA140" s="436">
        <v>35221.954086666701</v>
      </c>
      <c r="AB140" s="436">
        <f t="shared" si="174"/>
        <v>50958.880660000003</v>
      </c>
      <c r="AC140" s="436"/>
      <c r="AD140" s="436"/>
      <c r="AE140" s="436"/>
    </row>
    <row r="141" spans="1:31" ht="18" x14ac:dyDescent="0.15">
      <c r="A141" s="421">
        <v>124</v>
      </c>
      <c r="B141" s="16" t="s">
        <v>288</v>
      </c>
      <c r="C141" s="424">
        <v>413512.5</v>
      </c>
      <c r="D141" s="423">
        <v>12</v>
      </c>
      <c r="E141" s="424">
        <f t="shared" si="159"/>
        <v>4962150</v>
      </c>
      <c r="F141" s="424">
        <v>0</v>
      </c>
      <c r="G141" s="425">
        <v>339372</v>
      </c>
      <c r="H141" s="427"/>
      <c r="I141" s="424">
        <f t="shared" si="160"/>
        <v>4622778</v>
      </c>
      <c r="J141" s="424">
        <v>200000</v>
      </c>
      <c r="K141" s="424">
        <v>0.2</v>
      </c>
      <c r="L141" s="424">
        <f t="shared" si="161"/>
        <v>924555.6</v>
      </c>
      <c r="M141" s="424">
        <f t="shared" si="162"/>
        <v>1124555.6000000001</v>
      </c>
      <c r="N141" s="424">
        <f t="shared" si="163"/>
        <v>1463927.6</v>
      </c>
      <c r="O141" s="424">
        <f t="shared" si="164"/>
        <v>3498222.4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71573.376000000004</v>
      </c>
      <c r="V141" s="424">
        <f t="shared" si="171"/>
        <v>631573.37600000005</v>
      </c>
      <c r="W141" s="431">
        <v>12</v>
      </c>
      <c r="X141" s="424">
        <f t="shared" si="172"/>
        <v>52631.114666666697</v>
      </c>
      <c r="Y141" s="427"/>
      <c r="Z141" s="424">
        <f t="shared" si="173"/>
        <v>52631.114666666697</v>
      </c>
      <c r="AA141" s="436">
        <v>31749.175266666702</v>
      </c>
      <c r="AB141" s="436">
        <f t="shared" si="174"/>
        <v>20881.939399999999</v>
      </c>
      <c r="AC141" s="436"/>
      <c r="AD141" s="436"/>
      <c r="AE141" s="436"/>
    </row>
    <row r="142" spans="1:31" ht="18" x14ac:dyDescent="0.15">
      <c r="A142" s="421">
        <v>125</v>
      </c>
      <c r="B142" s="9" t="s">
        <v>290</v>
      </c>
      <c r="C142" s="424">
        <v>368901.5</v>
      </c>
      <c r="D142" s="423">
        <v>12</v>
      </c>
      <c r="E142" s="424">
        <f t="shared" si="159"/>
        <v>4426818</v>
      </c>
      <c r="F142" s="424"/>
      <c r="G142" s="425">
        <v>296545.44</v>
      </c>
      <c r="H142" s="427"/>
      <c r="I142" s="424">
        <f t="shared" si="160"/>
        <v>4130272.56</v>
      </c>
      <c r="J142" s="424">
        <v>200000</v>
      </c>
      <c r="K142" s="424">
        <v>0.2</v>
      </c>
      <c r="L142" s="424">
        <f t="shared" si="161"/>
        <v>826054.51199999999</v>
      </c>
      <c r="M142" s="424">
        <f t="shared" si="162"/>
        <v>1026054.512</v>
      </c>
      <c r="N142" s="424">
        <f t="shared" si="163"/>
        <v>1322599.952</v>
      </c>
      <c r="O142" s="424">
        <f t="shared" si="164"/>
        <v>3104218.048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315885.79008000001</v>
      </c>
      <c r="U142" s="424"/>
      <c r="V142" s="424">
        <f t="shared" si="171"/>
        <v>539885.79007999995</v>
      </c>
      <c r="W142" s="431">
        <v>12</v>
      </c>
      <c r="X142" s="424">
        <f t="shared" si="172"/>
        <v>44990.482506666704</v>
      </c>
      <c r="Y142" s="427"/>
      <c r="Z142" s="424">
        <f t="shared" si="173"/>
        <v>44990.482506666704</v>
      </c>
      <c r="AA142" s="436">
        <v>27105.986562666702</v>
      </c>
      <c r="AB142" s="436">
        <f t="shared" si="174"/>
        <v>17884.495943999998</v>
      </c>
      <c r="AC142" s="436"/>
      <c r="AD142" s="436"/>
      <c r="AE142" s="436"/>
    </row>
    <row r="143" spans="1:31" ht="18" x14ac:dyDescent="0.15">
      <c r="A143" s="421">
        <v>126</v>
      </c>
      <c r="B143" s="9" t="s">
        <v>291</v>
      </c>
      <c r="C143" s="424">
        <v>376837.41666666698</v>
      </c>
      <c r="D143" s="423">
        <v>12</v>
      </c>
      <c r="E143" s="424">
        <f t="shared" si="159"/>
        <v>4522049</v>
      </c>
      <c r="F143" s="424">
        <f>469.4825*12</f>
        <v>5633.79</v>
      </c>
      <c r="G143" s="425">
        <v>304163.92</v>
      </c>
      <c r="H143" s="427"/>
      <c r="I143" s="424">
        <f t="shared" si="160"/>
        <v>4212251.29</v>
      </c>
      <c r="J143" s="424">
        <v>200000</v>
      </c>
      <c r="K143" s="424">
        <v>0.2</v>
      </c>
      <c r="L143" s="424">
        <f t="shared" si="161"/>
        <v>842450.25800000096</v>
      </c>
      <c r="M143" s="424">
        <f t="shared" si="162"/>
        <v>1042450.258</v>
      </c>
      <c r="N143" s="424">
        <f t="shared" si="163"/>
        <v>1352247.9680000001</v>
      </c>
      <c r="O143" s="424">
        <f t="shared" si="164"/>
        <v>3169801.0320000001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329658.21672000102</v>
      </c>
      <c r="U143" s="424"/>
      <c r="V143" s="424">
        <f t="shared" si="171"/>
        <v>553658.21672000096</v>
      </c>
      <c r="W143" s="431">
        <v>12</v>
      </c>
      <c r="X143" s="424">
        <f t="shared" si="172"/>
        <v>46138.184726666703</v>
      </c>
      <c r="Y143" s="427"/>
      <c r="Z143" s="424">
        <f t="shared" si="173"/>
        <v>46138.184726666703</v>
      </c>
      <c r="AA143" s="436">
        <v>27794.206626666699</v>
      </c>
      <c r="AB143" s="436">
        <f t="shared" si="174"/>
        <v>18343.9781</v>
      </c>
      <c r="AC143" s="436"/>
      <c r="AD143" s="436"/>
      <c r="AE143" s="436"/>
    </row>
    <row r="144" spans="1:31" ht="18" x14ac:dyDescent="0.15">
      <c r="A144" s="421">
        <v>127</v>
      </c>
      <c r="B144" s="9" t="s">
        <v>293</v>
      </c>
      <c r="C144" s="424">
        <v>376837.41666666698</v>
      </c>
      <c r="D144" s="423">
        <v>12</v>
      </c>
      <c r="E144" s="424">
        <f t="shared" si="159"/>
        <v>4522049</v>
      </c>
      <c r="F144" s="424"/>
      <c r="G144" s="425">
        <v>304163.92</v>
      </c>
      <c r="H144" s="427"/>
      <c r="I144" s="424">
        <f t="shared" si="160"/>
        <v>4217885.08</v>
      </c>
      <c r="J144" s="424">
        <v>200000</v>
      </c>
      <c r="K144" s="424">
        <v>0.2</v>
      </c>
      <c r="L144" s="424">
        <f t="shared" si="161"/>
        <v>843577.01600000099</v>
      </c>
      <c r="M144" s="424">
        <f t="shared" si="162"/>
        <v>1043577.0159999999</v>
      </c>
      <c r="N144" s="424">
        <f t="shared" si="163"/>
        <v>1347740.936</v>
      </c>
      <c r="O144" s="424">
        <f t="shared" si="164"/>
        <v>3174308.0639999998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330604.69344000099</v>
      </c>
      <c r="U144" s="424"/>
      <c r="V144" s="424">
        <f t="shared" si="171"/>
        <v>554604.69344000099</v>
      </c>
      <c r="W144" s="431">
        <v>12</v>
      </c>
      <c r="X144" s="424">
        <f t="shared" si="172"/>
        <v>46217.057786666701</v>
      </c>
      <c r="Y144" s="427"/>
      <c r="Z144" s="424">
        <f t="shared" si="173"/>
        <v>46217.057786666701</v>
      </c>
      <c r="AA144" s="436">
        <v>27873.079686666701</v>
      </c>
      <c r="AB144" s="436">
        <f t="shared" si="174"/>
        <v>18343.9781</v>
      </c>
      <c r="AC144" s="436"/>
      <c r="AD144" s="436"/>
      <c r="AE144" s="436"/>
    </row>
    <row r="145" spans="1:31" ht="18" x14ac:dyDescent="0.15">
      <c r="A145" s="421">
        <v>128</v>
      </c>
      <c r="B145" s="9" t="s">
        <v>294</v>
      </c>
      <c r="C145" s="424">
        <v>360965.58333333302</v>
      </c>
      <c r="D145" s="423">
        <v>12</v>
      </c>
      <c r="E145" s="424">
        <f t="shared" si="159"/>
        <v>4331587</v>
      </c>
      <c r="F145" s="424"/>
      <c r="G145" s="425">
        <v>288926.96000000002</v>
      </c>
      <c r="H145" s="427"/>
      <c r="I145" s="424">
        <f t="shared" si="160"/>
        <v>4042660.04</v>
      </c>
      <c r="J145" s="424">
        <v>200000</v>
      </c>
      <c r="K145" s="424">
        <v>0.2</v>
      </c>
      <c r="L145" s="424">
        <f t="shared" si="161"/>
        <v>808532.00799999898</v>
      </c>
      <c r="M145" s="424">
        <f t="shared" si="162"/>
        <v>1008532.008</v>
      </c>
      <c r="N145" s="424">
        <f t="shared" si="163"/>
        <v>1297458.9680000001</v>
      </c>
      <c r="O145" s="424">
        <f t="shared" si="164"/>
        <v>3034128.0320000001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301166.88671999902</v>
      </c>
      <c r="U145" s="424"/>
      <c r="V145" s="424">
        <f t="shared" si="171"/>
        <v>525166.88671999902</v>
      </c>
      <c r="W145" s="431">
        <v>12</v>
      </c>
      <c r="X145" s="424">
        <f t="shared" si="172"/>
        <v>43763.907226666597</v>
      </c>
      <c r="Y145" s="427"/>
      <c r="Z145" s="424">
        <f t="shared" si="173"/>
        <v>43763.907226666597</v>
      </c>
      <c r="AA145" s="436">
        <v>27105.986562666702</v>
      </c>
      <c r="AB145" s="436">
        <f t="shared" si="174"/>
        <v>16657.920663999899</v>
      </c>
      <c r="AC145" s="436"/>
      <c r="AD145" s="436"/>
      <c r="AE145" s="436"/>
    </row>
    <row r="146" spans="1:31" ht="31.5" x14ac:dyDescent="0.2">
      <c r="A146" s="421">
        <v>129</v>
      </c>
      <c r="B146" s="9" t="s">
        <v>296</v>
      </c>
      <c r="C146" s="424">
        <v>323165.33333333302</v>
      </c>
      <c r="D146" s="423">
        <v>12</v>
      </c>
      <c r="E146" s="424">
        <f t="shared" si="159"/>
        <v>3877984</v>
      </c>
      <c r="F146" s="424"/>
      <c r="G146" s="425">
        <v>252638.72</v>
      </c>
      <c r="H146" s="427"/>
      <c r="I146" s="424">
        <f t="shared" si="160"/>
        <v>3625345.28</v>
      </c>
      <c r="J146" s="424">
        <v>200000</v>
      </c>
      <c r="K146" s="424">
        <v>0.2</v>
      </c>
      <c r="L146" s="424">
        <f t="shared" si="161"/>
        <v>725069.05599999905</v>
      </c>
      <c r="M146" s="424">
        <f t="shared" si="162"/>
        <v>925069.05599999905</v>
      </c>
      <c r="N146" s="424">
        <f t="shared" si="163"/>
        <v>1177707.7760000001</v>
      </c>
      <c r="O146" s="424">
        <f t="shared" si="164"/>
        <v>2700276.2239999999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231058.00703999901</v>
      </c>
      <c r="U146" s="424"/>
      <c r="V146" s="424">
        <f t="shared" si="171"/>
        <v>455058.00703999901</v>
      </c>
      <c r="W146" s="431">
        <v>12</v>
      </c>
      <c r="X146" s="424">
        <f t="shared" si="172"/>
        <v>37921.500586666603</v>
      </c>
      <c r="Y146" s="427"/>
      <c r="Z146" s="424">
        <f t="shared" si="173"/>
        <v>37921.500586666603</v>
      </c>
      <c r="AA146" s="436">
        <v>22338.4826046667</v>
      </c>
      <c r="AB146" s="436">
        <f t="shared" si="174"/>
        <v>15583.017981999899</v>
      </c>
      <c r="AC146" s="436"/>
      <c r="AD146" s="436"/>
      <c r="AE146" s="436"/>
    </row>
    <row r="147" spans="1:31" ht="18" x14ac:dyDescent="0.15">
      <c r="A147" s="421">
        <v>130</v>
      </c>
      <c r="B147" s="9" t="s">
        <v>298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" x14ac:dyDescent="0.15">
      <c r="A148" s="421">
        <v>131</v>
      </c>
      <c r="B148" s="9" t="s">
        <v>301</v>
      </c>
      <c r="C148" s="424">
        <v>330481.66666666698</v>
      </c>
      <c r="D148" s="423">
        <v>12</v>
      </c>
      <c r="E148" s="424">
        <f t="shared" si="159"/>
        <v>3965780</v>
      </c>
      <c r="F148" s="424"/>
      <c r="G148" s="425">
        <v>259662.4</v>
      </c>
      <c r="H148" s="427"/>
      <c r="I148" s="424">
        <f t="shared" si="160"/>
        <v>3706117.6</v>
      </c>
      <c r="J148" s="424">
        <v>200000</v>
      </c>
      <c r="K148" s="424">
        <v>0.2</v>
      </c>
      <c r="L148" s="424">
        <f t="shared" si="161"/>
        <v>741223.52000000095</v>
      </c>
      <c r="M148" s="424">
        <f t="shared" si="162"/>
        <v>941223.52000000095</v>
      </c>
      <c r="N148" s="424">
        <f t="shared" si="163"/>
        <v>1200885.92</v>
      </c>
      <c r="O148" s="424">
        <f t="shared" si="164"/>
        <v>2764894.08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244627.75680000099</v>
      </c>
      <c r="U148" s="424"/>
      <c r="V148" s="424">
        <f t="shared" si="171"/>
        <v>468627.75680000102</v>
      </c>
      <c r="W148" s="431">
        <v>12</v>
      </c>
      <c r="X148" s="424">
        <f t="shared" si="172"/>
        <v>39052.313066666698</v>
      </c>
      <c r="Y148" s="427"/>
      <c r="Z148" s="424">
        <f t="shared" si="173"/>
        <v>39052.313066666698</v>
      </c>
      <c r="AA148" s="436">
        <v>23036.012346666699</v>
      </c>
      <c r="AB148" s="436">
        <f t="shared" si="174"/>
        <v>16016.300719999999</v>
      </c>
      <c r="AC148" s="436"/>
      <c r="AD148" s="436"/>
      <c r="AE148" s="436"/>
    </row>
    <row r="149" spans="1:31" ht="18" x14ac:dyDescent="0.15">
      <c r="A149" s="421">
        <v>132</v>
      </c>
      <c r="B149" s="9" t="s">
        <v>303</v>
      </c>
      <c r="C149" s="424">
        <v>368901.5</v>
      </c>
      <c r="D149" s="423">
        <v>12</v>
      </c>
      <c r="E149" s="424">
        <f t="shared" si="159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60"/>
        <v>4124788.068</v>
      </c>
      <c r="J149" s="424">
        <v>200000</v>
      </c>
      <c r="K149" s="424">
        <v>0.2</v>
      </c>
      <c r="L149" s="424">
        <f t="shared" si="161"/>
        <v>824957.61360000004</v>
      </c>
      <c r="M149" s="424">
        <f t="shared" si="162"/>
        <v>1024957.6136</v>
      </c>
      <c r="N149" s="424">
        <f t="shared" si="163"/>
        <v>1326987.5456000001</v>
      </c>
      <c r="O149" s="424">
        <f t="shared" si="164"/>
        <v>3099830.4544000002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314964.39542399999</v>
      </c>
      <c r="U149" s="424"/>
      <c r="V149" s="424">
        <f t="shared" si="171"/>
        <v>538964.39542399999</v>
      </c>
      <c r="W149" s="431">
        <v>12</v>
      </c>
      <c r="X149" s="424">
        <f t="shared" si="172"/>
        <v>44913.699618666702</v>
      </c>
      <c r="Y149" s="427"/>
      <c r="Z149" s="424">
        <f t="shared" si="173"/>
        <v>44913.699618666702</v>
      </c>
      <c r="AA149" s="436">
        <v>27029.2036746667</v>
      </c>
      <c r="AB149" s="436">
        <f t="shared" si="174"/>
        <v>17884.495943999998</v>
      </c>
      <c r="AC149" s="436"/>
      <c r="AD149" s="436"/>
      <c r="AE149" s="436"/>
    </row>
    <row r="150" spans="1:31" ht="18" x14ac:dyDescent="0.15">
      <c r="A150" s="421">
        <v>133</v>
      </c>
      <c r="B150" s="9" t="s">
        <v>305</v>
      </c>
      <c r="C150" s="424">
        <v>330481.66666666698</v>
      </c>
      <c r="D150" s="423">
        <v>12</v>
      </c>
      <c r="E150" s="424">
        <f t="shared" si="159"/>
        <v>3965780</v>
      </c>
      <c r="F150" s="424"/>
      <c r="G150" s="425">
        <v>259662.4</v>
      </c>
      <c r="H150" s="427"/>
      <c r="I150" s="424">
        <f t="shared" si="160"/>
        <v>3706117.6</v>
      </c>
      <c r="J150" s="424">
        <v>200000</v>
      </c>
      <c r="K150" s="424">
        <v>0.2</v>
      </c>
      <c r="L150" s="424">
        <f t="shared" si="161"/>
        <v>741223.52000000095</v>
      </c>
      <c r="M150" s="424">
        <f t="shared" si="162"/>
        <v>941223.52000000095</v>
      </c>
      <c r="N150" s="424">
        <f t="shared" si="163"/>
        <v>1200885.92</v>
      </c>
      <c r="O150" s="424">
        <f t="shared" si="164"/>
        <v>2764894.08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244627.75680000099</v>
      </c>
      <c r="U150" s="424"/>
      <c r="V150" s="424">
        <f t="shared" si="171"/>
        <v>468627.75680000102</v>
      </c>
      <c r="W150" s="431">
        <v>12</v>
      </c>
      <c r="X150" s="424">
        <f t="shared" si="172"/>
        <v>39052.313066666698</v>
      </c>
      <c r="Y150" s="427"/>
      <c r="Z150" s="424">
        <f t="shared" si="173"/>
        <v>39052.313066666698</v>
      </c>
      <c r="AA150" s="436">
        <v>22338.4826046667</v>
      </c>
      <c r="AB150" s="436">
        <f t="shared" si="174"/>
        <v>16713.830462000002</v>
      </c>
      <c r="AC150" s="436"/>
      <c r="AD150" s="436"/>
      <c r="AE150" s="436"/>
    </row>
    <row r="151" spans="1:31" ht="18" x14ac:dyDescent="0.15">
      <c r="A151" s="421">
        <v>134</v>
      </c>
      <c r="B151" s="16" t="s">
        <v>307</v>
      </c>
      <c r="C151" s="424">
        <v>315849</v>
      </c>
      <c r="D151" s="423">
        <v>12</v>
      </c>
      <c r="E151" s="424">
        <f t="shared" si="159"/>
        <v>3790188</v>
      </c>
      <c r="F151" s="424"/>
      <c r="G151" s="425">
        <v>245615.04</v>
      </c>
      <c r="H151" s="427"/>
      <c r="I151" s="424">
        <f t="shared" si="160"/>
        <v>3544572.96</v>
      </c>
      <c r="J151" s="424">
        <v>200000</v>
      </c>
      <c r="K151" s="424">
        <v>0.2</v>
      </c>
      <c r="L151" s="424">
        <f t="shared" si="161"/>
        <v>708914.59199999995</v>
      </c>
      <c r="M151" s="424">
        <f t="shared" si="162"/>
        <v>908914.59199999995</v>
      </c>
      <c r="N151" s="424">
        <f t="shared" si="163"/>
        <v>1154529.632</v>
      </c>
      <c r="O151" s="424">
        <f t="shared" si="164"/>
        <v>2635658.3679999998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217488.25727999999</v>
      </c>
      <c r="U151" s="424"/>
      <c r="V151" s="424">
        <f t="shared" si="171"/>
        <v>441488.25728000002</v>
      </c>
      <c r="W151" s="431">
        <v>12</v>
      </c>
      <c r="X151" s="424">
        <f t="shared" si="172"/>
        <v>36790.688106666697</v>
      </c>
      <c r="Y151" s="427"/>
      <c r="Z151" s="424">
        <f t="shared" si="173"/>
        <v>36790.688106666697</v>
      </c>
      <c r="AA151" s="436">
        <v>21640.952862666702</v>
      </c>
      <c r="AB151" s="436">
        <f t="shared" si="174"/>
        <v>15149.735244</v>
      </c>
      <c r="AC151" s="436"/>
      <c r="AD151" s="436"/>
      <c r="AE151" s="436"/>
    </row>
    <row r="152" spans="1:31" ht="18" x14ac:dyDescent="0.15">
      <c r="A152" s="421">
        <v>135</v>
      </c>
      <c r="B152" s="16" t="s">
        <v>312</v>
      </c>
      <c r="C152" s="424">
        <v>274459.75</v>
      </c>
      <c r="D152" s="423">
        <v>12</v>
      </c>
      <c r="E152" s="424">
        <f t="shared" si="159"/>
        <v>3293517</v>
      </c>
      <c r="F152" s="424">
        <v>0</v>
      </c>
      <c r="G152" s="425">
        <v>215481.36</v>
      </c>
      <c r="H152" s="427"/>
      <c r="I152" s="424">
        <f t="shared" si="160"/>
        <v>3078035.64</v>
      </c>
      <c r="J152" s="424">
        <v>200000</v>
      </c>
      <c r="K152" s="424">
        <v>0.2</v>
      </c>
      <c r="L152" s="424">
        <f t="shared" si="161"/>
        <v>615607.12800000003</v>
      </c>
      <c r="M152" s="424">
        <f t="shared" si="162"/>
        <v>815607.12800000003</v>
      </c>
      <c r="N152" s="424">
        <f t="shared" si="163"/>
        <v>1031088.488</v>
      </c>
      <c r="O152" s="424">
        <f t="shared" si="164"/>
        <v>2262428.5120000001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139109.98752</v>
      </c>
      <c r="U152" s="424"/>
      <c r="V152" s="424">
        <f t="shared" si="171"/>
        <v>363109.98752000002</v>
      </c>
      <c r="W152" s="431">
        <v>12</v>
      </c>
      <c r="X152" s="424">
        <f t="shared" si="172"/>
        <v>30259.165626666701</v>
      </c>
      <c r="Y152" s="427"/>
      <c r="Z152" s="424">
        <f t="shared" si="173"/>
        <v>30259.165626666701</v>
      </c>
      <c r="AA152" s="436">
        <v>17042.713866666702</v>
      </c>
      <c r="AB152" s="436">
        <f t="shared" si="174"/>
        <v>13216.45176</v>
      </c>
      <c r="AC152" s="436"/>
      <c r="AD152" s="436"/>
      <c r="AE152" s="436"/>
    </row>
    <row r="153" spans="1:31" ht="18" x14ac:dyDescent="0.15">
      <c r="A153" s="421">
        <v>136</v>
      </c>
      <c r="B153" s="16" t="s">
        <v>314</v>
      </c>
      <c r="C153" s="424">
        <v>274459.75</v>
      </c>
      <c r="D153" s="423">
        <v>12</v>
      </c>
      <c r="E153" s="424">
        <f t="shared" si="159"/>
        <v>3293517</v>
      </c>
      <c r="F153" s="424">
        <v>0</v>
      </c>
      <c r="G153" s="425">
        <v>215481.36</v>
      </c>
      <c r="H153" s="427"/>
      <c r="I153" s="424">
        <f t="shared" si="160"/>
        <v>3078035.64</v>
      </c>
      <c r="J153" s="424">
        <v>200000</v>
      </c>
      <c r="K153" s="424">
        <v>0.2</v>
      </c>
      <c r="L153" s="424">
        <f t="shared" si="161"/>
        <v>615607.12800000003</v>
      </c>
      <c r="M153" s="424">
        <f t="shared" si="162"/>
        <v>815607.12800000003</v>
      </c>
      <c r="N153" s="424">
        <f t="shared" si="163"/>
        <v>1031088.488</v>
      </c>
      <c r="O153" s="424">
        <f t="shared" si="164"/>
        <v>2262428.5120000001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139109.98752</v>
      </c>
      <c r="U153" s="424"/>
      <c r="V153" s="424">
        <f t="shared" si="171"/>
        <v>363109.98752000002</v>
      </c>
      <c r="W153" s="431">
        <v>12</v>
      </c>
      <c r="X153" s="424">
        <f t="shared" si="172"/>
        <v>30259.165626666701</v>
      </c>
      <c r="Y153" s="427"/>
      <c r="Z153" s="424">
        <f t="shared" si="173"/>
        <v>30259.165626666701</v>
      </c>
      <c r="AA153" s="436">
        <v>17042.713866666702</v>
      </c>
      <c r="AB153" s="436">
        <f t="shared" si="174"/>
        <v>13216.45176</v>
      </c>
      <c r="AC153" s="436"/>
      <c r="AD153" s="436"/>
      <c r="AE153" s="436"/>
    </row>
    <row r="154" spans="1:31" ht="31.5" x14ac:dyDescent="0.2">
      <c r="A154" s="421">
        <v>137</v>
      </c>
      <c r="B154" s="16" t="s">
        <v>316</v>
      </c>
      <c r="C154" s="424">
        <v>274459.75</v>
      </c>
      <c r="D154" s="423">
        <v>12</v>
      </c>
      <c r="E154" s="424">
        <f t="shared" si="159"/>
        <v>3293517</v>
      </c>
      <c r="F154" s="424">
        <v>0</v>
      </c>
      <c r="G154" s="425">
        <v>215481.36</v>
      </c>
      <c r="H154" s="427"/>
      <c r="I154" s="424">
        <f t="shared" si="160"/>
        <v>3078035.64</v>
      </c>
      <c r="J154" s="424">
        <v>200000</v>
      </c>
      <c r="K154" s="424">
        <v>0.2</v>
      </c>
      <c r="L154" s="424">
        <f t="shared" si="161"/>
        <v>615607.12800000003</v>
      </c>
      <c r="M154" s="424">
        <f t="shared" si="162"/>
        <v>815607.12800000003</v>
      </c>
      <c r="N154" s="424">
        <f t="shared" si="163"/>
        <v>1031088.488</v>
      </c>
      <c r="O154" s="424">
        <f t="shared" si="164"/>
        <v>2262428.5120000001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139109.98752</v>
      </c>
      <c r="U154" s="424"/>
      <c r="V154" s="424">
        <f t="shared" si="171"/>
        <v>363109.98752000002</v>
      </c>
      <c r="W154" s="431">
        <v>12</v>
      </c>
      <c r="X154" s="424">
        <f t="shared" si="172"/>
        <v>30259.165626666701</v>
      </c>
      <c r="Y154" s="427"/>
      <c r="Z154" s="424">
        <f t="shared" si="173"/>
        <v>30259.165626666701</v>
      </c>
      <c r="AA154" s="436">
        <v>17042.713866666702</v>
      </c>
      <c r="AB154" s="436">
        <f t="shared" si="174"/>
        <v>13216.45176</v>
      </c>
      <c r="AC154" s="436"/>
      <c r="AD154" s="436"/>
      <c r="AE154" s="436"/>
    </row>
    <row r="155" spans="1:31" ht="18" x14ac:dyDescent="0.15">
      <c r="A155" s="421">
        <v>138</v>
      </c>
      <c r="B155" s="16" t="s">
        <v>318</v>
      </c>
      <c r="C155" s="424">
        <v>280631.91666666698</v>
      </c>
      <c r="D155" s="423">
        <v>12</v>
      </c>
      <c r="E155" s="424">
        <f t="shared" si="159"/>
        <v>3367583</v>
      </c>
      <c r="F155" s="424">
        <v>0</v>
      </c>
      <c r="G155" s="425">
        <v>221406.64</v>
      </c>
      <c r="H155" s="427"/>
      <c r="I155" s="424">
        <f t="shared" si="160"/>
        <v>3146176.36</v>
      </c>
      <c r="J155" s="424">
        <v>200000</v>
      </c>
      <c r="K155" s="424">
        <v>0.2</v>
      </c>
      <c r="L155" s="424">
        <f t="shared" si="161"/>
        <v>629235.27200000104</v>
      </c>
      <c r="M155" s="424">
        <f t="shared" si="162"/>
        <v>829235.27200000104</v>
      </c>
      <c r="N155" s="424">
        <f t="shared" si="163"/>
        <v>1050641.912</v>
      </c>
      <c r="O155" s="424">
        <f t="shared" si="164"/>
        <v>2316941.088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150557.628480001</v>
      </c>
      <c r="U155" s="424"/>
      <c r="V155" s="424">
        <f t="shared" si="171"/>
        <v>374557.628480001</v>
      </c>
      <c r="W155" s="431">
        <v>12</v>
      </c>
      <c r="X155" s="424">
        <f t="shared" si="172"/>
        <v>31213.135706666701</v>
      </c>
      <c r="Y155" s="427"/>
      <c r="Z155" s="424">
        <f t="shared" si="173"/>
        <v>31213.135706666701</v>
      </c>
      <c r="AA155" s="436">
        <v>17572.885002666699</v>
      </c>
      <c r="AB155" s="436">
        <f t="shared" si="174"/>
        <v>13640.250704</v>
      </c>
      <c r="AC155" s="436"/>
      <c r="AD155" s="436"/>
      <c r="AE155" s="436"/>
    </row>
    <row r="156" spans="1:31" ht="18" x14ac:dyDescent="0.15">
      <c r="A156" s="421">
        <v>139</v>
      </c>
      <c r="B156" s="16" t="s">
        <v>320</v>
      </c>
      <c r="C156" s="424">
        <v>274459.75</v>
      </c>
      <c r="D156" s="423">
        <v>12</v>
      </c>
      <c r="E156" s="424">
        <f t="shared" si="159"/>
        <v>3293517</v>
      </c>
      <c r="F156" s="424">
        <v>0</v>
      </c>
      <c r="G156" s="425">
        <v>215481.36</v>
      </c>
      <c r="H156" s="427"/>
      <c r="I156" s="424">
        <f t="shared" si="160"/>
        <v>3078035.64</v>
      </c>
      <c r="J156" s="424">
        <v>200000</v>
      </c>
      <c r="K156" s="424">
        <v>0.2</v>
      </c>
      <c r="L156" s="424">
        <f t="shared" si="161"/>
        <v>615607.12800000003</v>
      </c>
      <c r="M156" s="424">
        <f t="shared" si="162"/>
        <v>815607.12800000003</v>
      </c>
      <c r="N156" s="424">
        <f t="shared" si="163"/>
        <v>1031088.488</v>
      </c>
      <c r="O156" s="424">
        <f t="shared" si="164"/>
        <v>2262428.5120000001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139109.98752</v>
      </c>
      <c r="U156" s="424"/>
      <c r="V156" s="424">
        <f t="shared" si="171"/>
        <v>363109.98752000002</v>
      </c>
      <c r="W156" s="431">
        <v>12</v>
      </c>
      <c r="X156" s="424">
        <f t="shared" si="172"/>
        <v>30259.165626666701</v>
      </c>
      <c r="Y156" s="427"/>
      <c r="Z156" s="424">
        <f t="shared" si="173"/>
        <v>30259.165626666701</v>
      </c>
      <c r="AA156" s="436">
        <v>17042.713866666702</v>
      </c>
      <c r="AB156" s="436">
        <f t="shared" si="174"/>
        <v>13216.45176</v>
      </c>
      <c r="AC156" s="436"/>
      <c r="AD156" s="436"/>
      <c r="AE156" s="436"/>
    </row>
    <row r="157" spans="1:31" ht="18" x14ac:dyDescent="0.15">
      <c r="A157" s="421">
        <v>140</v>
      </c>
      <c r="B157" s="9" t="s">
        <v>329</v>
      </c>
      <c r="C157" s="424">
        <v>202598.16666666701</v>
      </c>
      <c r="D157" s="423">
        <v>12</v>
      </c>
      <c r="E157" s="424">
        <f t="shared" si="159"/>
        <v>2431178</v>
      </c>
      <c r="F157" s="424">
        <f>263.19*12</f>
        <v>3158.28</v>
      </c>
      <c r="G157" s="425">
        <v>161854.24</v>
      </c>
      <c r="H157" s="427"/>
      <c r="I157" s="424">
        <f t="shared" si="160"/>
        <v>2266165.48</v>
      </c>
      <c r="J157" s="424">
        <v>200000</v>
      </c>
      <c r="K157" s="424">
        <v>0.2</v>
      </c>
      <c r="L157" s="424">
        <f t="shared" si="161"/>
        <v>453233.09600000101</v>
      </c>
      <c r="M157" s="424">
        <f t="shared" si="162"/>
        <v>653233.09600000095</v>
      </c>
      <c r="N157" s="424">
        <f t="shared" si="163"/>
        <v>818245.61600000097</v>
      </c>
      <c r="O157" s="424">
        <f t="shared" si="164"/>
        <v>1612932.3840000001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2715.8006400006998</v>
      </c>
      <c r="U157" s="424"/>
      <c r="V157" s="424">
        <f t="shared" si="171"/>
        <v>226715.80064000099</v>
      </c>
      <c r="W157" s="431">
        <v>12</v>
      </c>
      <c r="X157" s="424">
        <f t="shared" si="172"/>
        <v>18892.9833866667</v>
      </c>
      <c r="Y157" s="427"/>
      <c r="Z157" s="424">
        <f t="shared" si="173"/>
        <v>18892.9833866667</v>
      </c>
      <c r="AA157" s="436">
        <v>10739.3048</v>
      </c>
      <c r="AB157" s="436">
        <f t="shared" si="174"/>
        <v>8153.6785866667296</v>
      </c>
      <c r="AC157" s="436"/>
      <c r="AD157" s="436"/>
      <c r="AE157" s="436"/>
    </row>
    <row r="158" spans="1:31" ht="18" x14ac:dyDescent="0.15">
      <c r="A158" s="421">
        <v>141</v>
      </c>
      <c r="B158" s="9" t="s">
        <v>332</v>
      </c>
      <c r="C158" s="424">
        <v>205598.16666666701</v>
      </c>
      <c r="D158" s="423">
        <v>12</v>
      </c>
      <c r="E158" s="424">
        <f t="shared" si="159"/>
        <v>2467178</v>
      </c>
      <c r="F158" s="424"/>
      <c r="G158" s="425">
        <v>161854.24</v>
      </c>
      <c r="H158" s="427"/>
      <c r="I158" s="424">
        <f t="shared" si="160"/>
        <v>2305323.7599999998</v>
      </c>
      <c r="J158" s="424">
        <v>200000</v>
      </c>
      <c r="K158" s="424">
        <v>0.2</v>
      </c>
      <c r="L158" s="424">
        <f t="shared" si="161"/>
        <v>461064.75200000103</v>
      </c>
      <c r="M158" s="424">
        <f t="shared" si="162"/>
        <v>661064.75200000103</v>
      </c>
      <c r="N158" s="424">
        <f t="shared" si="163"/>
        <v>822918.99200000102</v>
      </c>
      <c r="O158" s="424">
        <f t="shared" si="164"/>
        <v>1644259.0079999999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9294.39168000067</v>
      </c>
      <c r="U158" s="424"/>
      <c r="V158" s="424">
        <f t="shared" si="171"/>
        <v>233294.39168000099</v>
      </c>
      <c r="W158" s="431">
        <v>12</v>
      </c>
      <c r="X158" s="424">
        <f t="shared" si="172"/>
        <v>19441.199306666698</v>
      </c>
      <c r="Y158" s="427"/>
      <c r="Z158" s="424">
        <f t="shared" si="173"/>
        <v>19441.199306666698</v>
      </c>
      <c r="AA158" s="436">
        <v>11232.457626666701</v>
      </c>
      <c r="AB158" s="436">
        <f t="shared" si="174"/>
        <v>8208.7416800000192</v>
      </c>
      <c r="AC158" s="436"/>
      <c r="AD158" s="436"/>
      <c r="AE158" s="436"/>
    </row>
    <row r="159" spans="1:31" ht="15.75" customHeight="1" x14ac:dyDescent="0.15">
      <c r="A159" s="421">
        <v>142</v>
      </c>
      <c r="B159" s="9" t="s">
        <v>333</v>
      </c>
      <c r="C159" s="424">
        <v>202598.16666666701</v>
      </c>
      <c r="D159" s="423">
        <v>12</v>
      </c>
      <c r="E159" s="424">
        <f t="shared" si="159"/>
        <v>2431178</v>
      </c>
      <c r="F159" s="424"/>
      <c r="G159" s="425">
        <v>161854.24</v>
      </c>
      <c r="H159" s="427"/>
      <c r="I159" s="424">
        <f t="shared" si="160"/>
        <v>2269323.7599999998</v>
      </c>
      <c r="J159" s="424">
        <v>200000</v>
      </c>
      <c r="K159" s="424">
        <v>0.2</v>
      </c>
      <c r="L159" s="424">
        <f t="shared" si="161"/>
        <v>453864.75200000103</v>
      </c>
      <c r="M159" s="424">
        <f t="shared" si="162"/>
        <v>653864.75200000103</v>
      </c>
      <c r="N159" s="424">
        <f t="shared" si="163"/>
        <v>815718.99200000102</v>
      </c>
      <c r="O159" s="424">
        <f t="shared" si="164"/>
        <v>1615459.0079999999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3246.39168000067</v>
      </c>
      <c r="U159" s="424"/>
      <c r="V159" s="424">
        <f t="shared" si="171"/>
        <v>227246.39168000099</v>
      </c>
      <c r="W159" s="431">
        <v>12</v>
      </c>
      <c r="X159" s="424">
        <f t="shared" si="172"/>
        <v>18937.199306666698</v>
      </c>
      <c r="Y159" s="427"/>
      <c r="Z159" s="424">
        <f t="shared" si="173"/>
        <v>18937.199306666698</v>
      </c>
      <c r="AA159" s="436">
        <v>10776.457626666701</v>
      </c>
      <c r="AB159" s="436">
        <f t="shared" si="174"/>
        <v>8160.7416800000201</v>
      </c>
      <c r="AC159" s="436"/>
      <c r="AD159" s="436"/>
      <c r="AE159" s="436"/>
    </row>
    <row r="160" spans="1:31" ht="18" x14ac:dyDescent="0.15">
      <c r="A160" s="421">
        <v>143</v>
      </c>
      <c r="B160" s="9" t="s">
        <v>334</v>
      </c>
      <c r="C160" s="424">
        <v>202598.16666666701</v>
      </c>
      <c r="D160" s="423">
        <v>12</v>
      </c>
      <c r="E160" s="424">
        <f t="shared" si="159"/>
        <v>2431178</v>
      </c>
      <c r="F160" s="424">
        <f>263.19*12</f>
        <v>3158.28</v>
      </c>
      <c r="G160" s="425">
        <v>161854.24</v>
      </c>
      <c r="H160" s="427"/>
      <c r="I160" s="424">
        <f t="shared" si="160"/>
        <v>2266165.48</v>
      </c>
      <c r="J160" s="424">
        <v>200000</v>
      </c>
      <c r="K160" s="424">
        <v>0.2</v>
      </c>
      <c r="L160" s="424">
        <f t="shared" si="161"/>
        <v>453233.09600000101</v>
      </c>
      <c r="M160" s="424">
        <f t="shared" si="162"/>
        <v>653233.09600000095</v>
      </c>
      <c r="N160" s="424">
        <f t="shared" si="163"/>
        <v>818245.61600000097</v>
      </c>
      <c r="O160" s="424">
        <f t="shared" si="164"/>
        <v>1612932.3840000001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2715.8006400006998</v>
      </c>
      <c r="U160" s="424"/>
      <c r="V160" s="424">
        <f t="shared" si="171"/>
        <v>226715.80064000099</v>
      </c>
      <c r="W160" s="431">
        <v>12</v>
      </c>
      <c r="X160" s="424">
        <f t="shared" si="172"/>
        <v>18892.9833866667</v>
      </c>
      <c r="Y160" s="427"/>
      <c r="Z160" s="424">
        <f t="shared" si="173"/>
        <v>18892.9833866667</v>
      </c>
      <c r="AA160" s="436">
        <v>10739.3048</v>
      </c>
      <c r="AB160" s="436">
        <f t="shared" si="174"/>
        <v>8153.6785866667296</v>
      </c>
      <c r="AC160" s="436"/>
      <c r="AD160" s="436"/>
      <c r="AE160" s="436"/>
    </row>
    <row r="161" spans="1:31" ht="18" x14ac:dyDescent="0.15">
      <c r="A161" s="421">
        <v>144</v>
      </c>
      <c r="B161" s="9" t="s">
        <v>335</v>
      </c>
      <c r="C161" s="424">
        <v>202598.16666666701</v>
      </c>
      <c r="D161" s="423">
        <v>12</v>
      </c>
      <c r="E161" s="424">
        <f t="shared" si="159"/>
        <v>2431178</v>
      </c>
      <c r="F161" s="424"/>
      <c r="G161" s="425">
        <v>161854.24</v>
      </c>
      <c r="H161" s="427"/>
      <c r="I161" s="424">
        <f t="shared" si="160"/>
        <v>2269323.7599999998</v>
      </c>
      <c r="J161" s="424">
        <v>200000</v>
      </c>
      <c r="K161" s="424">
        <v>0.2</v>
      </c>
      <c r="L161" s="424">
        <f t="shared" si="161"/>
        <v>453864.75200000103</v>
      </c>
      <c r="M161" s="424">
        <f t="shared" si="162"/>
        <v>653864.75200000103</v>
      </c>
      <c r="N161" s="424">
        <f t="shared" si="163"/>
        <v>815718.99200000102</v>
      </c>
      <c r="O161" s="424">
        <f t="shared" si="164"/>
        <v>1615459.0079999999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3246.39168000067</v>
      </c>
      <c r="U161" s="424"/>
      <c r="V161" s="424">
        <f t="shared" si="171"/>
        <v>227246.39168000099</v>
      </c>
      <c r="W161" s="431">
        <v>12</v>
      </c>
      <c r="X161" s="424">
        <f t="shared" si="172"/>
        <v>18937.199306666698</v>
      </c>
      <c r="Y161" s="427"/>
      <c r="Z161" s="424">
        <f t="shared" si="173"/>
        <v>18937.199306666698</v>
      </c>
      <c r="AA161" s="436">
        <v>10776.457626666701</v>
      </c>
      <c r="AB161" s="436">
        <f t="shared" si="174"/>
        <v>8160.7416800000201</v>
      </c>
      <c r="AC161" s="436"/>
      <c r="AD161" s="436"/>
      <c r="AE161" s="436"/>
    </row>
    <row r="162" spans="1:31" ht="18" x14ac:dyDescent="0.15">
      <c r="A162" s="421">
        <v>145</v>
      </c>
      <c r="B162" s="9" t="s">
        <v>336</v>
      </c>
      <c r="C162" s="424">
        <v>200336.83333333299</v>
      </c>
      <c r="D162" s="423">
        <v>12</v>
      </c>
      <c r="E162" s="424">
        <f t="shared" si="159"/>
        <v>2404042</v>
      </c>
      <c r="F162" s="424"/>
      <c r="G162" s="425">
        <v>156803.35999999999</v>
      </c>
      <c r="H162" s="427"/>
      <c r="I162" s="424">
        <f t="shared" si="160"/>
        <v>2247238.64</v>
      </c>
      <c r="J162" s="424">
        <v>200000</v>
      </c>
      <c r="K162" s="424">
        <v>0.2</v>
      </c>
      <c r="L162" s="424">
        <f t="shared" si="161"/>
        <v>449447.72799999901</v>
      </c>
      <c r="M162" s="424">
        <f t="shared" si="162"/>
        <v>649447.72799999896</v>
      </c>
      <c r="N162" s="424">
        <f t="shared" si="163"/>
        <v>806251.08799999906</v>
      </c>
      <c r="O162" s="424">
        <f t="shared" si="164"/>
        <v>1597790.912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94580.273279999397</v>
      </c>
      <c r="T162" s="424">
        <f t="shared" si="169"/>
        <v>0</v>
      </c>
      <c r="U162" s="424"/>
      <c r="V162" s="424">
        <f t="shared" si="171"/>
        <v>223580.273279999</v>
      </c>
      <c r="W162" s="431">
        <v>12</v>
      </c>
      <c r="X162" s="424">
        <f t="shared" si="172"/>
        <v>18631.6894399999</v>
      </c>
      <c r="Y162" s="427"/>
      <c r="Z162" s="424">
        <f t="shared" si="173"/>
        <v>18631.6894399999</v>
      </c>
      <c r="AA162" s="436">
        <v>11232.457626666701</v>
      </c>
      <c r="AB162" s="436">
        <f t="shared" si="174"/>
        <v>7399.2318133332501</v>
      </c>
      <c r="AC162" s="436"/>
      <c r="AD162" s="436"/>
      <c r="AE162" s="436"/>
    </row>
    <row r="163" spans="1:31" ht="18" x14ac:dyDescent="0.15">
      <c r="A163" s="421">
        <v>146</v>
      </c>
      <c r="B163" s="9" t="s">
        <v>338</v>
      </c>
      <c r="C163" s="424">
        <v>197336.83333333299</v>
      </c>
      <c r="D163" s="423">
        <v>12</v>
      </c>
      <c r="E163" s="424">
        <f t="shared" si="159"/>
        <v>2368042</v>
      </c>
      <c r="F163" s="424"/>
      <c r="G163" s="425">
        <v>156803.35999999999</v>
      </c>
      <c r="H163" s="427"/>
      <c r="I163" s="424">
        <f t="shared" si="160"/>
        <v>2211238.64</v>
      </c>
      <c r="J163" s="424">
        <v>200000</v>
      </c>
      <c r="K163" s="424">
        <v>0.2</v>
      </c>
      <c r="L163" s="424">
        <f t="shared" si="161"/>
        <v>442247.72799999901</v>
      </c>
      <c r="M163" s="424">
        <f t="shared" si="162"/>
        <v>642247.72799999896</v>
      </c>
      <c r="N163" s="424">
        <f t="shared" si="163"/>
        <v>799051.08799999906</v>
      </c>
      <c r="O163" s="424">
        <f t="shared" si="164"/>
        <v>1568990.912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89108.273279999397</v>
      </c>
      <c r="T163" s="424">
        <f t="shared" si="169"/>
        <v>0</v>
      </c>
      <c r="U163" s="424"/>
      <c r="V163" s="424">
        <f t="shared" si="171"/>
        <v>218108.273279999</v>
      </c>
      <c r="W163" s="431">
        <v>12</v>
      </c>
      <c r="X163" s="424">
        <f t="shared" si="172"/>
        <v>18175.6894399999</v>
      </c>
      <c r="Y163" s="427"/>
      <c r="Z163" s="424">
        <f t="shared" si="173"/>
        <v>18175.6894399999</v>
      </c>
      <c r="AA163" s="436">
        <v>10776.457626666701</v>
      </c>
      <c r="AB163" s="436">
        <f t="shared" si="174"/>
        <v>7399.2318133332501</v>
      </c>
      <c r="AC163" s="436"/>
      <c r="AD163" s="436"/>
      <c r="AE163" s="436"/>
    </row>
    <row r="164" spans="1:31" ht="18" x14ac:dyDescent="0.15">
      <c r="A164" s="421">
        <v>147</v>
      </c>
      <c r="B164" s="12" t="s">
        <v>339</v>
      </c>
      <c r="C164" s="424">
        <v>200336.83333333299</v>
      </c>
      <c r="D164" s="423">
        <v>12</v>
      </c>
      <c r="E164" s="424">
        <f t="shared" si="159"/>
        <v>2404042</v>
      </c>
      <c r="F164" s="424"/>
      <c r="G164" s="425">
        <v>156803.35999999999</v>
      </c>
      <c r="H164" s="427"/>
      <c r="I164" s="424">
        <f t="shared" si="160"/>
        <v>2247238.64</v>
      </c>
      <c r="J164" s="424">
        <v>200000</v>
      </c>
      <c r="K164" s="424">
        <v>0.2</v>
      </c>
      <c r="L164" s="424">
        <f t="shared" si="161"/>
        <v>449447.72799999901</v>
      </c>
      <c r="M164" s="424">
        <f t="shared" si="162"/>
        <v>649447.72799999896</v>
      </c>
      <c r="N164" s="424">
        <f t="shared" si="163"/>
        <v>806251.08799999906</v>
      </c>
      <c r="O164" s="424">
        <f t="shared" si="164"/>
        <v>1597790.912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94580.273279999397</v>
      </c>
      <c r="T164" s="424">
        <f t="shared" si="169"/>
        <v>0</v>
      </c>
      <c r="U164" s="424"/>
      <c r="V164" s="424">
        <f t="shared" si="171"/>
        <v>223580.273279999</v>
      </c>
      <c r="W164" s="431">
        <v>12</v>
      </c>
      <c r="X164" s="424">
        <f t="shared" si="172"/>
        <v>18631.6894399999</v>
      </c>
      <c r="Y164" s="427"/>
      <c r="Z164" s="424">
        <f t="shared" si="173"/>
        <v>18631.6894399999</v>
      </c>
      <c r="AA164" s="436">
        <v>11232.457626666701</v>
      </c>
      <c r="AB164" s="436">
        <f t="shared" si="174"/>
        <v>7399.2318133332501</v>
      </c>
      <c r="AC164" s="436"/>
      <c r="AD164" s="436"/>
      <c r="AE164" s="436"/>
    </row>
    <row r="165" spans="1:31" ht="18" x14ac:dyDescent="0.15">
      <c r="A165" s="421">
        <v>148</v>
      </c>
      <c r="B165" s="9" t="s">
        <v>340</v>
      </c>
      <c r="C165" s="424">
        <v>197336.83333333299</v>
      </c>
      <c r="D165" s="423">
        <v>12</v>
      </c>
      <c r="E165" s="424">
        <f t="shared" si="159"/>
        <v>2368042</v>
      </c>
      <c r="F165" s="424"/>
      <c r="G165" s="425">
        <v>156803.35999999999</v>
      </c>
      <c r="H165" s="427"/>
      <c r="I165" s="424">
        <f t="shared" si="160"/>
        <v>2211238.64</v>
      </c>
      <c r="J165" s="424">
        <v>200000</v>
      </c>
      <c r="K165" s="424">
        <v>0.2</v>
      </c>
      <c r="L165" s="424">
        <f t="shared" si="161"/>
        <v>442247.72799999901</v>
      </c>
      <c r="M165" s="424">
        <f t="shared" si="162"/>
        <v>642247.72799999896</v>
      </c>
      <c r="N165" s="424">
        <f t="shared" si="163"/>
        <v>799051.08799999906</v>
      </c>
      <c r="O165" s="424">
        <f t="shared" si="164"/>
        <v>1568990.912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89108.273279999397</v>
      </c>
      <c r="T165" s="424">
        <f t="shared" si="169"/>
        <v>0</v>
      </c>
      <c r="U165" s="424"/>
      <c r="V165" s="424">
        <f t="shared" si="171"/>
        <v>218108.273279999</v>
      </c>
      <c r="W165" s="431">
        <v>12</v>
      </c>
      <c r="X165" s="424">
        <f t="shared" si="172"/>
        <v>18175.6894399999</v>
      </c>
      <c r="Y165" s="427"/>
      <c r="Z165" s="424">
        <f t="shared" si="173"/>
        <v>18175.6894399999</v>
      </c>
      <c r="AA165" s="436">
        <v>10776.457626666701</v>
      </c>
      <c r="AB165" s="436">
        <f t="shared" si="174"/>
        <v>7399.2318133332501</v>
      </c>
      <c r="AC165" s="436"/>
      <c r="AD165" s="436"/>
      <c r="AE165" s="436"/>
    </row>
    <row r="166" spans="1:31" ht="18" x14ac:dyDescent="0.15">
      <c r="A166" s="421">
        <v>149</v>
      </c>
      <c r="B166" s="16" t="s">
        <v>341</v>
      </c>
      <c r="C166" s="424">
        <v>197336.83333333299</v>
      </c>
      <c r="D166" s="423">
        <v>12</v>
      </c>
      <c r="E166" s="424">
        <f t="shared" si="159"/>
        <v>2368042</v>
      </c>
      <c r="F166" s="424"/>
      <c r="G166" s="425">
        <v>156803.35999999999</v>
      </c>
      <c r="H166" s="427"/>
      <c r="I166" s="424">
        <f t="shared" si="160"/>
        <v>2211238.64</v>
      </c>
      <c r="J166" s="424">
        <v>200000</v>
      </c>
      <c r="K166" s="424">
        <v>0.2</v>
      </c>
      <c r="L166" s="424">
        <f t="shared" si="161"/>
        <v>442247.72799999901</v>
      </c>
      <c r="M166" s="424">
        <f t="shared" si="162"/>
        <v>642247.72799999896</v>
      </c>
      <c r="N166" s="424">
        <f t="shared" si="163"/>
        <v>799051.08799999906</v>
      </c>
      <c r="O166" s="424">
        <f t="shared" si="164"/>
        <v>1568990.912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89108.273279999397</v>
      </c>
      <c r="T166" s="424">
        <f t="shared" si="169"/>
        <v>0</v>
      </c>
      <c r="U166" s="424"/>
      <c r="V166" s="424">
        <f t="shared" si="171"/>
        <v>218108.273279999</v>
      </c>
      <c r="W166" s="431">
        <v>12</v>
      </c>
      <c r="X166" s="424">
        <f t="shared" si="172"/>
        <v>18175.6894399999</v>
      </c>
      <c r="Y166" s="427"/>
      <c r="Z166" s="424">
        <f t="shared" si="173"/>
        <v>18175.6894399999</v>
      </c>
      <c r="AA166" s="436">
        <v>10776.457626666701</v>
      </c>
      <c r="AB166" s="436">
        <f t="shared" si="174"/>
        <v>7399.2318133332501</v>
      </c>
      <c r="AC166" s="436"/>
      <c r="AD166" s="436"/>
      <c r="AE166" s="436"/>
    </row>
    <row r="167" spans="1:31" ht="18" x14ac:dyDescent="0.15">
      <c r="A167" s="421">
        <v>150</v>
      </c>
      <c r="B167" s="16" t="s">
        <v>342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31.5" x14ac:dyDescent="0.2">
      <c r="A168" s="421">
        <v>151</v>
      </c>
      <c r="B168" s="9" t="s">
        <v>343</v>
      </c>
      <c r="C168" s="424">
        <v>189814.16666666701</v>
      </c>
      <c r="D168" s="423">
        <v>12</v>
      </c>
      <c r="E168" s="424">
        <f t="shared" si="159"/>
        <v>2277770</v>
      </c>
      <c r="F168" s="424"/>
      <c r="G168" s="425">
        <v>146701.6</v>
      </c>
      <c r="H168" s="427"/>
      <c r="I168" s="424">
        <f t="shared" si="160"/>
        <v>2131068.4</v>
      </c>
      <c r="J168" s="424">
        <v>200000</v>
      </c>
      <c r="K168" s="424">
        <v>0.2</v>
      </c>
      <c r="L168" s="424">
        <f t="shared" si="161"/>
        <v>426213.68000000098</v>
      </c>
      <c r="M168" s="424">
        <f t="shared" si="162"/>
        <v>626213.68000000098</v>
      </c>
      <c r="N168" s="424">
        <f t="shared" si="163"/>
        <v>772915.28000000096</v>
      </c>
      <c r="O168" s="424">
        <f t="shared" si="164"/>
        <v>1504854.72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76922.396800000701</v>
      </c>
      <c r="T168" s="424">
        <f t="shared" si="169"/>
        <v>0</v>
      </c>
      <c r="U168" s="424"/>
      <c r="V168" s="424">
        <f t="shared" si="171"/>
        <v>205922.39680000101</v>
      </c>
      <c r="W168" s="431">
        <v>12</v>
      </c>
      <c r="X168" s="424">
        <f t="shared" si="172"/>
        <v>17160.1997333334</v>
      </c>
      <c r="Y168" s="427"/>
      <c r="Z168" s="424">
        <f t="shared" si="173"/>
        <v>17160.1997333334</v>
      </c>
      <c r="AA168" s="436">
        <v>9152.5997900000002</v>
      </c>
      <c r="AB168" s="436">
        <f t="shared" si="174"/>
        <v>8007.59994333339</v>
      </c>
      <c r="AC168" s="436"/>
      <c r="AD168" s="436"/>
      <c r="AE168" s="436"/>
    </row>
    <row r="169" spans="1:31" ht="18" x14ac:dyDescent="0.15">
      <c r="A169" s="421">
        <v>152</v>
      </c>
      <c r="B169" s="9" t="s">
        <v>346</v>
      </c>
      <c r="C169" s="424">
        <v>189814.16666666701</v>
      </c>
      <c r="D169" s="423">
        <v>12</v>
      </c>
      <c r="E169" s="424">
        <f t="shared" si="159"/>
        <v>2277770</v>
      </c>
      <c r="F169" s="424"/>
      <c r="G169" s="425">
        <v>146701.6</v>
      </c>
      <c r="H169" s="427"/>
      <c r="I169" s="424">
        <f t="shared" si="160"/>
        <v>2131068.4</v>
      </c>
      <c r="J169" s="424">
        <v>200000</v>
      </c>
      <c r="K169" s="424">
        <v>0.2</v>
      </c>
      <c r="L169" s="424">
        <f t="shared" si="161"/>
        <v>426213.68000000098</v>
      </c>
      <c r="M169" s="424">
        <f t="shared" si="162"/>
        <v>626213.68000000098</v>
      </c>
      <c r="N169" s="424">
        <f t="shared" si="163"/>
        <v>772915.28000000096</v>
      </c>
      <c r="O169" s="424">
        <f t="shared" si="164"/>
        <v>1504854.72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76922.396800000701</v>
      </c>
      <c r="T169" s="424">
        <f t="shared" si="169"/>
        <v>0</v>
      </c>
      <c r="U169" s="424"/>
      <c r="V169" s="424">
        <f t="shared" si="171"/>
        <v>205922.39680000101</v>
      </c>
      <c r="W169" s="431">
        <v>12</v>
      </c>
      <c r="X169" s="424">
        <f t="shared" si="172"/>
        <v>17160.1997333334</v>
      </c>
      <c r="Y169" s="427"/>
      <c r="Z169" s="424">
        <f t="shared" si="173"/>
        <v>17160.1997333334</v>
      </c>
      <c r="AA169" s="436">
        <v>9152.5997900000002</v>
      </c>
      <c r="AB169" s="436">
        <f t="shared" si="174"/>
        <v>8007.59994333339</v>
      </c>
      <c r="AC169" s="436"/>
      <c r="AD169" s="436"/>
      <c r="AE169" s="436"/>
    </row>
    <row r="170" spans="1:31" ht="18" x14ac:dyDescent="0.15">
      <c r="A170" s="421">
        <v>153</v>
      </c>
      <c r="B170" s="16" t="s">
        <v>347</v>
      </c>
      <c r="C170" s="424">
        <v>195075.5</v>
      </c>
      <c r="D170" s="423">
        <v>12</v>
      </c>
      <c r="E170" s="424">
        <f t="shared" si="159"/>
        <v>2340906</v>
      </c>
      <c r="F170" s="424"/>
      <c r="G170" s="425">
        <v>151752.48000000001</v>
      </c>
      <c r="H170" s="427"/>
      <c r="I170" s="424">
        <f t="shared" si="160"/>
        <v>2189153.52</v>
      </c>
      <c r="J170" s="424">
        <v>200000</v>
      </c>
      <c r="K170" s="424">
        <v>0.2</v>
      </c>
      <c r="L170" s="424">
        <f t="shared" si="161"/>
        <v>437830.70400000003</v>
      </c>
      <c r="M170" s="424">
        <f t="shared" si="162"/>
        <v>637830.70400000003</v>
      </c>
      <c r="N170" s="424">
        <f t="shared" si="163"/>
        <v>789583.18400000001</v>
      </c>
      <c r="O170" s="424">
        <f t="shared" si="164"/>
        <v>1551322.8160000001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85751.335040000005</v>
      </c>
      <c r="T170" s="424">
        <f t="shared" si="169"/>
        <v>0</v>
      </c>
      <c r="U170" s="424"/>
      <c r="V170" s="424">
        <f t="shared" si="171"/>
        <v>214751.33504000001</v>
      </c>
      <c r="W170" s="431">
        <v>12</v>
      </c>
      <c r="X170" s="424">
        <f t="shared" si="172"/>
        <v>17895.944586666701</v>
      </c>
      <c r="Y170" s="427"/>
      <c r="Z170" s="424">
        <f t="shared" si="173"/>
        <v>17895.944586666701</v>
      </c>
      <c r="AA170" s="436">
        <v>9504.2041399999998</v>
      </c>
      <c r="AB170" s="436">
        <f t="shared" si="174"/>
        <v>8391.7404466666703</v>
      </c>
      <c r="AC170" s="436"/>
      <c r="AD170" s="436"/>
      <c r="AE170" s="436"/>
    </row>
    <row r="171" spans="1:31" ht="29.25" customHeight="1" x14ac:dyDescent="0.15">
      <c r="A171" s="421">
        <v>154</v>
      </c>
      <c r="B171" s="9" t="s">
        <v>349</v>
      </c>
      <c r="C171" s="424">
        <v>121145.75</v>
      </c>
      <c r="D171" s="423">
        <v>12</v>
      </c>
      <c r="E171" s="424">
        <f t="shared" si="159"/>
        <v>1453749</v>
      </c>
      <c r="F171" s="424"/>
      <c r="G171" s="425">
        <v>90379.92</v>
      </c>
      <c r="H171" s="427"/>
      <c r="I171" s="424">
        <f t="shared" si="160"/>
        <v>1363369.08</v>
      </c>
      <c r="J171" s="424">
        <v>200000</v>
      </c>
      <c r="K171" s="424">
        <v>0.2</v>
      </c>
      <c r="L171" s="424">
        <f t="shared" si="161"/>
        <v>272673.81599999999</v>
      </c>
      <c r="M171" s="424">
        <f t="shared" si="162"/>
        <v>472673.81599999999</v>
      </c>
      <c r="N171" s="424">
        <f t="shared" si="163"/>
        <v>563053.73600000003</v>
      </c>
      <c r="O171" s="424">
        <f t="shared" si="164"/>
        <v>890695.26399999997</v>
      </c>
      <c r="P171" s="424">
        <f t="shared" si="165"/>
        <v>21000</v>
      </c>
      <c r="Q171" s="424">
        <f t="shared" si="166"/>
        <v>33000</v>
      </c>
      <c r="R171" s="424">
        <f t="shared" si="167"/>
        <v>43604.289599999996</v>
      </c>
      <c r="S171" s="424">
        <f t="shared" si="168"/>
        <v>0</v>
      </c>
      <c r="T171" s="424">
        <f t="shared" si="169"/>
        <v>0</v>
      </c>
      <c r="U171" s="424"/>
      <c r="V171" s="424">
        <f t="shared" si="171"/>
        <v>97604.289600000004</v>
      </c>
      <c r="W171" s="431">
        <v>12</v>
      </c>
      <c r="X171" s="424">
        <f t="shared" si="172"/>
        <v>8133.6908000000003</v>
      </c>
      <c r="Y171" s="427"/>
      <c r="Z171" s="424">
        <f t="shared" si="173"/>
        <v>8133.6908000000003</v>
      </c>
      <c r="AA171" s="436">
        <v>4365.3307546666701</v>
      </c>
      <c r="AB171" s="436">
        <f t="shared" si="174"/>
        <v>3768.3600453333302</v>
      </c>
      <c r="AC171" s="436"/>
      <c r="AD171" s="436"/>
      <c r="AE171" s="436"/>
    </row>
    <row r="172" spans="1:31" ht="18" x14ac:dyDescent="0.15">
      <c r="A172" s="421">
        <v>155</v>
      </c>
      <c r="B172" s="9" t="s">
        <v>352</v>
      </c>
      <c r="C172" s="424">
        <v>118598</v>
      </c>
      <c r="D172" s="423">
        <v>12</v>
      </c>
      <c r="E172" s="424">
        <f t="shared" si="159"/>
        <v>1423176</v>
      </c>
      <c r="F172" s="424"/>
      <c r="G172" s="425">
        <v>87934.080000000002</v>
      </c>
      <c r="H172" s="427"/>
      <c r="I172" s="424">
        <f t="shared" si="160"/>
        <v>1335241.92</v>
      </c>
      <c r="J172" s="424">
        <v>200000</v>
      </c>
      <c r="K172" s="424">
        <v>0.2</v>
      </c>
      <c r="L172" s="424">
        <f t="shared" si="161"/>
        <v>267048.38400000002</v>
      </c>
      <c r="M172" s="424">
        <f t="shared" si="162"/>
        <v>467048.38400000002</v>
      </c>
      <c r="N172" s="424">
        <f t="shared" si="163"/>
        <v>554982.46400000004</v>
      </c>
      <c r="O172" s="424">
        <f t="shared" si="164"/>
        <v>868193.53599999996</v>
      </c>
      <c r="P172" s="424">
        <f t="shared" si="165"/>
        <v>21000</v>
      </c>
      <c r="Q172" s="424">
        <f t="shared" si="166"/>
        <v>33000</v>
      </c>
      <c r="R172" s="424">
        <f t="shared" si="167"/>
        <v>40229.030400000003</v>
      </c>
      <c r="S172" s="424">
        <f t="shared" si="168"/>
        <v>0</v>
      </c>
      <c r="T172" s="424">
        <f t="shared" si="169"/>
        <v>0</v>
      </c>
      <c r="U172" s="424"/>
      <c r="V172" s="424">
        <f t="shared" si="171"/>
        <v>94229.030400000003</v>
      </c>
      <c r="W172" s="431">
        <v>12</v>
      </c>
      <c r="X172" s="424">
        <f t="shared" si="172"/>
        <v>7852.4192000000003</v>
      </c>
      <c r="Y172" s="427"/>
      <c r="Z172" s="424">
        <f t="shared" si="173"/>
        <v>7852.4192000000003</v>
      </c>
      <c r="AA172" s="436">
        <v>4227.5237226666704</v>
      </c>
      <c r="AB172" s="436">
        <f t="shared" si="174"/>
        <v>3624.8954773333298</v>
      </c>
      <c r="AC172" s="436"/>
      <c r="AD172" s="436"/>
      <c r="AE172" s="436"/>
    </row>
    <row r="173" spans="1:31" ht="18" x14ac:dyDescent="0.15">
      <c r="A173" s="421">
        <v>156</v>
      </c>
      <c r="B173" s="9" t="s">
        <v>355</v>
      </c>
      <c r="C173" s="424">
        <v>115598</v>
      </c>
      <c r="D173" s="423">
        <v>12</v>
      </c>
      <c r="E173" s="424">
        <f t="shared" si="159"/>
        <v>1387176</v>
      </c>
      <c r="F173" s="424"/>
      <c r="G173" s="425">
        <v>87934.080000000002</v>
      </c>
      <c r="H173" s="427"/>
      <c r="I173" s="424">
        <f t="shared" si="160"/>
        <v>1299241.92</v>
      </c>
      <c r="J173" s="424">
        <v>200000</v>
      </c>
      <c r="K173" s="424">
        <v>0.2</v>
      </c>
      <c r="L173" s="424">
        <f t="shared" si="161"/>
        <v>259848.38399999999</v>
      </c>
      <c r="M173" s="424">
        <f t="shared" si="162"/>
        <v>459848.38400000002</v>
      </c>
      <c r="N173" s="424">
        <f t="shared" si="163"/>
        <v>547782.46400000004</v>
      </c>
      <c r="O173" s="424">
        <f t="shared" si="164"/>
        <v>839393.53599999996</v>
      </c>
      <c r="P173" s="424">
        <f t="shared" si="165"/>
        <v>21000</v>
      </c>
      <c r="Q173" s="424">
        <f t="shared" si="166"/>
        <v>33000</v>
      </c>
      <c r="R173" s="424">
        <f t="shared" si="167"/>
        <v>35909.030400000003</v>
      </c>
      <c r="S173" s="424">
        <f t="shared" si="168"/>
        <v>0</v>
      </c>
      <c r="T173" s="424">
        <f t="shared" si="169"/>
        <v>0</v>
      </c>
      <c r="U173" s="424"/>
      <c r="V173" s="424">
        <f t="shared" si="171"/>
        <v>89909.030400000003</v>
      </c>
      <c r="W173" s="431">
        <v>12</v>
      </c>
      <c r="X173" s="424">
        <f t="shared" si="172"/>
        <v>7492.4192000000003</v>
      </c>
      <c r="Y173" s="427"/>
      <c r="Z173" s="424">
        <f t="shared" si="173"/>
        <v>7492.4192000000003</v>
      </c>
      <c r="AA173" s="436">
        <v>3963.52372266667</v>
      </c>
      <c r="AB173" s="436">
        <f t="shared" si="174"/>
        <v>3528.8954773333298</v>
      </c>
      <c r="AC173" s="436"/>
      <c r="AD173" s="436"/>
      <c r="AE173" s="436"/>
    </row>
    <row r="174" spans="1:31" ht="18" x14ac:dyDescent="0.15">
      <c r="A174" s="421">
        <v>157</v>
      </c>
      <c r="B174" s="9" t="s">
        <v>356</v>
      </c>
      <c r="C174" s="424">
        <v>118598</v>
      </c>
      <c r="D174" s="423">
        <v>12</v>
      </c>
      <c r="E174" s="424">
        <f t="shared" si="159"/>
        <v>1423176</v>
      </c>
      <c r="F174" s="424"/>
      <c r="G174" s="425">
        <v>87934.080000000002</v>
      </c>
      <c r="H174" s="427"/>
      <c r="I174" s="424">
        <f t="shared" si="160"/>
        <v>1335241.92</v>
      </c>
      <c r="J174" s="424">
        <v>200000</v>
      </c>
      <c r="K174" s="424">
        <v>0.2</v>
      </c>
      <c r="L174" s="424">
        <f t="shared" si="161"/>
        <v>267048.38400000002</v>
      </c>
      <c r="M174" s="424">
        <f t="shared" si="162"/>
        <v>467048.38400000002</v>
      </c>
      <c r="N174" s="424">
        <f t="shared" si="163"/>
        <v>554982.46400000004</v>
      </c>
      <c r="O174" s="424">
        <f t="shared" si="164"/>
        <v>868193.53599999996</v>
      </c>
      <c r="P174" s="424">
        <f t="shared" si="165"/>
        <v>21000</v>
      </c>
      <c r="Q174" s="424">
        <f t="shared" si="166"/>
        <v>33000</v>
      </c>
      <c r="R174" s="424">
        <f t="shared" si="167"/>
        <v>40229.030400000003</v>
      </c>
      <c r="S174" s="424">
        <f t="shared" si="168"/>
        <v>0</v>
      </c>
      <c r="T174" s="424">
        <f t="shared" si="169"/>
        <v>0</v>
      </c>
      <c r="U174" s="424"/>
      <c r="V174" s="424">
        <f t="shared" si="171"/>
        <v>94229.030400000003</v>
      </c>
      <c r="W174" s="431">
        <v>12</v>
      </c>
      <c r="X174" s="424">
        <f t="shared" si="172"/>
        <v>7852.4192000000003</v>
      </c>
      <c r="Y174" s="427"/>
      <c r="Z174" s="424">
        <f t="shared" si="173"/>
        <v>7852.4192000000003</v>
      </c>
      <c r="AA174" s="436">
        <v>4227.5237226666704</v>
      </c>
      <c r="AB174" s="436">
        <f t="shared" si="174"/>
        <v>3624.8954773333298</v>
      </c>
      <c r="AC174" s="436"/>
      <c r="AD174" s="436"/>
      <c r="AE174" s="436"/>
    </row>
    <row r="175" spans="1:31" ht="18" x14ac:dyDescent="0.15">
      <c r="A175" s="432"/>
      <c r="B175" s="9" t="s">
        <v>357</v>
      </c>
      <c r="C175" s="440">
        <v>115598</v>
      </c>
      <c r="D175" s="423">
        <v>12</v>
      </c>
      <c r="E175" s="424">
        <f t="shared" si="159"/>
        <v>1387176</v>
      </c>
      <c r="F175" s="424"/>
      <c r="G175" s="425">
        <v>87934.080000000002</v>
      </c>
      <c r="H175" s="427"/>
      <c r="I175" s="424">
        <f t="shared" si="160"/>
        <v>1299241.92</v>
      </c>
      <c r="J175" s="424">
        <v>200000</v>
      </c>
      <c r="K175" s="424">
        <v>0.2</v>
      </c>
      <c r="L175" s="424">
        <f t="shared" si="161"/>
        <v>259848.38399999999</v>
      </c>
      <c r="M175" s="424">
        <f t="shared" si="162"/>
        <v>459848.38400000002</v>
      </c>
      <c r="N175" s="424">
        <f t="shared" si="163"/>
        <v>547782.46400000004</v>
      </c>
      <c r="O175" s="424">
        <f t="shared" si="164"/>
        <v>839393.53599999996</v>
      </c>
      <c r="P175" s="424">
        <f t="shared" si="165"/>
        <v>21000</v>
      </c>
      <c r="Q175" s="424">
        <f t="shared" si="166"/>
        <v>33000</v>
      </c>
      <c r="R175" s="424">
        <f t="shared" si="167"/>
        <v>35909.030400000003</v>
      </c>
      <c r="S175" s="424">
        <f t="shared" si="168"/>
        <v>0</v>
      </c>
      <c r="T175" s="424">
        <f t="shared" si="169"/>
        <v>0</v>
      </c>
      <c r="U175" s="424"/>
      <c r="V175" s="424">
        <f t="shared" si="171"/>
        <v>89909.030400000003</v>
      </c>
      <c r="W175" s="431">
        <v>12</v>
      </c>
      <c r="X175" s="424">
        <f t="shared" si="172"/>
        <v>7492.4192000000003</v>
      </c>
      <c r="Y175" s="427"/>
      <c r="Z175" s="424">
        <f t="shared" si="173"/>
        <v>7492.4192000000003</v>
      </c>
      <c r="AA175" s="436">
        <v>3963.52372266667</v>
      </c>
      <c r="AB175" s="436">
        <f t="shared" si="174"/>
        <v>3528.8954773333298</v>
      </c>
      <c r="AC175" s="436"/>
      <c r="AD175" s="436"/>
      <c r="AE175" s="436"/>
    </row>
    <row r="176" spans="1:31" ht="18" x14ac:dyDescent="0.15">
      <c r="A176" s="432"/>
      <c r="B176" s="9" t="s">
        <v>358</v>
      </c>
      <c r="C176" s="440">
        <v>118598</v>
      </c>
      <c r="D176" s="423">
        <v>12</v>
      </c>
      <c r="E176" s="424">
        <f t="shared" si="159"/>
        <v>1423176</v>
      </c>
      <c r="F176" s="424"/>
      <c r="G176" s="425">
        <v>87934.080000000002</v>
      </c>
      <c r="H176" s="427"/>
      <c r="I176" s="424">
        <f t="shared" si="160"/>
        <v>1335241.92</v>
      </c>
      <c r="J176" s="424">
        <v>200000</v>
      </c>
      <c r="K176" s="424">
        <v>0.2</v>
      </c>
      <c r="L176" s="424">
        <f t="shared" si="161"/>
        <v>267048.38400000002</v>
      </c>
      <c r="M176" s="424">
        <f t="shared" si="162"/>
        <v>467048.38400000002</v>
      </c>
      <c r="N176" s="424">
        <f t="shared" si="163"/>
        <v>554982.46400000004</v>
      </c>
      <c r="O176" s="424">
        <f t="shared" si="164"/>
        <v>868193.53599999996</v>
      </c>
      <c r="P176" s="424">
        <f t="shared" si="165"/>
        <v>21000</v>
      </c>
      <c r="Q176" s="424">
        <f t="shared" si="166"/>
        <v>33000</v>
      </c>
      <c r="R176" s="424">
        <f t="shared" si="167"/>
        <v>40229.030400000003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94229.030400000003</v>
      </c>
      <c r="W176" s="431">
        <v>12</v>
      </c>
      <c r="X176" s="424">
        <f t="shared" si="172"/>
        <v>7852.4192000000003</v>
      </c>
      <c r="Y176" s="427"/>
      <c r="Z176" s="424">
        <f t="shared" si="173"/>
        <v>7852.4192000000003</v>
      </c>
      <c r="AA176" s="436">
        <v>4227.5237226666704</v>
      </c>
      <c r="AB176" s="436">
        <f t="shared" si="174"/>
        <v>3624.8954773333298</v>
      </c>
    </row>
    <row r="177" spans="2:28" ht="18" x14ac:dyDescent="0.15">
      <c r="B177" s="16" t="s">
        <v>359</v>
      </c>
      <c r="C177" s="436">
        <v>115598</v>
      </c>
      <c r="D177" s="423">
        <v>12</v>
      </c>
      <c r="E177" s="424">
        <f t="shared" si="159"/>
        <v>1387176</v>
      </c>
      <c r="G177" s="425">
        <v>87934.080000000002</v>
      </c>
      <c r="I177" s="424">
        <f t="shared" si="160"/>
        <v>1299241.92</v>
      </c>
      <c r="J177" s="424">
        <v>200000</v>
      </c>
      <c r="K177" s="424">
        <v>0.2</v>
      </c>
      <c r="L177" s="424">
        <f t="shared" si="161"/>
        <v>259848.38399999999</v>
      </c>
      <c r="M177" s="424">
        <f t="shared" si="162"/>
        <v>459848.38400000002</v>
      </c>
      <c r="N177" s="424">
        <f t="shared" si="163"/>
        <v>547782.46400000004</v>
      </c>
      <c r="O177" s="424">
        <f t="shared" si="164"/>
        <v>839393.53599999996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35909.030400000003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89909.030400000003</v>
      </c>
      <c r="W177" s="431">
        <v>12</v>
      </c>
      <c r="X177" s="424">
        <f t="shared" si="172"/>
        <v>7492.4192000000003</v>
      </c>
      <c r="Z177" s="424">
        <f t="shared" si="173"/>
        <v>7492.4192000000003</v>
      </c>
      <c r="AA177" s="436">
        <v>3963.52372266667</v>
      </c>
      <c r="AB177" s="436">
        <f t="shared" si="174"/>
        <v>3528.8954773333298</v>
      </c>
    </row>
    <row r="178" spans="2:28" ht="18" x14ac:dyDescent="0.15">
      <c r="B178" s="16" t="s">
        <v>360</v>
      </c>
      <c r="C178" s="436">
        <v>118598</v>
      </c>
      <c r="D178" s="423">
        <v>12</v>
      </c>
      <c r="E178" s="424">
        <f t="shared" si="159"/>
        <v>1423176</v>
      </c>
      <c r="G178" s="425">
        <v>87934.080000000002</v>
      </c>
      <c r="I178" s="424">
        <f t="shared" si="160"/>
        <v>1335241.92</v>
      </c>
      <c r="J178" s="424">
        <v>200000</v>
      </c>
      <c r="K178" s="424">
        <v>0.2</v>
      </c>
      <c r="L178" s="424">
        <f t="shared" si="161"/>
        <v>267048.38400000002</v>
      </c>
      <c r="M178" s="424">
        <f t="shared" si="162"/>
        <v>467048.38400000002</v>
      </c>
      <c r="N178" s="424">
        <f t="shared" si="163"/>
        <v>554982.46400000004</v>
      </c>
      <c r="O178" s="424">
        <f t="shared" si="164"/>
        <v>868193.53599999996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40229.030400000003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94229.030400000003</v>
      </c>
      <c r="W178" s="431">
        <v>12</v>
      </c>
      <c r="X178" s="424">
        <f t="shared" si="172"/>
        <v>7852.4192000000003</v>
      </c>
      <c r="Z178" s="424">
        <f t="shared" si="173"/>
        <v>7852.4192000000003</v>
      </c>
      <c r="AA178" s="436">
        <v>4227.5237226666704</v>
      </c>
      <c r="AB178" s="436">
        <f t="shared" si="174"/>
        <v>3624.8954773333298</v>
      </c>
    </row>
    <row r="179" spans="2:28" ht="18" x14ac:dyDescent="0.15">
      <c r="B179" s="9" t="s">
        <v>493</v>
      </c>
      <c r="C179" s="436">
        <v>118598</v>
      </c>
      <c r="D179" s="423">
        <v>12</v>
      </c>
      <c r="E179" s="424">
        <f t="shared" si="159"/>
        <v>1423176</v>
      </c>
      <c r="G179" s="425">
        <v>87934.080000000002</v>
      </c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Z179" s="424">
        <f t="shared" si="173"/>
        <v>7852.4192000000003</v>
      </c>
      <c r="AA179" s="436">
        <v>4089.7166906666698</v>
      </c>
      <c r="AB179" s="436">
        <f t="shared" si="174"/>
        <v>3762.70250933333</v>
      </c>
    </row>
    <row r="180" spans="2:28" ht="18" x14ac:dyDescent="0.15">
      <c r="B180" s="9" t="s">
        <v>361</v>
      </c>
      <c r="C180" s="436">
        <v>118598</v>
      </c>
      <c r="D180" s="423">
        <v>12</v>
      </c>
      <c r="E180" s="424">
        <f t="shared" si="159"/>
        <v>1423176</v>
      </c>
      <c r="G180" s="425">
        <v>87934.080000000002</v>
      </c>
      <c r="I180" s="424">
        <f t="shared" si="160"/>
        <v>1335241.92</v>
      </c>
      <c r="J180" s="424">
        <v>200000</v>
      </c>
      <c r="K180" s="424">
        <v>0.2</v>
      </c>
      <c r="L180" s="424">
        <f t="shared" si="161"/>
        <v>267048.38400000002</v>
      </c>
      <c r="M180" s="424">
        <f t="shared" si="162"/>
        <v>467048.38400000002</v>
      </c>
      <c r="N180" s="424">
        <f t="shared" si="163"/>
        <v>554982.46400000004</v>
      </c>
      <c r="O180" s="424">
        <f t="shared" si="164"/>
        <v>868193.53599999996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40229.030400000003</v>
      </c>
      <c r="S180" s="424">
        <f t="shared" si="168"/>
        <v>0</v>
      </c>
      <c r="T180" s="424">
        <f t="shared" si="169"/>
        <v>0</v>
      </c>
      <c r="V180" s="424">
        <f t="shared" si="171"/>
        <v>94229.030400000003</v>
      </c>
      <c r="W180" s="431">
        <v>12</v>
      </c>
      <c r="X180" s="424">
        <f t="shared" si="172"/>
        <v>7852.4192000000003</v>
      </c>
      <c r="Z180" s="424">
        <f t="shared" si="173"/>
        <v>7852.4192000000003</v>
      </c>
      <c r="AA180" s="436">
        <v>4227.5237226666704</v>
      </c>
      <c r="AB180" s="436">
        <f t="shared" si="174"/>
        <v>3624.8954773333298</v>
      </c>
    </row>
    <row r="181" spans="2:28" ht="18" x14ac:dyDescent="0.15">
      <c r="B181" s="16" t="s">
        <v>362</v>
      </c>
      <c r="C181" s="436">
        <v>116050.25</v>
      </c>
      <c r="D181" s="423">
        <v>12</v>
      </c>
      <c r="E181" s="424">
        <f t="shared" si="159"/>
        <v>1392603</v>
      </c>
      <c r="G181" s="425">
        <v>85488.24</v>
      </c>
      <c r="I181" s="424">
        <f t="shared" si="160"/>
        <v>1307114.76</v>
      </c>
      <c r="J181" s="424">
        <v>200000</v>
      </c>
      <c r="K181" s="424">
        <v>0.2</v>
      </c>
      <c r="L181" s="424">
        <f t="shared" si="161"/>
        <v>261422.95199999999</v>
      </c>
      <c r="M181" s="424">
        <f t="shared" si="162"/>
        <v>461422.95199999999</v>
      </c>
      <c r="N181" s="424">
        <f t="shared" si="163"/>
        <v>546911.19200000004</v>
      </c>
      <c r="O181" s="424">
        <f t="shared" si="164"/>
        <v>845691.80799999996</v>
      </c>
      <c r="P181" s="424">
        <f t="shared" si="165"/>
        <v>21000</v>
      </c>
      <c r="Q181" s="424">
        <f t="shared" si="166"/>
        <v>33000</v>
      </c>
      <c r="R181" s="424">
        <f t="shared" si="167"/>
        <v>36853.771200000003</v>
      </c>
      <c r="S181" s="424">
        <f t="shared" si="168"/>
        <v>0</v>
      </c>
      <c r="T181" s="424">
        <f t="shared" si="169"/>
        <v>0</v>
      </c>
      <c r="V181" s="424">
        <f t="shared" si="171"/>
        <v>90853.771200000003</v>
      </c>
      <c r="W181" s="431">
        <v>12</v>
      </c>
      <c r="X181" s="424">
        <f t="shared" si="172"/>
        <v>7571.1476000000002</v>
      </c>
      <c r="Z181" s="424">
        <f t="shared" si="173"/>
        <v>7571.1476000000002</v>
      </c>
      <c r="AA181" s="436">
        <v>4089.7166906666698</v>
      </c>
      <c r="AB181" s="436">
        <f t="shared" si="174"/>
        <v>3481.43090933333</v>
      </c>
    </row>
    <row r="182" spans="2:28" ht="18" x14ac:dyDescent="0.15">
      <c r="B182" s="16" t="s">
        <v>367</v>
      </c>
      <c r="C182" s="436">
        <v>102926.91666666701</v>
      </c>
      <c r="D182" s="423">
        <v>12</v>
      </c>
      <c r="E182" s="424">
        <f t="shared" si="159"/>
        <v>1235123</v>
      </c>
      <c r="G182" s="425">
        <v>77689.84</v>
      </c>
      <c r="I182" s="424">
        <f t="shared" si="160"/>
        <v>1157433.1599999999</v>
      </c>
      <c r="J182" s="424">
        <v>200000</v>
      </c>
      <c r="K182" s="424">
        <v>0.2</v>
      </c>
      <c r="L182" s="424">
        <f t="shared" si="161"/>
        <v>231486.632000001</v>
      </c>
      <c r="M182" s="424">
        <f t="shared" si="162"/>
        <v>431486.63200000097</v>
      </c>
      <c r="N182" s="424">
        <f t="shared" si="163"/>
        <v>509176.472000001</v>
      </c>
      <c r="O182" s="424">
        <f t="shared" si="164"/>
        <v>725946.52800000296</v>
      </c>
      <c r="P182" s="424">
        <f t="shared" si="165"/>
        <v>21000</v>
      </c>
      <c r="Q182" s="424">
        <f t="shared" si="166"/>
        <v>33000</v>
      </c>
      <c r="R182" s="424">
        <f t="shared" si="167"/>
        <v>18891.9792000005</v>
      </c>
      <c r="S182" s="424">
        <f t="shared" si="168"/>
        <v>0</v>
      </c>
      <c r="T182" s="424">
        <f t="shared" si="169"/>
        <v>0</v>
      </c>
      <c r="V182" s="424">
        <f t="shared" si="171"/>
        <v>72891.979200000496</v>
      </c>
      <c r="W182" s="431">
        <v>12</v>
      </c>
      <c r="X182" s="424">
        <f t="shared" si="172"/>
        <v>6074.3316000000405</v>
      </c>
      <c r="Z182" s="424">
        <f t="shared" si="173"/>
        <v>6074.3316000000405</v>
      </c>
      <c r="AA182" s="436">
        <v>3210.1544048666701</v>
      </c>
      <c r="AB182" s="436">
        <f t="shared" si="174"/>
        <v>2864.1771951333699</v>
      </c>
    </row>
    <row r="183" spans="2:28" ht="18" x14ac:dyDescent="0.15">
      <c r="B183" s="16" t="s">
        <v>369</v>
      </c>
      <c r="C183" s="436">
        <v>95540.75</v>
      </c>
      <c r="D183" s="423">
        <v>12</v>
      </c>
      <c r="E183" s="424">
        <f t="shared" si="159"/>
        <v>1146489</v>
      </c>
      <c r="G183" s="425">
        <f t="shared" ref="G183:G185" si="176">6123.26*12</f>
        <v>73479.12</v>
      </c>
      <c r="I183" s="424">
        <f t="shared" si="160"/>
        <v>1073009.8799999999</v>
      </c>
      <c r="J183" s="424">
        <v>200000</v>
      </c>
      <c r="K183" s="424">
        <v>0.2</v>
      </c>
      <c r="L183" s="424">
        <f t="shared" si="161"/>
        <v>214601.976</v>
      </c>
      <c r="M183" s="424">
        <f t="shared" si="162"/>
        <v>414601.97600000002</v>
      </c>
      <c r="N183" s="424">
        <f t="shared" si="163"/>
        <v>488081.09600000002</v>
      </c>
      <c r="O183" s="424">
        <f t="shared" si="164"/>
        <v>658407.90399999998</v>
      </c>
      <c r="P183" s="424">
        <f t="shared" si="165"/>
        <v>21000</v>
      </c>
      <c r="Q183" s="424">
        <f t="shared" si="166"/>
        <v>33000</v>
      </c>
      <c r="R183" s="424">
        <f t="shared" si="167"/>
        <v>8761.1856000000007</v>
      </c>
      <c r="S183" s="424">
        <f t="shared" si="168"/>
        <v>0</v>
      </c>
      <c r="T183" s="424">
        <f t="shared" si="169"/>
        <v>0</v>
      </c>
      <c r="V183" s="424">
        <f t="shared" si="171"/>
        <v>62761.185599999997</v>
      </c>
      <c r="W183" s="431">
        <v>12</v>
      </c>
      <c r="X183" s="424">
        <f t="shared" si="172"/>
        <v>5230.0987999999998</v>
      </c>
      <c r="Z183" s="424">
        <f t="shared" si="173"/>
        <v>5230.0987999999998</v>
      </c>
      <c r="AA183" s="436">
        <v>2708.9136406666698</v>
      </c>
      <c r="AB183" s="436">
        <f t="shared" si="174"/>
        <v>2521.1851593333299</v>
      </c>
    </row>
    <row r="184" spans="2:28" ht="18" x14ac:dyDescent="0.15">
      <c r="B184" s="16" t="s">
        <v>372</v>
      </c>
      <c r="C184" s="436">
        <v>95540.75</v>
      </c>
      <c r="D184" s="423">
        <v>12</v>
      </c>
      <c r="E184" s="424">
        <f t="shared" si="159"/>
        <v>1146489</v>
      </c>
      <c r="G184" s="425">
        <f t="shared" si="176"/>
        <v>73479.12</v>
      </c>
      <c r="I184" s="424">
        <f t="shared" si="160"/>
        <v>1073009.8799999999</v>
      </c>
      <c r="J184" s="424">
        <v>200000</v>
      </c>
      <c r="K184" s="424">
        <v>0.2</v>
      </c>
      <c r="L184" s="424">
        <f t="shared" si="161"/>
        <v>214601.976</v>
      </c>
      <c r="M184" s="424">
        <f t="shared" si="162"/>
        <v>414601.97600000002</v>
      </c>
      <c r="N184" s="424">
        <f t="shared" si="163"/>
        <v>488081.09600000002</v>
      </c>
      <c r="O184" s="424">
        <f t="shared" si="164"/>
        <v>658407.90399999998</v>
      </c>
      <c r="P184" s="424">
        <f t="shared" si="165"/>
        <v>21000</v>
      </c>
      <c r="Q184" s="424">
        <f t="shared" si="166"/>
        <v>33000</v>
      </c>
      <c r="R184" s="424">
        <f t="shared" si="167"/>
        <v>8761.1856000000007</v>
      </c>
      <c r="S184" s="424">
        <f t="shared" si="168"/>
        <v>0</v>
      </c>
      <c r="T184" s="424">
        <f t="shared" si="169"/>
        <v>0</v>
      </c>
      <c r="V184" s="424">
        <f t="shared" si="171"/>
        <v>62761.185599999997</v>
      </c>
      <c r="W184" s="431">
        <v>12</v>
      </c>
      <c r="X184" s="424">
        <f t="shared" si="172"/>
        <v>5230.0987999999998</v>
      </c>
      <c r="Z184" s="424">
        <f t="shared" si="173"/>
        <v>5230.0987999999998</v>
      </c>
      <c r="AA184" s="436">
        <v>2708.9136406666698</v>
      </c>
      <c r="AB184" s="436">
        <f t="shared" si="174"/>
        <v>2521.1851593333299</v>
      </c>
    </row>
    <row r="185" spans="2:28" ht="18" x14ac:dyDescent="0.15">
      <c r="B185" s="16" t="s">
        <v>373</v>
      </c>
      <c r="C185" s="436">
        <v>80195.929999999993</v>
      </c>
      <c r="D185" s="423">
        <v>12</v>
      </c>
      <c r="E185" s="424">
        <f t="shared" si="159"/>
        <v>962351.16</v>
      </c>
      <c r="G185" s="425">
        <f t="shared" si="176"/>
        <v>73479.12</v>
      </c>
      <c r="I185" s="424">
        <f t="shared" si="160"/>
        <v>888872.04</v>
      </c>
      <c r="J185" s="424">
        <v>200000</v>
      </c>
      <c r="K185" s="424">
        <v>0.2</v>
      </c>
      <c r="L185" s="424">
        <f t="shared" si="161"/>
        <v>177774.408</v>
      </c>
      <c r="M185" s="424">
        <f t="shared" si="162"/>
        <v>377774.408</v>
      </c>
      <c r="N185" s="424">
        <f t="shared" si="163"/>
        <v>451253.52799999999</v>
      </c>
      <c r="O185" s="424">
        <f t="shared" si="164"/>
        <v>511097.63199999998</v>
      </c>
      <c r="P185" s="424">
        <f t="shared" si="165"/>
        <v>21000</v>
      </c>
      <c r="Q185" s="424">
        <f t="shared" si="166"/>
        <v>23220.739519999999</v>
      </c>
      <c r="R185" s="424">
        <f t="shared" si="167"/>
        <v>0</v>
      </c>
      <c r="S185" s="424">
        <f t="shared" si="168"/>
        <v>0</v>
      </c>
      <c r="T185" s="424">
        <f t="shared" si="169"/>
        <v>0</v>
      </c>
      <c r="V185" s="424">
        <f t="shared" si="171"/>
        <v>44220.739520000003</v>
      </c>
      <c r="W185" s="431">
        <v>12</v>
      </c>
      <c r="X185" s="424">
        <f t="shared" si="172"/>
        <v>3685.0616266666698</v>
      </c>
      <c r="Z185" s="424">
        <f t="shared" si="173"/>
        <v>3685.0616266666698</v>
      </c>
      <c r="AA185" s="436">
        <v>2708.9136406666698</v>
      </c>
      <c r="AB185" s="436">
        <f t="shared" si="174"/>
        <v>976.14798599999597</v>
      </c>
    </row>
    <row r="186" spans="2:28" ht="18" x14ac:dyDescent="0.15">
      <c r="B186" s="441" t="s">
        <v>374</v>
      </c>
      <c r="C186" s="436">
        <v>108502.5</v>
      </c>
      <c r="D186" s="442">
        <v>12</v>
      </c>
      <c r="E186" s="443">
        <f t="shared" si="159"/>
        <v>1302030</v>
      </c>
      <c r="G186" s="444">
        <f>6920.2*12</f>
        <v>83042.399999999994</v>
      </c>
      <c r="I186" s="443">
        <f t="shared" si="160"/>
        <v>1218987.6000000001</v>
      </c>
      <c r="J186" s="424">
        <v>200000</v>
      </c>
      <c r="K186" s="424">
        <v>0.2</v>
      </c>
      <c r="L186" s="424">
        <f t="shared" si="161"/>
        <v>243797.52</v>
      </c>
      <c r="M186" s="424">
        <f t="shared" si="162"/>
        <v>443797.52</v>
      </c>
      <c r="N186" s="424">
        <f t="shared" si="163"/>
        <v>526839.92000000004</v>
      </c>
      <c r="O186" s="424">
        <f t="shared" si="164"/>
        <v>775190.08</v>
      </c>
      <c r="P186" s="424">
        <f t="shared" si="165"/>
        <v>21000</v>
      </c>
      <c r="Q186" s="424">
        <f t="shared" si="166"/>
        <v>33000</v>
      </c>
      <c r="R186" s="424">
        <f t="shared" si="167"/>
        <v>26278.511999999999</v>
      </c>
      <c r="S186" s="424">
        <f t="shared" si="168"/>
        <v>0</v>
      </c>
      <c r="T186" s="424">
        <f t="shared" si="169"/>
        <v>0</v>
      </c>
      <c r="V186" s="424">
        <f t="shared" si="171"/>
        <v>80278.512000000002</v>
      </c>
      <c r="W186" s="431">
        <v>12</v>
      </c>
      <c r="X186" s="424">
        <f t="shared" si="172"/>
        <v>6689.8760000000002</v>
      </c>
      <c r="Z186" s="424">
        <f t="shared" si="173"/>
        <v>6689.8760000000002</v>
      </c>
      <c r="AA186" s="436">
        <v>3511.7966226666699</v>
      </c>
      <c r="AB186" s="436">
        <f t="shared" si="174"/>
        <v>3178.0793773333298</v>
      </c>
    </row>
    <row r="187" spans="2:28" ht="18" x14ac:dyDescent="0.15">
      <c r="B187" s="441" t="s">
        <v>377</v>
      </c>
      <c r="C187" s="445">
        <v>108502.5</v>
      </c>
      <c r="D187" s="442">
        <v>12</v>
      </c>
      <c r="E187" s="443">
        <f t="shared" si="159"/>
        <v>1302030</v>
      </c>
      <c r="F187" s="446"/>
      <c r="G187" s="444">
        <f>6920.2*12</f>
        <v>83042.399999999994</v>
      </c>
      <c r="H187" s="446"/>
      <c r="I187" s="443">
        <f t="shared" si="160"/>
        <v>1218987.6000000001</v>
      </c>
      <c r="J187" s="443">
        <v>200000</v>
      </c>
      <c r="K187" s="443">
        <v>0.2</v>
      </c>
      <c r="L187" s="443">
        <f t="shared" si="161"/>
        <v>243797.52</v>
      </c>
      <c r="M187" s="443">
        <f t="shared" si="162"/>
        <v>443797.52</v>
      </c>
      <c r="N187" s="443">
        <f t="shared" si="163"/>
        <v>526839.92000000004</v>
      </c>
      <c r="O187" s="443">
        <f t="shared" si="164"/>
        <v>775190.08</v>
      </c>
      <c r="P187" s="443">
        <f t="shared" si="165"/>
        <v>21000</v>
      </c>
      <c r="Q187" s="443">
        <f t="shared" si="166"/>
        <v>33000</v>
      </c>
      <c r="R187" s="443">
        <f t="shared" si="167"/>
        <v>26278.511999999999</v>
      </c>
      <c r="S187" s="443">
        <f t="shared" si="168"/>
        <v>0</v>
      </c>
      <c r="T187" s="443">
        <f t="shared" si="169"/>
        <v>0</v>
      </c>
      <c r="V187" s="443">
        <f t="shared" si="171"/>
        <v>80278.512000000002</v>
      </c>
      <c r="W187" s="457">
        <v>12</v>
      </c>
      <c r="X187" s="443">
        <f t="shared" si="172"/>
        <v>6689.8760000000002</v>
      </c>
      <c r="Z187" s="443">
        <f t="shared" si="173"/>
        <v>6689.8760000000002</v>
      </c>
      <c r="AA187" s="436">
        <v>3511.7966226666699</v>
      </c>
      <c r="AB187" s="436">
        <f t="shared" si="174"/>
        <v>3178.0793773333298</v>
      </c>
    </row>
    <row r="188" spans="2:28" ht="35.25" customHeight="1" x14ac:dyDescent="0.2">
      <c r="B188" s="6" t="s">
        <v>650</v>
      </c>
      <c r="C188" s="571">
        <f t="shared" ref="C188:G188" si="177">SUM(C6:C187)</f>
        <v>82704469.934466705</v>
      </c>
      <c r="D188" s="572"/>
      <c r="E188" s="426"/>
      <c r="F188" s="573">
        <f t="shared" si="177"/>
        <v>812366.48499999999</v>
      </c>
      <c r="G188" s="573">
        <f t="shared" si="177"/>
        <v>56463655.883199997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 t="shared" ref="V188:Z188" si="178">SUM(V6:V187)</f>
        <v>143266099.67599699</v>
      </c>
      <c r="W188" s="573"/>
      <c r="X188" s="573">
        <f t="shared" si="178"/>
        <v>11938841.639666401</v>
      </c>
      <c r="Y188" s="573"/>
      <c r="Z188" s="573">
        <f t="shared" si="178"/>
        <v>11938841.639666401</v>
      </c>
      <c r="AA188" s="574"/>
      <c r="AB188" s="574"/>
    </row>
    <row r="189" spans="2:28" ht="26.25" customHeight="1" x14ac:dyDescent="0.2">
      <c r="B189" s="28" t="s">
        <v>651</v>
      </c>
      <c r="C189" s="571"/>
      <c r="D189" s="572"/>
      <c r="E189" s="572"/>
      <c r="F189" s="575">
        <f>F188/12</f>
        <v>67697.2070833334</v>
      </c>
      <c r="G189" s="575">
        <f>G188/12</f>
        <v>4705304.65693333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11938841.639666401</v>
      </c>
      <c r="W189" s="572"/>
      <c r="X189" s="572"/>
      <c r="Y189" s="572"/>
      <c r="Z189" s="572"/>
      <c r="AA189" s="574"/>
      <c r="AB189" s="574"/>
    </row>
    <row r="190" spans="2:28" ht="18" x14ac:dyDescent="0.2">
      <c r="B190" s="31"/>
      <c r="C190" s="436"/>
      <c r="F190" s="455"/>
    </row>
    <row r="191" spans="2:28" x14ac:dyDescent="0.15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ColWidth="8.76171875" defaultRowHeight="12.75" x14ac:dyDescent="0.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12"/>
  <sheetViews>
    <sheetView topLeftCell="L4" workbookViewId="0">
      <selection activeCell="X8" sqref="X8"/>
    </sheetView>
  </sheetViews>
  <sheetFormatPr defaultColWidth="9.16796875" defaultRowHeight="12.75" x14ac:dyDescent="0.15"/>
  <cols>
    <col min="1" max="1" width="6.875" style="259" customWidth="1"/>
    <col min="2" max="2" width="33.3085937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2.13671875" style="259" customWidth="1"/>
    <col min="27" max="27" width="16.31640625" style="259" customWidth="1"/>
    <col min="28" max="29" width="11.0546875" style="259" customWidth="1"/>
    <col min="30" max="30" width="27.375" style="259" customWidth="1"/>
    <col min="31" max="16384" width="9.16796875" style="259"/>
  </cols>
  <sheetData>
    <row r="1" spans="1:32" ht="13.5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2" ht="13.5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2" ht="13.5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2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20" t="s">
        <v>697</v>
      </c>
      <c r="AB4" s="420" t="s">
        <v>698</v>
      </c>
      <c r="AC4" s="731"/>
    </row>
    <row r="5" spans="1:32" ht="24.75" x14ac:dyDescent="0.15">
      <c r="A5" s="706">
        <v>1</v>
      </c>
      <c r="B5" s="714" t="s">
        <v>624</v>
      </c>
      <c r="C5" s="430">
        <v>460248.91666666698</v>
      </c>
      <c r="D5" s="423">
        <v>12</v>
      </c>
      <c r="E5" s="424">
        <f>C5*D5</f>
        <v>5522987</v>
      </c>
      <c r="F5" s="424">
        <f>6922.5*12</f>
        <v>83070</v>
      </c>
      <c r="G5" s="425">
        <v>374638.9632</v>
      </c>
      <c r="H5" s="424"/>
      <c r="I5" s="424">
        <f>E5-F5-G5-H5</f>
        <v>5065278.0367999999</v>
      </c>
      <c r="J5" s="424">
        <v>200000</v>
      </c>
      <c r="K5" s="424">
        <v>0.2</v>
      </c>
      <c r="L5" s="424">
        <f>I5*K5</f>
        <v>1013055.60736</v>
      </c>
      <c r="M5" s="424">
        <f>J5+L5</f>
        <v>1213055.60736</v>
      </c>
      <c r="N5" s="424">
        <f>F5+G5+H5+M5</f>
        <v>1670764.5705599999</v>
      </c>
      <c r="O5" s="424">
        <f>E5-N5</f>
        <v>3852222.4294400001</v>
      </c>
      <c r="P5" s="424">
        <f>IF(O5&lt;300000,0.07*O5,21000)</f>
        <v>21000</v>
      </c>
      <c r="Q5" s="424">
        <f>IF((O5-300000)&lt;0,0,IF((O5-300000)&lt;300000,0.11*(O5-300000),33000))</f>
        <v>33000</v>
      </c>
      <c r="R5" s="424">
        <f>IF((O5-600000)&lt;0,0,IF((O5-600000)&lt;500000,0.15*(O5-600000),75000))</f>
        <v>75000</v>
      </c>
      <c r="S5" s="424">
        <f>IF((O5-1100000)&lt;0,0,IF((O5-1100000)&lt;500000,0.19*(O5-1100000),95000))</f>
        <v>95000</v>
      </c>
      <c r="T5" s="424">
        <f>IF((O5-1600000)&lt;0,0,IF((O5-1600000)&lt;1600000,0.21*(O5-1600000),336000))</f>
        <v>336000</v>
      </c>
      <c r="U5" s="424">
        <f>24%*(O5-3200000)</f>
        <v>156533.383065601</v>
      </c>
      <c r="V5" s="424">
        <f>P5+Q5+R5+S5+T5+U5</f>
        <v>716533.383065601</v>
      </c>
      <c r="W5" s="431">
        <v>12</v>
      </c>
      <c r="X5" s="424">
        <f>V5/W5</f>
        <v>59711.115255466699</v>
      </c>
      <c r="Y5" s="424"/>
      <c r="Z5" s="424">
        <f>X5</f>
        <v>59711.115255466699</v>
      </c>
      <c r="AA5" s="424">
        <v>69311.115255466706</v>
      </c>
      <c r="AB5" s="424">
        <f>AA5-Z5</f>
        <v>9599.9999999999909</v>
      </c>
      <c r="AC5" s="424"/>
      <c r="AD5" s="714" t="s">
        <v>624</v>
      </c>
      <c r="AE5" s="436"/>
      <c r="AF5" s="436"/>
    </row>
    <row r="6" spans="1:32" ht="13.5" x14ac:dyDescent="0.15">
      <c r="A6" s="706">
        <v>2</v>
      </c>
      <c r="B6" s="706" t="s">
        <v>625</v>
      </c>
      <c r="C6" s="430">
        <v>460248.91666666698</v>
      </c>
      <c r="D6" s="423">
        <v>12</v>
      </c>
      <c r="E6" s="424">
        <f>C6*D6</f>
        <v>5522987</v>
      </c>
      <c r="F6" s="424"/>
      <c r="G6" s="424">
        <v>374638.9632</v>
      </c>
      <c r="H6" s="424"/>
      <c r="I6" s="424">
        <f>E6-F6-G6-H6</f>
        <v>5148348.0367999999</v>
      </c>
      <c r="J6" s="424">
        <v>200000</v>
      </c>
      <c r="K6" s="424">
        <v>0.2</v>
      </c>
      <c r="L6" s="424">
        <f>I6*K6</f>
        <v>1029669.60736</v>
      </c>
      <c r="M6" s="424">
        <f>J6+L6</f>
        <v>1229669.60736</v>
      </c>
      <c r="N6" s="424">
        <f>F6+G6+H6+M6</f>
        <v>1604308.5705599999</v>
      </c>
      <c r="O6" s="424">
        <f>E6-N6</f>
        <v>3918678.4294400001</v>
      </c>
      <c r="P6" s="424">
        <f>IF(O6&lt;300000,0.07*O6,21000)</f>
        <v>21000</v>
      </c>
      <c r="Q6" s="424">
        <f>IF((O6-300000)&lt;0,0,IF((O6-300000)&lt;300000,0.11*(O6-300000),33000))</f>
        <v>33000</v>
      </c>
      <c r="R6" s="424">
        <f>IF((O6-600000)&lt;0,0,IF((O6-600000)&lt;500000,0.15*(O6-600000),75000))</f>
        <v>75000</v>
      </c>
      <c r="S6" s="424">
        <f>IF((O6-1100000)&lt;0,0,IF((O6-1100000)&lt;500000,0.19*(O6-1100000),95000))</f>
        <v>95000</v>
      </c>
      <c r="T6" s="424">
        <f>IF((O6-1600000)&lt;0,0,IF((O6-1600000)&lt;1600000,0.21*(O6-1600000),336000))</f>
        <v>336000</v>
      </c>
      <c r="U6" s="424">
        <f>24%*(O6-3200000)</f>
        <v>172482.823065601</v>
      </c>
      <c r="V6" s="424">
        <f>P6+Q6+R6+S6+T6+U6</f>
        <v>732482.82306560106</v>
      </c>
      <c r="W6" s="431">
        <v>12</v>
      </c>
      <c r="X6" s="424">
        <f>V6/W6</f>
        <v>61040.235255466701</v>
      </c>
      <c r="Y6" s="424"/>
      <c r="Z6" s="424">
        <f>X6</f>
        <v>61040.235255466701</v>
      </c>
      <c r="AA6" s="424">
        <v>70640.235255466701</v>
      </c>
      <c r="AB6" s="424">
        <f>AA6-Z6</f>
        <v>9599.99999999998</v>
      </c>
      <c r="AC6" s="424"/>
      <c r="AD6" s="706" t="s">
        <v>625</v>
      </c>
      <c r="AE6" s="436"/>
      <c r="AF6" s="436"/>
    </row>
    <row r="7" spans="1:32" ht="13.5" x14ac:dyDescent="0.15">
      <c r="A7" s="706">
        <v>3</v>
      </c>
      <c r="B7" s="706" t="s">
        <v>627</v>
      </c>
      <c r="C7" s="430">
        <v>460248.91666666698</v>
      </c>
      <c r="D7" s="423">
        <v>12</v>
      </c>
      <c r="E7" s="424">
        <f>C7*D7</f>
        <v>5522987</v>
      </c>
      <c r="F7" s="424"/>
      <c r="G7" s="424">
        <v>374638.9632</v>
      </c>
      <c r="H7" s="424"/>
      <c r="I7" s="424">
        <f>E7-F7-G7-H7</f>
        <v>5148348.0367999999</v>
      </c>
      <c r="J7" s="424">
        <v>200000</v>
      </c>
      <c r="K7" s="424">
        <v>0.2</v>
      </c>
      <c r="L7" s="424">
        <f>I7*K7</f>
        <v>1029669.60736</v>
      </c>
      <c r="M7" s="424">
        <f>J7+L7</f>
        <v>1229669.60736</v>
      </c>
      <c r="N7" s="424">
        <f>F7+G7+H7+M7</f>
        <v>1604308.5705599999</v>
      </c>
      <c r="O7" s="424">
        <f>E7-N7</f>
        <v>3918678.4294400001</v>
      </c>
      <c r="P7" s="424">
        <f>IF(O7&lt;300000,0.07*O7,21000)</f>
        <v>21000</v>
      </c>
      <c r="Q7" s="424">
        <f>IF((O7-300000)&lt;0,0,IF((O7-300000)&lt;300000,0.11*(O7-300000),33000))</f>
        <v>33000</v>
      </c>
      <c r="R7" s="424">
        <f>IF((O7-600000)&lt;0,0,IF((O7-600000)&lt;500000,0.15*(O7-600000),75000))</f>
        <v>75000</v>
      </c>
      <c r="S7" s="424">
        <f>IF((O7-1100000)&lt;0,0,IF((O7-1100000)&lt;500000,0.19*(O7-1100000),95000))</f>
        <v>95000</v>
      </c>
      <c r="T7" s="424">
        <f>IF((O7-1600000)&lt;0,0,IF((O7-1600000)&lt;1600000,0.21*(O7-1600000),336000))</f>
        <v>336000</v>
      </c>
      <c r="U7" s="424">
        <f>24%*(O7-3200000)</f>
        <v>172482.823065601</v>
      </c>
      <c r="V7" s="424">
        <f>P7+Q7+R7+S7+T7+U7</f>
        <v>732482.82306560106</v>
      </c>
      <c r="W7" s="431">
        <v>12</v>
      </c>
      <c r="X7" s="424">
        <f>V7/W7</f>
        <v>61040.235255466701</v>
      </c>
      <c r="Y7" s="424"/>
      <c r="Z7" s="424">
        <f>X7</f>
        <v>61040.235255466701</v>
      </c>
      <c r="AA7" s="424">
        <v>70640.235255466701</v>
      </c>
      <c r="AB7" s="424">
        <f>AA7-Z7</f>
        <v>9599.99999999998</v>
      </c>
      <c r="AC7" s="424"/>
      <c r="AD7" s="706" t="s">
        <v>627</v>
      </c>
      <c r="AE7" s="436"/>
      <c r="AF7" s="436"/>
    </row>
    <row r="8" spans="1:32" ht="13.5" x14ac:dyDescent="0.15">
      <c r="A8" s="706">
        <v>4</v>
      </c>
      <c r="B8" s="706" t="s">
        <v>177</v>
      </c>
      <c r="C8" s="430">
        <v>110955</v>
      </c>
      <c r="D8" s="423">
        <v>12</v>
      </c>
      <c r="E8" s="424">
        <f t="shared" ref="E8" si="0">C8*D8</f>
        <v>1331460</v>
      </c>
      <c r="F8" s="424"/>
      <c r="G8" s="424"/>
      <c r="H8" s="424"/>
      <c r="I8" s="424">
        <f t="shared" ref="I8" si="1">E8-F8-G8-H8</f>
        <v>1331460</v>
      </c>
      <c r="J8" s="424">
        <v>200000</v>
      </c>
      <c r="K8" s="424">
        <v>0.2</v>
      </c>
      <c r="L8" s="424">
        <f t="shared" ref="L8" si="2">I8*K8</f>
        <v>266292</v>
      </c>
      <c r="M8" s="424">
        <f t="shared" ref="M8" si="3">J8+L8</f>
        <v>466292</v>
      </c>
      <c r="N8" s="424">
        <f t="shared" ref="N8" si="4">F8+G8+H8+M8</f>
        <v>466292</v>
      </c>
      <c r="O8" s="424">
        <f t="shared" ref="O8" si="5">E8-N8</f>
        <v>865168</v>
      </c>
      <c r="P8" s="424">
        <f t="shared" ref="P8" si="6">IF(O8&lt;300000,0.07*O8,21000)</f>
        <v>21000</v>
      </c>
      <c r="Q8" s="424">
        <f t="shared" ref="Q8" si="7">IF((O8-300000)&lt;0,0,IF((O8-300000)&lt;300000,0.11*(O8-300000),33000))</f>
        <v>33000</v>
      </c>
      <c r="R8" s="424">
        <f t="shared" ref="R8" si="8">IF((O8-600000)&lt;0,0,IF((O8-600000)&lt;500000,0.15*(O8-600000),75000))</f>
        <v>39775.199999999997</v>
      </c>
      <c r="S8" s="424">
        <f t="shared" ref="S8" si="9">IF((O8-1100000)&lt;0,0,IF((O8-1100000)&lt;500000,0.19*(O8-1100000),95000))</f>
        <v>0</v>
      </c>
      <c r="T8" s="424">
        <f t="shared" ref="T8" si="10">IF((O8-1600000)&lt;0,0,IF((O8-1600000)&lt;1600000,0.21*(O8-1600000),336000))</f>
        <v>0</v>
      </c>
      <c r="U8" s="424"/>
      <c r="V8" s="424">
        <f t="shared" ref="V8" si="11">P8+Q8+R8+S8+T8+U8</f>
        <v>93775.2</v>
      </c>
      <c r="W8" s="431">
        <v>12</v>
      </c>
      <c r="X8" s="424">
        <f t="shared" ref="X8" si="12">V8/W8</f>
        <v>7814.6</v>
      </c>
      <c r="Y8" s="424"/>
      <c r="Z8" s="424">
        <f t="shared" ref="Z8" si="13">X8</f>
        <v>7814.6</v>
      </c>
      <c r="AA8" s="424">
        <v>69311.115255466706</v>
      </c>
      <c r="AB8" s="424">
        <f>AA8-Z8</f>
        <v>61496.5152554667</v>
      </c>
      <c r="AC8" s="424"/>
      <c r="AD8" s="706" t="s">
        <v>177</v>
      </c>
      <c r="AE8" s="436"/>
      <c r="AF8" s="436"/>
    </row>
    <row r="9" spans="1:32" ht="35.25" customHeight="1" x14ac:dyDescent="0.2">
      <c r="B9" s="6" t="s">
        <v>650</v>
      </c>
      <c r="C9" s="571">
        <f>SUM(C5:C8)</f>
        <v>1491701.75</v>
      </c>
      <c r="D9" s="572"/>
      <c r="E9" s="426"/>
      <c r="F9" s="573">
        <f>SUM(F5:F8)</f>
        <v>83070</v>
      </c>
      <c r="G9" s="573">
        <f>SUM(G5:G8)</f>
        <v>1123916.8896000001</v>
      </c>
      <c r="H9" s="574"/>
      <c r="I9" s="574"/>
      <c r="J9" s="574"/>
      <c r="K9" s="574"/>
      <c r="L9" s="574"/>
      <c r="M9" s="574"/>
      <c r="N9" s="574"/>
      <c r="O9" s="574"/>
      <c r="P9" s="574"/>
      <c r="Q9" s="574"/>
      <c r="R9" s="574"/>
      <c r="S9" s="574"/>
      <c r="T9" s="574"/>
      <c r="U9" s="574"/>
      <c r="V9" s="573"/>
      <c r="W9" s="573"/>
      <c r="X9" s="573"/>
      <c r="Y9" s="573"/>
      <c r="Z9" s="573"/>
      <c r="AA9" s="573"/>
      <c r="AB9" s="573">
        <f>SUM(AB5:AB8)</f>
        <v>90296.5152554667</v>
      </c>
      <c r="AC9" s="732"/>
    </row>
    <row r="10" spans="1:32" ht="26.25" customHeight="1" x14ac:dyDescent="0.2">
      <c r="B10" s="28" t="s">
        <v>651</v>
      </c>
      <c r="C10" s="571"/>
      <c r="D10" s="572"/>
      <c r="E10" s="572"/>
      <c r="F10" s="575">
        <f>F9/12</f>
        <v>6922.5</v>
      </c>
      <c r="G10" s="575">
        <f>G9/12</f>
        <v>93659.7408</v>
      </c>
      <c r="H10" s="574"/>
      <c r="I10" s="574"/>
      <c r="J10" s="574"/>
      <c r="K10" s="574"/>
      <c r="L10" s="574"/>
      <c r="M10" s="574"/>
      <c r="N10" s="574"/>
      <c r="O10" s="574"/>
      <c r="P10" s="574"/>
      <c r="Q10" s="574"/>
      <c r="R10" s="574"/>
      <c r="S10" s="574"/>
      <c r="T10" s="574"/>
      <c r="U10" s="574"/>
      <c r="V10" s="575"/>
      <c r="W10" s="572"/>
      <c r="X10" s="572"/>
      <c r="Y10" s="572"/>
      <c r="Z10" s="572"/>
    </row>
    <row r="11" spans="1:32" ht="18" x14ac:dyDescent="0.2">
      <c r="B11" s="31"/>
      <c r="C11" s="436"/>
      <c r="F11" s="455"/>
    </row>
    <row r="12" spans="1:32" x14ac:dyDescent="0.15">
      <c r="F12" s="456"/>
      <c r="Z12" s="573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14"/>
  <sheetViews>
    <sheetView zoomScaleSheetLayoutView="50" workbookViewId="0">
      <pane xSplit="3" ySplit="6" topLeftCell="S7" activePane="bottomRight" state="frozen"/>
      <selection pane="bottomLeft"/>
      <selection pane="topRight"/>
      <selection pane="bottomRight" activeCell="S11" sqref="S11"/>
    </sheetView>
  </sheetViews>
  <sheetFormatPr defaultColWidth="9.16796875" defaultRowHeight="20.100000000000001" customHeight="1" x14ac:dyDescent="0.2"/>
  <cols>
    <col min="1" max="1" width="5.390625" style="1" customWidth="1"/>
    <col min="2" max="2" width="39.375" style="1" customWidth="1"/>
    <col min="3" max="3" width="26.56640625" style="1" customWidth="1"/>
    <col min="4" max="4" width="14.83203125" style="1" customWidth="1"/>
    <col min="5" max="5" width="17.80078125" style="1" customWidth="1"/>
    <col min="6" max="6" width="19.41796875" style="1" customWidth="1"/>
    <col min="7" max="7" width="16.046875" style="1" customWidth="1"/>
    <col min="8" max="8" width="18.0703125" style="1" customWidth="1"/>
    <col min="9" max="9" width="17.93359375" style="1" customWidth="1"/>
    <col min="10" max="10" width="19.95703125" style="1" customWidth="1"/>
    <col min="11" max="13" width="19.28125" style="1" customWidth="1"/>
    <col min="14" max="14" width="14.83203125" style="1" customWidth="1"/>
    <col min="15" max="15" width="13.6171875" style="1" customWidth="1"/>
    <col min="16" max="16" width="20.359375" style="261" customWidth="1"/>
    <col min="17" max="18" width="16.44921875" style="1" customWidth="1"/>
    <col min="19" max="20" width="17.6640625" style="1" customWidth="1"/>
    <col min="21" max="21" width="11.19140625" style="1" customWidth="1"/>
    <col min="22" max="22" width="17.80078125" style="1" customWidth="1"/>
    <col min="23" max="23" width="21.7109375" style="1" customWidth="1"/>
    <col min="24" max="24" width="14.29296875" style="1" customWidth="1"/>
    <col min="25" max="16384" width="9.16796875" style="1"/>
  </cols>
  <sheetData>
    <row r="1" spans="1:24" ht="27" customHeight="1" x14ac:dyDescent="0.3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</row>
    <row r="2" spans="1:24" ht="33.75" customHeight="1" x14ac:dyDescent="0.3">
      <c r="A2" s="61" t="s">
        <v>699</v>
      </c>
      <c r="B2" s="62"/>
      <c r="C2" s="61"/>
      <c r="D2" s="61"/>
      <c r="E2" s="182"/>
      <c r="F2" s="182"/>
      <c r="G2" s="262"/>
      <c r="H2" s="262"/>
      <c r="I2" s="262"/>
      <c r="J2" s="262"/>
      <c r="K2" s="63"/>
      <c r="L2" s="63"/>
      <c r="M2" s="63"/>
      <c r="N2" s="63"/>
      <c r="O2" s="63"/>
      <c r="P2" s="268"/>
      <c r="Q2" s="63"/>
      <c r="R2" s="63"/>
      <c r="S2" s="63"/>
      <c r="T2" s="63"/>
      <c r="U2" s="63"/>
      <c r="V2" s="63"/>
    </row>
    <row r="3" spans="1:24" ht="9.75" customHeight="1" x14ac:dyDescent="0.2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 x14ac:dyDescent="0.2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9" t="s">
        <v>700</v>
      </c>
      <c r="K4" s="5" t="s">
        <v>701</v>
      </c>
      <c r="L4" s="269" t="s">
        <v>702</v>
      </c>
      <c r="M4" s="65" t="s">
        <v>703</v>
      </c>
      <c r="N4" s="65" t="s">
        <v>704</v>
      </c>
      <c r="O4" s="65" t="s">
        <v>465</v>
      </c>
      <c r="P4" s="65" t="s">
        <v>705</v>
      </c>
      <c r="Q4" s="65" t="s">
        <v>706</v>
      </c>
      <c r="R4" s="65"/>
      <c r="S4" s="282" t="s">
        <v>707</v>
      </c>
      <c r="T4" s="283" t="s">
        <v>708</v>
      </c>
      <c r="U4" s="65" t="s">
        <v>503</v>
      </c>
      <c r="V4" s="284" t="s">
        <v>709</v>
      </c>
    </row>
    <row r="5" spans="1:24" ht="17.25" customHeight="1" x14ac:dyDescent="0.2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270" t="s">
        <v>20</v>
      </c>
      <c r="K5" s="6"/>
      <c r="L5" s="270" t="s">
        <v>20</v>
      </c>
      <c r="M5" s="67"/>
      <c r="N5" s="67" t="s">
        <v>20</v>
      </c>
      <c r="O5" s="67"/>
      <c r="P5" s="271" t="s">
        <v>20</v>
      </c>
      <c r="Q5" s="67"/>
      <c r="R5" s="67"/>
      <c r="S5" s="67"/>
      <c r="T5" s="196"/>
      <c r="U5" s="67"/>
      <c r="V5" s="196"/>
    </row>
    <row r="6" spans="1:24" ht="20.100000000000001" customHeight="1" x14ac:dyDescent="0.2">
      <c r="A6" s="7"/>
      <c r="B6" s="6"/>
      <c r="C6" s="6"/>
      <c r="D6" s="6"/>
      <c r="E6" s="67"/>
      <c r="F6" s="67"/>
      <c r="G6" s="67"/>
      <c r="H6" s="67"/>
      <c r="I6" s="67"/>
      <c r="J6" s="270"/>
      <c r="K6" s="6"/>
      <c r="L6" s="270"/>
      <c r="M6" s="67"/>
      <c r="N6" s="67"/>
      <c r="O6" s="67"/>
      <c r="P6" s="271"/>
      <c r="Q6" s="67"/>
      <c r="R6" s="67"/>
      <c r="S6" s="67"/>
      <c r="T6" s="196"/>
      <c r="U6" s="67"/>
      <c r="V6" s="196"/>
    </row>
    <row r="7" spans="1:24" ht="18.75" customHeight="1" x14ac:dyDescent="0.2">
      <c r="A7" s="8">
        <v>1</v>
      </c>
      <c r="B7" s="9" t="s">
        <v>194</v>
      </c>
      <c r="C7" s="2" t="s">
        <v>552</v>
      </c>
      <c r="D7" s="13" t="s">
        <v>52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30" t="s">
        <v>229</v>
      </c>
      <c r="L7" s="185">
        <f>442746.5+140000</f>
        <v>582746.5</v>
      </c>
      <c r="M7" s="70">
        <f>L7-J7</f>
        <v>20941.583333333001</v>
      </c>
      <c r="N7" s="70"/>
      <c r="O7" s="70"/>
      <c r="P7" s="272">
        <v>79747.087146666701</v>
      </c>
      <c r="Q7" s="70">
        <f>83767.87</f>
        <v>83767.87</v>
      </c>
      <c r="R7" s="70"/>
      <c r="S7" s="70">
        <f>Q7-P7</f>
        <v>4020.7828533332899</v>
      </c>
      <c r="T7" s="197">
        <f>M7-S7</f>
        <v>16920.8004799997</v>
      </c>
      <c r="U7" s="11">
        <v>4.55</v>
      </c>
      <c r="V7" s="197">
        <f>T7*U7</f>
        <v>76989.642183998803</v>
      </c>
      <c r="W7" s="11"/>
      <c r="X7" s="33"/>
    </row>
    <row r="8" spans="1:24" ht="26.25" customHeight="1" x14ac:dyDescent="0.2">
      <c r="A8" s="8"/>
      <c r="B8" s="18" t="s">
        <v>111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3">
        <f t="shared" si="1"/>
        <v>561804.91666666698</v>
      </c>
      <c r="K8" s="13"/>
      <c r="L8" s="273">
        <f t="shared" ref="L8:T8" si="2">SUM(L7:L7)</f>
        <v>582746.5</v>
      </c>
      <c r="M8" s="187">
        <f t="shared" si="2"/>
        <v>20941.583333333001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4020.7828533332899</v>
      </c>
      <c r="T8" s="198">
        <f t="shared" si="2"/>
        <v>16920.8004799997</v>
      </c>
      <c r="U8" s="187"/>
      <c r="V8" s="198">
        <f>SUM(V7:V7)</f>
        <v>76989.642183998803</v>
      </c>
      <c r="W8" s="11"/>
    </row>
    <row r="9" spans="1:24" ht="20.100000000000001" customHeight="1" x14ac:dyDescent="0.2">
      <c r="A9" s="8"/>
      <c r="B9" s="12"/>
      <c r="C9" s="2"/>
      <c r="D9" s="8"/>
      <c r="E9" s="187"/>
      <c r="F9" s="187"/>
      <c r="G9" s="187"/>
      <c r="H9" s="187"/>
      <c r="I9" s="187"/>
      <c r="J9" s="273"/>
      <c r="K9" s="8"/>
      <c r="L9" s="273"/>
      <c r="M9" s="70"/>
      <c r="N9" s="187"/>
      <c r="O9" s="187"/>
      <c r="P9" s="274"/>
      <c r="Q9" s="187"/>
      <c r="R9" s="187"/>
      <c r="S9" s="70"/>
      <c r="T9" s="197"/>
      <c r="U9" s="187"/>
      <c r="V9" s="197"/>
      <c r="W9" s="11"/>
    </row>
    <row r="10" spans="1:24" ht="20.100000000000001" customHeight="1" x14ac:dyDescent="0.2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1"/>
      <c r="Q10" s="195"/>
      <c r="R10" s="195"/>
      <c r="S10" s="195"/>
      <c r="T10" s="195"/>
      <c r="U10" s="195"/>
      <c r="V10" s="195"/>
      <c r="W10" s="33"/>
    </row>
    <row r="11" spans="1:24" ht="36.75" customHeight="1" x14ac:dyDescent="0.2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1"/>
      <c r="Q11" s="195"/>
      <c r="R11" s="195"/>
      <c r="S11" s="195"/>
      <c r="T11" s="195"/>
      <c r="U11" s="195"/>
      <c r="V11" s="195"/>
    </row>
    <row r="14" spans="1:24" ht="20.100000000000001" customHeight="1" x14ac:dyDescent="0.2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25"/>
  <sheetViews>
    <sheetView topLeftCell="A5" workbookViewId="0">
      <selection activeCell="AA21" sqref="AA21"/>
    </sheetView>
  </sheetViews>
  <sheetFormatPr defaultColWidth="9.16796875" defaultRowHeight="12.75" x14ac:dyDescent="0.15"/>
  <cols>
    <col min="1" max="1" width="6.875" style="259" customWidth="1"/>
    <col min="2" max="2" width="33.3085937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259" customWidth="1"/>
    <col min="27" max="16384" width="9.16796875" style="259"/>
  </cols>
  <sheetData>
    <row r="1" spans="1:27" ht="13.5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27" ht="13.5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27" ht="13.5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27" ht="83.25" customHeight="1" x14ac:dyDescent="0.15">
      <c r="A4" s="418" t="s">
        <v>500</v>
      </c>
      <c r="B4" s="419" t="s">
        <v>501</v>
      </c>
      <c r="C4" s="420" t="s">
        <v>710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711</v>
      </c>
    </row>
    <row r="5" spans="1:27" ht="13.5" x14ac:dyDescent="0.15">
      <c r="A5" s="706">
        <v>1</v>
      </c>
      <c r="B5" s="707" t="s">
        <v>617</v>
      </c>
      <c r="C5" s="711">
        <v>150313.07999999999</v>
      </c>
      <c r="D5" s="423">
        <v>12</v>
      </c>
      <c r="E5" s="424">
        <f t="shared" ref="E5:E24" si="0">C5*D5</f>
        <v>1803756.96</v>
      </c>
      <c r="F5" s="424"/>
      <c r="G5" s="424">
        <v>558833.35679999995</v>
      </c>
      <c r="H5" s="424"/>
      <c r="I5" s="424">
        <f t="shared" ref="I5:I24" si="1">E5-F5-G5-H5</f>
        <v>1244923.6032</v>
      </c>
      <c r="J5" s="424">
        <v>200000</v>
      </c>
      <c r="K5" s="424">
        <v>0.2</v>
      </c>
      <c r="L5" s="424">
        <f t="shared" ref="L5:L24" si="2">I5*K5</f>
        <v>248984.72064000001</v>
      </c>
      <c r="M5" s="424">
        <f t="shared" ref="M5:M24" si="3">J5+L5</f>
        <v>448984.72064000001</v>
      </c>
      <c r="N5" s="424">
        <f t="shared" ref="N5:N24" si="4">F5+G5+H5+M5</f>
        <v>1007818.07744</v>
      </c>
      <c r="O5" s="424">
        <f t="shared" ref="O5:O24" si="5">E5-N5</f>
        <v>795938.88256000006</v>
      </c>
      <c r="P5" s="424">
        <f t="shared" ref="P5:P24" si="6">IF(O5&lt;300000,0.07*O5,21000)</f>
        <v>21000</v>
      </c>
      <c r="Q5" s="424">
        <f t="shared" ref="Q5:Q24" si="7">IF((O5-300000)&lt;0,0,IF((O5-300000)&lt;300000,0.11*(O5-300000),33000))</f>
        <v>33000</v>
      </c>
      <c r="R5" s="424">
        <f t="shared" ref="R5:R24" si="8">IF((O5-600000)&lt;0,0,IF((O5-600000)&lt;500000,0.15*(O5-600000),75000))</f>
        <v>29390.832384000001</v>
      </c>
      <c r="S5" s="424">
        <f t="shared" ref="S5:S24" si="9">IF((O5-1100000)&lt;0,0,IF((O5-1100000)&lt;500000,0.19*(O5-1100000),95000))</f>
        <v>0</v>
      </c>
      <c r="T5" s="424">
        <f t="shared" ref="T5:T24" si="10">IF((O5-1600000)&lt;0,0,IF((O5-1600000)&lt;1600000,0.21*(O5-1600000),336000))</f>
        <v>0</v>
      </c>
      <c r="U5" s="424">
        <v>0</v>
      </c>
      <c r="V5" s="424">
        <f t="shared" ref="V5:V24" si="11">P5+Q5+R5+S5+T5+U5</f>
        <v>83390.832383999994</v>
      </c>
      <c r="W5" s="431">
        <v>12</v>
      </c>
      <c r="X5" s="424">
        <f t="shared" ref="X5:X24" si="12">V5/W5</f>
        <v>6949.2360319999998</v>
      </c>
      <c r="Y5" s="424"/>
      <c r="Z5" s="424">
        <f t="shared" ref="Z5:Z24" si="13">X5</f>
        <v>6949.2360319999998</v>
      </c>
      <c r="AA5" s="436"/>
    </row>
    <row r="6" spans="1:27" ht="13.5" x14ac:dyDescent="0.15">
      <c r="A6" s="706">
        <v>2</v>
      </c>
      <c r="B6" s="706" t="s">
        <v>618</v>
      </c>
      <c r="C6" s="711">
        <v>526480</v>
      </c>
      <c r="D6" s="423">
        <v>12</v>
      </c>
      <c r="E6" s="424">
        <f t="shared" si="0"/>
        <v>6317760</v>
      </c>
      <c r="F6" s="424"/>
      <c r="G6" s="424">
        <v>558833.35679999995</v>
      </c>
      <c r="H6" s="424"/>
      <c r="I6" s="424">
        <f t="shared" si="1"/>
        <v>5758926.6431999998</v>
      </c>
      <c r="J6" s="424">
        <v>200000</v>
      </c>
      <c r="K6" s="424">
        <v>0.2</v>
      </c>
      <c r="L6" s="424">
        <f t="shared" si="2"/>
        <v>1151785.32864</v>
      </c>
      <c r="M6" s="424">
        <f t="shared" si="3"/>
        <v>1351785.32864</v>
      </c>
      <c r="N6" s="424">
        <f t="shared" si="4"/>
        <v>1910618.6854399999</v>
      </c>
      <c r="O6" s="424">
        <f t="shared" si="5"/>
        <v>4407141.3145599999</v>
      </c>
      <c r="P6" s="424">
        <f t="shared" si="6"/>
        <v>21000</v>
      </c>
      <c r="Q6" s="424">
        <f t="shared" si="7"/>
        <v>33000</v>
      </c>
      <c r="R6" s="424">
        <f t="shared" si="8"/>
        <v>75000</v>
      </c>
      <c r="S6" s="424">
        <f t="shared" si="9"/>
        <v>95000</v>
      </c>
      <c r="T6" s="424">
        <f t="shared" si="10"/>
        <v>336000</v>
      </c>
      <c r="U6" s="424">
        <f>24%*(O6-3200000)</f>
        <v>289713.91549440002</v>
      </c>
      <c r="V6" s="424">
        <f t="shared" si="11"/>
        <v>849713.91549439996</v>
      </c>
      <c r="W6" s="431">
        <v>12</v>
      </c>
      <c r="X6" s="424">
        <f t="shared" si="12"/>
        <v>70809.492957866707</v>
      </c>
      <c r="Y6" s="424"/>
      <c r="Z6" s="424">
        <f t="shared" si="13"/>
        <v>70809.492957866707</v>
      </c>
      <c r="AA6" s="436"/>
    </row>
    <row r="7" spans="1:27" ht="13.5" x14ac:dyDescent="0.15">
      <c r="A7" s="706">
        <v>3</v>
      </c>
      <c r="B7" s="706" t="s">
        <v>619</v>
      </c>
      <c r="C7" s="711">
        <v>291986.91749999998</v>
      </c>
      <c r="D7" s="423">
        <v>12</v>
      </c>
      <c r="E7" s="424">
        <f t="shared" si="0"/>
        <v>3503843.01</v>
      </c>
      <c r="F7" s="424">
        <f>8019.8*12</f>
        <v>96237.6</v>
      </c>
      <c r="G7" s="424">
        <v>558833.35679999995</v>
      </c>
      <c r="H7" s="424"/>
      <c r="I7" s="424">
        <f t="shared" si="1"/>
        <v>2848772.0532</v>
      </c>
      <c r="J7" s="424">
        <v>200000</v>
      </c>
      <c r="K7" s="424">
        <v>0.2</v>
      </c>
      <c r="L7" s="424">
        <f t="shared" si="2"/>
        <v>569754.41064000002</v>
      </c>
      <c r="M7" s="424">
        <f t="shared" si="3"/>
        <v>769754.41064000002</v>
      </c>
      <c r="N7" s="424">
        <f t="shared" si="4"/>
        <v>1424825.3674399999</v>
      </c>
      <c r="O7" s="424">
        <f t="shared" si="5"/>
        <v>2079017.6425600001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100593.70493760001</v>
      </c>
      <c r="U7" s="424"/>
      <c r="V7" s="424">
        <f t="shared" si="11"/>
        <v>324593.70493760001</v>
      </c>
      <c r="W7" s="431">
        <v>12</v>
      </c>
      <c r="X7" s="424">
        <f t="shared" si="12"/>
        <v>27049.475411466701</v>
      </c>
      <c r="Y7" s="424"/>
      <c r="Z7" s="424">
        <f t="shared" si="13"/>
        <v>27049.475411466701</v>
      </c>
      <c r="AA7" s="436"/>
    </row>
    <row r="8" spans="1:27" ht="13.5" x14ac:dyDescent="0.15">
      <c r="A8" s="706">
        <v>4</v>
      </c>
      <c r="B8" s="706" t="s">
        <v>620</v>
      </c>
      <c r="C8" s="711">
        <v>291984.20750000002</v>
      </c>
      <c r="D8" s="423">
        <v>12</v>
      </c>
      <c r="E8" s="424">
        <f t="shared" si="0"/>
        <v>3503810.49</v>
      </c>
      <c r="F8" s="424">
        <f>8019.8*12</f>
        <v>96237.6</v>
      </c>
      <c r="G8" s="424">
        <v>558833.35679999995</v>
      </c>
      <c r="H8" s="424"/>
      <c r="I8" s="424">
        <f t="shared" si="1"/>
        <v>2848739.5331999999</v>
      </c>
      <c r="J8" s="424">
        <v>200000</v>
      </c>
      <c r="K8" s="424">
        <v>0.2</v>
      </c>
      <c r="L8" s="424">
        <f t="shared" si="2"/>
        <v>569747.90663999994</v>
      </c>
      <c r="M8" s="424">
        <f t="shared" si="3"/>
        <v>769747.90663999994</v>
      </c>
      <c r="N8" s="424">
        <f t="shared" si="4"/>
        <v>1424818.86344</v>
      </c>
      <c r="O8" s="424">
        <f t="shared" si="5"/>
        <v>2078991.62656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100588.2415776</v>
      </c>
      <c r="U8" s="424"/>
      <c r="V8" s="424">
        <f t="shared" si="11"/>
        <v>324588.24157760001</v>
      </c>
      <c r="W8" s="431">
        <v>12</v>
      </c>
      <c r="X8" s="424">
        <f t="shared" si="12"/>
        <v>27049.020131466699</v>
      </c>
      <c r="Y8" s="424"/>
      <c r="Z8" s="424">
        <f t="shared" si="13"/>
        <v>27049.020131466699</v>
      </c>
      <c r="AA8" s="436"/>
    </row>
    <row r="9" spans="1:27" ht="13.5" x14ac:dyDescent="0.15">
      <c r="A9" s="706">
        <v>5</v>
      </c>
      <c r="B9" s="706" t="s">
        <v>621</v>
      </c>
      <c r="C9" s="711">
        <v>0</v>
      </c>
      <c r="D9" s="423">
        <v>0</v>
      </c>
      <c r="E9" s="424">
        <f t="shared" si="0"/>
        <v>0</v>
      </c>
      <c r="F9" s="424"/>
      <c r="G9" s="424">
        <v>0</v>
      </c>
      <c r="H9" s="424"/>
      <c r="I9" s="424">
        <f t="shared" si="1"/>
        <v>0</v>
      </c>
      <c r="J9" s="424">
        <v>0</v>
      </c>
      <c r="K9" s="424">
        <v>0.2</v>
      </c>
      <c r="L9" s="424">
        <f t="shared" si="2"/>
        <v>0</v>
      </c>
      <c r="M9" s="424">
        <f t="shared" si="3"/>
        <v>0</v>
      </c>
      <c r="N9" s="424">
        <f t="shared" si="4"/>
        <v>0</v>
      </c>
      <c r="O9" s="424">
        <f t="shared" si="5"/>
        <v>0</v>
      </c>
      <c r="P9" s="424">
        <f t="shared" si="6"/>
        <v>0</v>
      </c>
      <c r="Q9" s="424">
        <f t="shared" si="7"/>
        <v>0</v>
      </c>
      <c r="R9" s="424">
        <f t="shared" si="8"/>
        <v>0</v>
      </c>
      <c r="S9" s="424">
        <f t="shared" si="9"/>
        <v>0</v>
      </c>
      <c r="T9" s="424">
        <f t="shared" si="10"/>
        <v>0</v>
      </c>
      <c r="U9" s="424"/>
      <c r="V9" s="424">
        <f t="shared" si="11"/>
        <v>0</v>
      </c>
      <c r="W9" s="431">
        <v>12</v>
      </c>
      <c r="X9" s="424">
        <f t="shared" si="12"/>
        <v>0</v>
      </c>
      <c r="Y9" s="424"/>
      <c r="Z9" s="424">
        <f t="shared" si="13"/>
        <v>0</v>
      </c>
      <c r="AA9" s="436"/>
    </row>
    <row r="10" spans="1:27" ht="13.5" x14ac:dyDescent="0.15">
      <c r="A10" s="706">
        <v>6</v>
      </c>
      <c r="B10" s="706" t="s">
        <v>309</v>
      </c>
      <c r="C10" s="711">
        <v>1486792</v>
      </c>
      <c r="D10" s="423">
        <v>12</v>
      </c>
      <c r="E10" s="424">
        <f t="shared" si="0"/>
        <v>17841504</v>
      </c>
      <c r="F10" s="424"/>
      <c r="G10" s="424">
        <v>245615.04</v>
      </c>
      <c r="H10" s="424"/>
      <c r="I10" s="424">
        <f t="shared" si="1"/>
        <v>17595888.960000001</v>
      </c>
      <c r="J10" s="424">
        <v>200000</v>
      </c>
      <c r="K10" s="424">
        <v>0.2</v>
      </c>
      <c r="L10" s="424">
        <f t="shared" si="2"/>
        <v>3519177.7919999999</v>
      </c>
      <c r="M10" s="424">
        <f t="shared" si="3"/>
        <v>3719177.7919999999</v>
      </c>
      <c r="N10" s="424">
        <f t="shared" si="4"/>
        <v>3964792.8319999999</v>
      </c>
      <c r="O10" s="424">
        <f t="shared" si="5"/>
        <v>13876711.168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>24%*(O10-3200000)</f>
        <v>2562410.6803199998</v>
      </c>
      <c r="V10" s="424">
        <f t="shared" si="11"/>
        <v>3122410.6803199998</v>
      </c>
      <c r="W10" s="431">
        <v>12</v>
      </c>
      <c r="X10" s="424">
        <f t="shared" si="12"/>
        <v>260200.89002666701</v>
      </c>
      <c r="Y10" s="424"/>
      <c r="Z10" s="424">
        <f t="shared" si="13"/>
        <v>260200.89002666701</v>
      </c>
      <c r="AA10" s="436"/>
    </row>
    <row r="11" spans="1:27" ht="13.5" x14ac:dyDescent="0.15">
      <c r="A11" s="706">
        <v>7</v>
      </c>
      <c r="B11" s="706" t="s">
        <v>622</v>
      </c>
      <c r="C11" s="711">
        <v>120895.81</v>
      </c>
      <c r="D11" s="423">
        <v>12</v>
      </c>
      <c r="E11" s="424">
        <f t="shared" si="0"/>
        <v>1450749.72</v>
      </c>
      <c r="F11" s="424"/>
      <c r="G11" s="424">
        <v>339372</v>
      </c>
      <c r="H11" s="424"/>
      <c r="I11" s="424">
        <f t="shared" si="1"/>
        <v>1111377.72</v>
      </c>
      <c r="J11" s="424">
        <v>200000</v>
      </c>
      <c r="K11" s="424">
        <v>0.2</v>
      </c>
      <c r="L11" s="424">
        <f t="shared" si="2"/>
        <v>222275.54399999999</v>
      </c>
      <c r="M11" s="424">
        <f t="shared" si="3"/>
        <v>422275.54399999999</v>
      </c>
      <c r="N11" s="424">
        <f t="shared" si="4"/>
        <v>761647.54399999999</v>
      </c>
      <c r="O11" s="424">
        <f t="shared" si="5"/>
        <v>689102.17599999998</v>
      </c>
      <c r="P11" s="424">
        <f t="shared" si="6"/>
        <v>21000</v>
      </c>
      <c r="Q11" s="424">
        <f t="shared" si="7"/>
        <v>33000</v>
      </c>
      <c r="R11" s="424">
        <f t="shared" si="8"/>
        <v>13365.3264</v>
      </c>
      <c r="S11" s="424">
        <f t="shared" si="9"/>
        <v>0</v>
      </c>
      <c r="T11" s="424">
        <f t="shared" si="10"/>
        <v>0</v>
      </c>
      <c r="U11" s="424"/>
      <c r="V11" s="424">
        <f t="shared" si="11"/>
        <v>67365.326400000005</v>
      </c>
      <c r="W11" s="431">
        <v>12</v>
      </c>
      <c r="X11" s="424">
        <f t="shared" si="12"/>
        <v>5613.7772000000004</v>
      </c>
      <c r="Y11" s="424"/>
      <c r="Z11" s="424">
        <f t="shared" si="13"/>
        <v>5613.7772000000004</v>
      </c>
      <c r="AA11" s="436"/>
    </row>
    <row r="12" spans="1:27" ht="13.5" x14ac:dyDescent="0.15">
      <c r="A12" s="706">
        <v>8</v>
      </c>
      <c r="B12" s="706" t="s">
        <v>623</v>
      </c>
      <c r="C12" s="711">
        <v>99389.475833332501</v>
      </c>
      <c r="D12" s="423">
        <v>12</v>
      </c>
      <c r="E12" s="424">
        <f t="shared" si="0"/>
        <v>1192673.70999999</v>
      </c>
      <c r="F12" s="424"/>
      <c r="G12" s="424">
        <v>339372</v>
      </c>
      <c r="H12" s="424"/>
      <c r="I12" s="424">
        <f t="shared" si="1"/>
        <v>853301.70999998995</v>
      </c>
      <c r="J12" s="424">
        <v>200000</v>
      </c>
      <c r="K12" s="424">
        <v>0.2</v>
      </c>
      <c r="L12" s="424">
        <f t="shared" si="2"/>
        <v>170660.341999998</v>
      </c>
      <c r="M12" s="424">
        <f t="shared" si="3"/>
        <v>370660.34199999803</v>
      </c>
      <c r="N12" s="424">
        <f t="shared" si="4"/>
        <v>710032.34199999797</v>
      </c>
      <c r="O12" s="424">
        <f t="shared" si="5"/>
        <v>482641.36799999198</v>
      </c>
      <c r="P12" s="424">
        <f t="shared" si="6"/>
        <v>21000</v>
      </c>
      <c r="Q12" s="424">
        <f t="shared" si="7"/>
        <v>20090.550479999099</v>
      </c>
      <c r="R12" s="424">
        <f t="shared" si="8"/>
        <v>0</v>
      </c>
      <c r="S12" s="424">
        <f t="shared" si="9"/>
        <v>0</v>
      </c>
      <c r="T12" s="424">
        <f t="shared" si="10"/>
        <v>0</v>
      </c>
      <c r="U12" s="424"/>
      <c r="V12" s="424">
        <f t="shared" si="11"/>
        <v>41090.550479999103</v>
      </c>
      <c r="W12" s="431">
        <v>12</v>
      </c>
      <c r="X12" s="424">
        <f t="shared" si="12"/>
        <v>3424.21253999993</v>
      </c>
      <c r="Y12" s="424"/>
      <c r="Z12" s="424">
        <f t="shared" si="13"/>
        <v>3424.21253999993</v>
      </c>
      <c r="AA12" s="436"/>
    </row>
    <row r="13" spans="1:27" ht="13.5" x14ac:dyDescent="0.15">
      <c r="A13" s="706">
        <v>9</v>
      </c>
      <c r="B13" s="714" t="s">
        <v>624</v>
      </c>
      <c r="C13" s="711">
        <v>481299.33333333599</v>
      </c>
      <c r="D13" s="423">
        <v>12</v>
      </c>
      <c r="E13" s="424">
        <f t="shared" si="0"/>
        <v>5775592.0000000298</v>
      </c>
      <c r="F13" s="424">
        <f>6922.5*12</f>
        <v>83070</v>
      </c>
      <c r="G13" s="425">
        <v>374638.9632</v>
      </c>
      <c r="H13" s="424"/>
      <c r="I13" s="424">
        <f t="shared" si="1"/>
        <v>5317883.0368000297</v>
      </c>
      <c r="J13" s="424">
        <v>200000</v>
      </c>
      <c r="K13" s="424">
        <v>0.2</v>
      </c>
      <c r="L13" s="424">
        <f t="shared" si="2"/>
        <v>1063576.60736001</v>
      </c>
      <c r="M13" s="424">
        <f t="shared" si="3"/>
        <v>1263576.60736001</v>
      </c>
      <c r="N13" s="424">
        <f t="shared" si="4"/>
        <v>1721285.5705600099</v>
      </c>
      <c r="O13" s="424">
        <f t="shared" si="5"/>
        <v>4054306.4294400299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336000</v>
      </c>
      <c r="U13" s="424">
        <f>24%*(O13-3200000)</f>
        <v>205033.54306560601</v>
      </c>
      <c r="V13" s="424">
        <f t="shared" si="11"/>
        <v>765033.54306560603</v>
      </c>
      <c r="W13" s="431">
        <v>12</v>
      </c>
      <c r="X13" s="424">
        <f t="shared" si="12"/>
        <v>63752.795255467201</v>
      </c>
      <c r="Y13" s="424"/>
      <c r="Z13" s="424">
        <f t="shared" si="13"/>
        <v>63752.795255467201</v>
      </c>
      <c r="AA13" s="436"/>
    </row>
    <row r="14" spans="1:27" ht="13.5" x14ac:dyDescent="0.15">
      <c r="A14" s="706">
        <v>10</v>
      </c>
      <c r="B14" s="706" t="s">
        <v>625</v>
      </c>
      <c r="C14" s="711">
        <v>163040.14916666801</v>
      </c>
      <c r="D14" s="423">
        <v>12</v>
      </c>
      <c r="E14" s="424">
        <f t="shared" si="0"/>
        <v>1956481.7900000201</v>
      </c>
      <c r="F14" s="424"/>
      <c r="G14" s="424">
        <v>374638.9632</v>
      </c>
      <c r="H14" s="424"/>
      <c r="I14" s="424">
        <f t="shared" si="1"/>
        <v>1581842.8268000199</v>
      </c>
      <c r="J14" s="424">
        <v>200000</v>
      </c>
      <c r="K14" s="424">
        <v>0.2</v>
      </c>
      <c r="L14" s="424">
        <f t="shared" si="2"/>
        <v>316368.56536000298</v>
      </c>
      <c r="M14" s="424">
        <f t="shared" si="3"/>
        <v>516368.56536000298</v>
      </c>
      <c r="N14" s="424">
        <f t="shared" si="4"/>
        <v>891007.52856000303</v>
      </c>
      <c r="O14" s="424">
        <f t="shared" si="5"/>
        <v>1065474.26144001</v>
      </c>
      <c r="P14" s="424">
        <f t="shared" si="6"/>
        <v>21000</v>
      </c>
      <c r="Q14" s="424">
        <f t="shared" si="7"/>
        <v>33000</v>
      </c>
      <c r="R14" s="424">
        <f t="shared" si="8"/>
        <v>69821.139216001902</v>
      </c>
      <c r="S14" s="424">
        <f t="shared" si="9"/>
        <v>0</v>
      </c>
      <c r="T14" s="424">
        <f t="shared" si="10"/>
        <v>0</v>
      </c>
      <c r="U14" s="424"/>
      <c r="V14" s="424">
        <f t="shared" si="11"/>
        <v>123821.139216002</v>
      </c>
      <c r="W14" s="431">
        <v>12</v>
      </c>
      <c r="X14" s="424">
        <f t="shared" si="12"/>
        <v>10318.4282680002</v>
      </c>
      <c r="Y14" s="424"/>
      <c r="Z14" s="424">
        <f t="shared" si="13"/>
        <v>10318.4282680002</v>
      </c>
      <c r="AA14" s="436"/>
    </row>
    <row r="15" spans="1:27" ht="13.5" x14ac:dyDescent="0.15">
      <c r="A15" s="706">
        <v>11</v>
      </c>
      <c r="B15" s="706" t="s">
        <v>626</v>
      </c>
      <c r="C15" s="711">
        <v>394860</v>
      </c>
      <c r="D15" s="423">
        <v>12</v>
      </c>
      <c r="E15" s="424">
        <f t="shared" si="0"/>
        <v>4738320</v>
      </c>
      <c r="F15" s="424"/>
      <c r="G15" s="424">
        <v>558833.35679999995</v>
      </c>
      <c r="H15" s="424"/>
      <c r="I15" s="424">
        <f t="shared" si="1"/>
        <v>4179486.6431999998</v>
      </c>
      <c r="J15" s="424">
        <v>200000</v>
      </c>
      <c r="K15" s="424">
        <v>0.2</v>
      </c>
      <c r="L15" s="424">
        <f t="shared" si="2"/>
        <v>835897.32863999996</v>
      </c>
      <c r="M15" s="424">
        <f t="shared" si="3"/>
        <v>1035897.32864</v>
      </c>
      <c r="N15" s="424">
        <f t="shared" si="4"/>
        <v>1594730.6854399999</v>
      </c>
      <c r="O15" s="424">
        <f t="shared" si="5"/>
        <v>3143589.3145599999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324153.75605760003</v>
      </c>
      <c r="U15" s="424"/>
      <c r="V15" s="424">
        <f t="shared" si="11"/>
        <v>548153.75605760003</v>
      </c>
      <c r="W15" s="431">
        <v>12</v>
      </c>
      <c r="X15" s="424">
        <f t="shared" si="12"/>
        <v>45679.479671466703</v>
      </c>
      <c r="Y15" s="424"/>
      <c r="Z15" s="424">
        <f t="shared" si="13"/>
        <v>45679.479671466703</v>
      </c>
      <c r="AA15" s="436"/>
    </row>
    <row r="16" spans="1:27" ht="13.5" x14ac:dyDescent="0.15">
      <c r="A16" s="706">
        <v>12</v>
      </c>
      <c r="B16" s="706" t="s">
        <v>278</v>
      </c>
      <c r="C16" s="711">
        <v>323232.75</v>
      </c>
      <c r="D16" s="423">
        <v>12</v>
      </c>
      <c r="E16" s="424">
        <f t="shared" si="0"/>
        <v>3878793</v>
      </c>
      <c r="F16" s="424">
        <f>8019.8*12</f>
        <v>96237.6</v>
      </c>
      <c r="G16" s="424">
        <v>558833.35679999995</v>
      </c>
      <c r="H16" s="424"/>
      <c r="I16" s="424">
        <f t="shared" si="1"/>
        <v>3223722.0432000002</v>
      </c>
      <c r="J16" s="424">
        <v>200000</v>
      </c>
      <c r="K16" s="424">
        <v>0.2</v>
      </c>
      <c r="L16" s="424">
        <f t="shared" si="2"/>
        <v>644744.40864000004</v>
      </c>
      <c r="M16" s="424">
        <f t="shared" si="3"/>
        <v>844744.40864000004</v>
      </c>
      <c r="N16" s="424">
        <f t="shared" si="4"/>
        <v>1499815.3654400001</v>
      </c>
      <c r="O16" s="424">
        <f t="shared" si="5"/>
        <v>2378977.6345600002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163585.3032576</v>
      </c>
      <c r="U16" s="424"/>
      <c r="V16" s="424">
        <f t="shared" si="11"/>
        <v>387585.3032576</v>
      </c>
      <c r="W16" s="431">
        <v>12</v>
      </c>
      <c r="X16" s="424">
        <f t="shared" si="12"/>
        <v>32298.7752714667</v>
      </c>
      <c r="Y16" s="424"/>
      <c r="Z16" s="424">
        <f t="shared" si="13"/>
        <v>32298.7752714667</v>
      </c>
      <c r="AA16" s="436"/>
    </row>
    <row r="17" spans="1:27" ht="13.5" x14ac:dyDescent="0.15">
      <c r="A17" s="706">
        <v>13</v>
      </c>
      <c r="B17" s="706" t="s">
        <v>627</v>
      </c>
      <c r="C17" s="711">
        <v>180487.25000000099</v>
      </c>
      <c r="D17" s="423">
        <v>12</v>
      </c>
      <c r="E17" s="424">
        <f t="shared" si="0"/>
        <v>2165847.0000000098</v>
      </c>
      <c r="F17" s="424"/>
      <c r="G17" s="424">
        <v>374638.9632</v>
      </c>
      <c r="H17" s="424"/>
      <c r="I17" s="424">
        <f t="shared" si="1"/>
        <v>1791208.0368000099</v>
      </c>
      <c r="J17" s="424">
        <v>200000</v>
      </c>
      <c r="K17" s="424">
        <v>0.2</v>
      </c>
      <c r="L17" s="424">
        <f t="shared" si="2"/>
        <v>358241.607360002</v>
      </c>
      <c r="M17" s="424">
        <f t="shared" si="3"/>
        <v>558241.607360002</v>
      </c>
      <c r="N17" s="424">
        <f t="shared" si="4"/>
        <v>932880.570560002</v>
      </c>
      <c r="O17" s="424">
        <f t="shared" si="5"/>
        <v>1232966.4294400101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25263.6215936019</v>
      </c>
      <c r="T17" s="424">
        <f t="shared" si="10"/>
        <v>0</v>
      </c>
      <c r="U17" s="424"/>
      <c r="V17" s="424">
        <f t="shared" si="11"/>
        <v>154263.621593602</v>
      </c>
      <c r="W17" s="431">
        <v>12</v>
      </c>
      <c r="X17" s="424">
        <f t="shared" si="12"/>
        <v>12855.301799466801</v>
      </c>
      <c r="Y17" s="424"/>
      <c r="Z17" s="424">
        <f t="shared" si="13"/>
        <v>12855.301799466801</v>
      </c>
      <c r="AA17" s="436"/>
    </row>
    <row r="18" spans="1:27" ht="13.5" x14ac:dyDescent="0.15">
      <c r="A18" s="706">
        <v>14</v>
      </c>
      <c r="B18" s="706" t="s">
        <v>628</v>
      </c>
      <c r="C18" s="711">
        <v>676611.66666665999</v>
      </c>
      <c r="D18" s="423">
        <v>12</v>
      </c>
      <c r="E18" s="424">
        <f t="shared" si="0"/>
        <v>8119339.9999999199</v>
      </c>
      <c r="F18" s="424"/>
      <c r="G18" s="424">
        <v>425036.64</v>
      </c>
      <c r="H18" s="424"/>
      <c r="I18" s="424">
        <f t="shared" si="1"/>
        <v>7694303.3599999202</v>
      </c>
      <c r="J18" s="424">
        <v>200000</v>
      </c>
      <c r="K18" s="424">
        <v>0.2</v>
      </c>
      <c r="L18" s="424">
        <f t="shared" si="2"/>
        <v>1538860.67199998</v>
      </c>
      <c r="M18" s="424">
        <f t="shared" si="3"/>
        <v>1738860.67199998</v>
      </c>
      <c r="N18" s="424">
        <f t="shared" si="4"/>
        <v>2163897.3119999799</v>
      </c>
      <c r="O18" s="424">
        <f t="shared" si="5"/>
        <v>5955442.6879999395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336000</v>
      </c>
      <c r="U18" s="424">
        <f>24%*(O18-3200000)</f>
        <v>661306.24511998496</v>
      </c>
      <c r="V18" s="424">
        <f t="shared" si="11"/>
        <v>1221306.2451199801</v>
      </c>
      <c r="W18" s="431">
        <v>12</v>
      </c>
      <c r="X18" s="424">
        <f t="shared" si="12"/>
        <v>101775.520426665</v>
      </c>
      <c r="Y18" s="424"/>
      <c r="Z18" s="424">
        <f t="shared" si="13"/>
        <v>101775.520426665</v>
      </c>
      <c r="AA18" s="436"/>
    </row>
    <row r="19" spans="1:27" ht="13.5" x14ac:dyDescent="0.15">
      <c r="A19" s="706">
        <v>15</v>
      </c>
      <c r="B19" s="706" t="s">
        <v>545</v>
      </c>
      <c r="C19" s="711">
        <v>575119.91666666104</v>
      </c>
      <c r="D19" s="423">
        <v>12</v>
      </c>
      <c r="E19" s="424">
        <f t="shared" si="0"/>
        <v>6901438.9999999302</v>
      </c>
      <c r="F19" s="424"/>
      <c r="G19" s="424">
        <v>425036.64</v>
      </c>
      <c r="H19" s="424"/>
      <c r="I19" s="424">
        <f t="shared" si="1"/>
        <v>6476402.3599999296</v>
      </c>
      <c r="J19" s="424">
        <v>200000</v>
      </c>
      <c r="K19" s="424">
        <v>0.2</v>
      </c>
      <c r="L19" s="424">
        <f t="shared" si="2"/>
        <v>1295280.4719999901</v>
      </c>
      <c r="M19" s="424">
        <f t="shared" si="3"/>
        <v>1495280.4719999901</v>
      </c>
      <c r="N19" s="424">
        <f t="shared" si="4"/>
        <v>1920317.11199999</v>
      </c>
      <c r="O19" s="424">
        <f t="shared" si="5"/>
        <v>4981121.88799995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336000</v>
      </c>
      <c r="U19" s="424">
        <f>24%*(O19-3200000)</f>
        <v>427469.25311998703</v>
      </c>
      <c r="V19" s="424">
        <f t="shared" si="11"/>
        <v>987469.25311998697</v>
      </c>
      <c r="W19" s="431">
        <v>12</v>
      </c>
      <c r="X19" s="424">
        <f t="shared" si="12"/>
        <v>82289.104426665595</v>
      </c>
      <c r="Y19" s="424"/>
      <c r="Z19" s="424">
        <f t="shared" si="13"/>
        <v>82289.104426665595</v>
      </c>
      <c r="AA19" s="436"/>
    </row>
    <row r="20" spans="1:27" ht="13.5" x14ac:dyDescent="0.15">
      <c r="A20" s="706">
        <v>16</v>
      </c>
      <c r="B20" s="706" t="s">
        <v>629</v>
      </c>
      <c r="C20" s="711">
        <v>401499</v>
      </c>
      <c r="D20" s="423">
        <v>12</v>
      </c>
      <c r="E20" s="424">
        <f t="shared" si="0"/>
        <v>4817988</v>
      </c>
      <c r="F20" s="424"/>
      <c r="G20" s="424">
        <v>339372</v>
      </c>
      <c r="H20" s="424"/>
      <c r="I20" s="424">
        <f t="shared" si="1"/>
        <v>4478616</v>
      </c>
      <c r="J20" s="424">
        <v>200000</v>
      </c>
      <c r="K20" s="424">
        <v>0.2</v>
      </c>
      <c r="L20" s="424">
        <f t="shared" si="2"/>
        <v>895723.2</v>
      </c>
      <c r="M20" s="424">
        <f t="shared" si="3"/>
        <v>1095723.2</v>
      </c>
      <c r="N20" s="424">
        <f t="shared" si="4"/>
        <v>1435095.2</v>
      </c>
      <c r="O20" s="424">
        <f t="shared" si="5"/>
        <v>3382892.8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336000</v>
      </c>
      <c r="U20" s="424">
        <f>24%*(O20-3200000)</f>
        <v>43894.271999999997</v>
      </c>
      <c r="V20" s="424">
        <f t="shared" si="11"/>
        <v>603894.272</v>
      </c>
      <c r="W20" s="431">
        <v>12</v>
      </c>
      <c r="X20" s="424">
        <f t="shared" si="12"/>
        <v>50324.5226666667</v>
      </c>
      <c r="Y20" s="424"/>
      <c r="Z20" s="424">
        <f t="shared" si="13"/>
        <v>50324.5226666667</v>
      </c>
      <c r="AA20" s="436"/>
    </row>
    <row r="21" spans="1:27" ht="13.5" x14ac:dyDescent="0.15">
      <c r="A21" s="706">
        <v>17</v>
      </c>
      <c r="B21" s="706" t="s">
        <v>631</v>
      </c>
      <c r="C21" s="711">
        <v>655332</v>
      </c>
      <c r="D21" s="423">
        <v>12</v>
      </c>
      <c r="E21" s="424">
        <f t="shared" si="0"/>
        <v>7863984</v>
      </c>
      <c r="F21" s="424"/>
      <c r="G21" s="424">
        <v>339372</v>
      </c>
      <c r="H21" s="424"/>
      <c r="I21" s="424">
        <f t="shared" si="1"/>
        <v>7524612</v>
      </c>
      <c r="J21" s="424">
        <v>200000</v>
      </c>
      <c r="K21" s="424">
        <v>0.2</v>
      </c>
      <c r="L21" s="424">
        <f t="shared" si="2"/>
        <v>1504922.4</v>
      </c>
      <c r="M21" s="424">
        <f t="shared" si="3"/>
        <v>1704922.4</v>
      </c>
      <c r="N21" s="424">
        <f t="shared" si="4"/>
        <v>2044294.4</v>
      </c>
      <c r="O21" s="424">
        <f t="shared" si="5"/>
        <v>5819689.5999999996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336000</v>
      </c>
      <c r="U21" s="424">
        <f>24%*(O21-3200000)</f>
        <v>628725.50399999996</v>
      </c>
      <c r="V21" s="424">
        <f t="shared" si="11"/>
        <v>1188725.504</v>
      </c>
      <c r="W21" s="431">
        <v>12</v>
      </c>
      <c r="X21" s="424">
        <f t="shared" si="12"/>
        <v>99060.4586666666</v>
      </c>
      <c r="Y21" s="424"/>
      <c r="Z21" s="424">
        <f t="shared" si="13"/>
        <v>99060.4586666666</v>
      </c>
      <c r="AA21" s="436"/>
    </row>
    <row r="22" spans="1:27" ht="13.5" x14ac:dyDescent="0.15">
      <c r="A22" s="706">
        <v>18</v>
      </c>
      <c r="B22" s="706" t="s">
        <v>712</v>
      </c>
      <c r="C22" s="711">
        <v>176519</v>
      </c>
      <c r="D22" s="423">
        <v>12</v>
      </c>
      <c r="E22" s="424">
        <f t="shared" si="0"/>
        <v>2118228</v>
      </c>
      <c r="F22" s="424"/>
      <c r="G22" s="424">
        <v>245615.04</v>
      </c>
      <c r="H22" s="424"/>
      <c r="I22" s="424">
        <f t="shared" si="1"/>
        <v>1872612.96</v>
      </c>
      <c r="J22" s="424">
        <v>200000</v>
      </c>
      <c r="K22" s="424">
        <v>0.2</v>
      </c>
      <c r="L22" s="424">
        <f t="shared" si="2"/>
        <v>374522.592</v>
      </c>
      <c r="M22" s="424">
        <f t="shared" si="3"/>
        <v>574522.59199999995</v>
      </c>
      <c r="N22" s="424">
        <f t="shared" si="4"/>
        <v>820137.63199999998</v>
      </c>
      <c r="O22" s="424">
        <f t="shared" si="5"/>
        <v>1298090.368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37637.16992</v>
      </c>
      <c r="T22" s="424">
        <f t="shared" si="10"/>
        <v>0</v>
      </c>
      <c r="U22" s="424"/>
      <c r="V22" s="424">
        <f t="shared" si="11"/>
        <v>166637.16991999999</v>
      </c>
      <c r="W22" s="431">
        <v>12</v>
      </c>
      <c r="X22" s="424">
        <f t="shared" si="12"/>
        <v>13886.430826666699</v>
      </c>
      <c r="Y22" s="424"/>
      <c r="Z22" s="424">
        <f t="shared" si="13"/>
        <v>13886.430826666699</v>
      </c>
      <c r="AA22" s="436"/>
    </row>
    <row r="23" spans="1:27" ht="13.5" x14ac:dyDescent="0.15">
      <c r="A23" s="706">
        <v>19</v>
      </c>
      <c r="B23" s="706" t="s">
        <v>632</v>
      </c>
      <c r="C23" s="711">
        <v>86887.25</v>
      </c>
      <c r="D23" s="423">
        <v>12</v>
      </c>
      <c r="E23" s="424">
        <f t="shared" si="0"/>
        <v>1042647</v>
      </c>
      <c r="F23" s="424"/>
      <c r="G23" s="424">
        <v>146701.60320000001</v>
      </c>
      <c r="H23" s="424"/>
      <c r="I23" s="424">
        <f t="shared" si="1"/>
        <v>895945.39679999999</v>
      </c>
      <c r="J23" s="424">
        <v>200000</v>
      </c>
      <c r="K23" s="424">
        <v>0.2</v>
      </c>
      <c r="L23" s="424">
        <f t="shared" si="2"/>
        <v>179189.07936</v>
      </c>
      <c r="M23" s="424">
        <f t="shared" si="3"/>
        <v>379189.07935999997</v>
      </c>
      <c r="N23" s="424">
        <f t="shared" si="4"/>
        <v>525890.68255999999</v>
      </c>
      <c r="O23" s="424">
        <f t="shared" si="5"/>
        <v>516756.31744000001</v>
      </c>
      <c r="P23" s="424">
        <f t="shared" si="6"/>
        <v>21000</v>
      </c>
      <c r="Q23" s="424">
        <f t="shared" si="7"/>
        <v>23843.1949184</v>
      </c>
      <c r="R23" s="424">
        <f t="shared" si="8"/>
        <v>0</v>
      </c>
      <c r="S23" s="424">
        <f t="shared" si="9"/>
        <v>0</v>
      </c>
      <c r="T23" s="424">
        <f t="shared" si="10"/>
        <v>0</v>
      </c>
      <c r="U23" s="424"/>
      <c r="V23" s="424">
        <f t="shared" si="11"/>
        <v>44843.194918399997</v>
      </c>
      <c r="W23" s="431">
        <v>12</v>
      </c>
      <c r="X23" s="424">
        <f t="shared" si="12"/>
        <v>3736.9329098666699</v>
      </c>
      <c r="Y23" s="424"/>
      <c r="Z23" s="424">
        <f t="shared" si="13"/>
        <v>3736.9329098666699</v>
      </c>
      <c r="AA23" s="436"/>
    </row>
    <row r="24" spans="1:27" ht="13.5" x14ac:dyDescent="0.15">
      <c r="A24" s="706">
        <v>20</v>
      </c>
      <c r="B24" s="706" t="s">
        <v>177</v>
      </c>
      <c r="C24" s="711">
        <v>180487.25000000099</v>
      </c>
      <c r="D24" s="423">
        <v>12</v>
      </c>
      <c r="E24" s="424">
        <f t="shared" si="0"/>
        <v>2165847.0000000098</v>
      </c>
      <c r="F24" s="424">
        <f>6922.5*12</f>
        <v>83070</v>
      </c>
      <c r="G24" s="424">
        <v>374638.9632</v>
      </c>
      <c r="H24" s="424"/>
      <c r="I24" s="424">
        <f t="shared" si="1"/>
        <v>1708138.0368000099</v>
      </c>
      <c r="J24" s="424">
        <v>200000</v>
      </c>
      <c r="K24" s="424">
        <v>0.2</v>
      </c>
      <c r="L24" s="424">
        <f t="shared" si="2"/>
        <v>341627.607360002</v>
      </c>
      <c r="M24" s="424">
        <f t="shared" si="3"/>
        <v>541627.607360002</v>
      </c>
      <c r="N24" s="424">
        <f t="shared" si="4"/>
        <v>999336.570560002</v>
      </c>
      <c r="O24" s="424">
        <f t="shared" si="5"/>
        <v>1166510.4294400101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12636.9815936019</v>
      </c>
      <c r="T24" s="424">
        <f t="shared" si="10"/>
        <v>0</v>
      </c>
      <c r="U24" s="424"/>
      <c r="V24" s="424">
        <f t="shared" si="11"/>
        <v>141636.98159360199</v>
      </c>
      <c r="W24" s="431">
        <v>12</v>
      </c>
      <c r="X24" s="424">
        <f t="shared" si="12"/>
        <v>11803.0817994668</v>
      </c>
      <c r="Y24" s="424"/>
      <c r="Z24" s="424">
        <f t="shared" si="13"/>
        <v>11803.0817994668</v>
      </c>
      <c r="AA24" s="436"/>
    </row>
    <row r="25" spans="1:27" x14ac:dyDescent="0.15">
      <c r="F25" s="456"/>
      <c r="Z25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9"/>
  <sheetViews>
    <sheetView topLeftCell="J1" workbookViewId="0">
      <selection activeCell="K13" sqref="K13"/>
    </sheetView>
  </sheetViews>
  <sheetFormatPr defaultColWidth="8.76171875" defaultRowHeight="12.75" x14ac:dyDescent="0.15"/>
  <cols>
    <col min="1" max="1" width="4.8515625" customWidth="1"/>
    <col min="2" max="2" width="23.8671875" customWidth="1"/>
    <col min="3" max="3" width="26.96875" customWidth="1"/>
    <col min="5" max="5" width="17.125"/>
    <col min="6" max="6" width="12.80859375"/>
    <col min="7" max="7" width="15.1015625"/>
    <col min="8" max="8" width="13.6171875"/>
    <col min="9" max="9" width="12.80859375"/>
    <col min="10" max="10" width="17.125"/>
    <col min="12" max="13" width="15.1015625"/>
    <col min="14" max="14" width="12.13671875"/>
    <col min="15" max="16" width="15.1015625"/>
    <col min="17" max="17" width="17.125"/>
    <col min="18" max="18" width="18.609375"/>
    <col min="19" max="19" width="17.125"/>
  </cols>
  <sheetData>
    <row r="1" spans="1:20" ht="21" x14ac:dyDescent="0.25">
      <c r="A1" s="958" t="s">
        <v>0</v>
      </c>
      <c r="B1" s="958"/>
      <c r="C1" s="958"/>
      <c r="D1" s="958"/>
      <c r="E1" s="958"/>
      <c r="F1" s="958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1" x14ac:dyDescent="0.25">
      <c r="A2" s="563" t="s">
        <v>713</v>
      </c>
      <c r="B2" s="719"/>
      <c r="C2" s="563"/>
      <c r="D2" s="563"/>
      <c r="E2" s="331"/>
      <c r="F2" s="331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" x14ac:dyDescent="0.2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21" x14ac:dyDescent="0.15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445</v>
      </c>
      <c r="M4" s="686" t="s">
        <v>12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714</v>
      </c>
      <c r="S4" s="699" t="s">
        <v>715</v>
      </c>
    </row>
    <row r="5" spans="1:20" x14ac:dyDescent="0.15">
      <c r="A5" s="679"/>
      <c r="B5" s="679"/>
      <c r="C5" s="720"/>
      <c r="D5" s="720"/>
      <c r="E5" s="721" t="s">
        <v>20</v>
      </c>
      <c r="F5" s="721" t="s">
        <v>20</v>
      </c>
      <c r="G5" s="721" t="s">
        <v>20</v>
      </c>
      <c r="H5" s="721" t="s">
        <v>20</v>
      </c>
      <c r="I5" s="721" t="s">
        <v>20</v>
      </c>
      <c r="J5" s="729" t="s">
        <v>20</v>
      </c>
      <c r="K5" s="721" t="s">
        <v>20</v>
      </c>
      <c r="L5" s="721" t="s">
        <v>20</v>
      </c>
      <c r="M5" s="721" t="s">
        <v>20</v>
      </c>
      <c r="N5" s="721" t="s">
        <v>20</v>
      </c>
      <c r="O5" s="721" t="s">
        <v>20</v>
      </c>
      <c r="P5" s="721" t="s">
        <v>20</v>
      </c>
      <c r="Q5" s="730" t="s">
        <v>20</v>
      </c>
      <c r="R5" s="721" t="s">
        <v>20</v>
      </c>
      <c r="S5" s="729" t="s">
        <v>20</v>
      </c>
    </row>
    <row r="6" spans="1:20" x14ac:dyDescent="0.15">
      <c r="A6" s="722" t="s">
        <v>21</v>
      </c>
      <c r="B6" s="720" t="s">
        <v>22</v>
      </c>
      <c r="C6" s="720"/>
      <c r="D6" s="720"/>
      <c r="E6" s="721"/>
      <c r="F6" s="723"/>
      <c r="G6" s="721"/>
      <c r="H6" s="721"/>
      <c r="I6" s="721"/>
      <c r="J6" s="729"/>
      <c r="K6" s="721"/>
      <c r="L6" s="721"/>
      <c r="M6" s="721"/>
      <c r="N6" s="721"/>
      <c r="O6" s="721"/>
      <c r="P6" s="721"/>
      <c r="Q6" s="730"/>
      <c r="R6" s="721"/>
      <c r="S6" s="729"/>
    </row>
    <row r="7" spans="1:20" s="718" customFormat="1" ht="27" customHeight="1" x14ac:dyDescent="0.15">
      <c r="A7" s="689">
        <v>2</v>
      </c>
      <c r="B7" s="724" t="s">
        <v>538</v>
      </c>
      <c r="C7" s="725" t="s">
        <v>43</v>
      </c>
      <c r="D7" s="689" t="s">
        <v>131</v>
      </c>
      <c r="E7" s="691">
        <v>620675.58333333302</v>
      </c>
      <c r="F7" s="691"/>
      <c r="G7" s="692">
        <f>160000</f>
        <v>160000</v>
      </c>
      <c r="H7" s="692"/>
      <c r="I7" s="691">
        <v>0</v>
      </c>
      <c r="J7" s="696">
        <f>SUM(E7:I7)</f>
        <v>780675.58333333302</v>
      </c>
      <c r="K7" s="691"/>
      <c r="L7" s="691">
        <f>50000</f>
        <v>50000</v>
      </c>
      <c r="M7" s="691">
        <f>385000</f>
        <v>385000</v>
      </c>
      <c r="N7" s="691"/>
      <c r="O7" s="691">
        <v>119022.801706667</v>
      </c>
      <c r="P7" s="691">
        <v>49654.046666666698</v>
      </c>
      <c r="Q7" s="700">
        <f>O7+N7+M7+L7+K7+P7</f>
        <v>603676.84837333404</v>
      </c>
      <c r="R7" s="691">
        <v>176998.73496</v>
      </c>
      <c r="S7" s="696">
        <f>J7-Q7</f>
        <v>176998.73495999901</v>
      </c>
      <c r="T7" s="701"/>
    </row>
    <row r="8" spans="1:20" s="718" customFormat="1" ht="30" customHeight="1" x14ac:dyDescent="0.15">
      <c r="A8" s="689">
        <v>3</v>
      </c>
      <c r="B8" s="726" t="s">
        <v>545</v>
      </c>
      <c r="C8" s="727" t="s">
        <v>158</v>
      </c>
      <c r="D8" s="728" t="s">
        <v>534</v>
      </c>
      <c r="E8" s="691">
        <v>428915.91666666698</v>
      </c>
      <c r="F8" s="691">
        <v>0</v>
      </c>
      <c r="G8" s="692">
        <f>120000</f>
        <v>120000</v>
      </c>
      <c r="H8" s="692"/>
      <c r="I8" s="691">
        <v>0</v>
      </c>
      <c r="J8" s="696">
        <f>SUM(E8:I8)</f>
        <v>548915.91666666698</v>
      </c>
      <c r="K8" s="691"/>
      <c r="L8" s="691">
        <f>20000+65000+65000</f>
        <v>150000</v>
      </c>
      <c r="M8" s="691">
        <v>0</v>
      </c>
      <c r="N8" s="691">
        <v>0</v>
      </c>
      <c r="O8" s="691">
        <v>77470.374186666697</v>
      </c>
      <c r="P8" s="691">
        <v>34313.273333333302</v>
      </c>
      <c r="Q8" s="700">
        <f>O8+N8+M8+L8+K8+P8</f>
        <v>261783.64752</v>
      </c>
      <c r="R8" s="691">
        <v>287132.26914666698</v>
      </c>
      <c r="S8" s="696">
        <f>J8-Q8</f>
        <v>287132.26914666698</v>
      </c>
      <c r="T8" s="701"/>
    </row>
    <row r="9" spans="1:20" ht="18" x14ac:dyDescent="0.2">
      <c r="A9" s="8"/>
      <c r="B9" s="18" t="s">
        <v>111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2"/>
  <sheetViews>
    <sheetView topLeftCell="A2" workbookViewId="0">
      <selection activeCell="K13" sqref="K13"/>
    </sheetView>
  </sheetViews>
  <sheetFormatPr defaultColWidth="8.76171875" defaultRowHeight="12.75" x14ac:dyDescent="0.15"/>
  <cols>
    <col min="1" max="1" width="5.66015625" customWidth="1"/>
    <col min="2" max="2" width="29.80078125" customWidth="1"/>
    <col min="3" max="3" width="18.33984375" customWidth="1"/>
    <col min="4" max="4" width="10.3828125" customWidth="1"/>
    <col min="5" max="5" width="8.8984375" customWidth="1"/>
    <col min="6" max="6" width="11.59375" customWidth="1"/>
    <col min="7" max="7" width="13.6171875" customWidth="1"/>
    <col min="8" max="8" width="9.70703125" customWidth="1"/>
    <col min="9" max="9" width="6.60546875" customWidth="1"/>
    <col min="10" max="10" width="12.9453125" customWidth="1"/>
    <col min="12" max="12" width="12.80859375"/>
  </cols>
  <sheetData>
    <row r="1" spans="1:10" ht="21" x14ac:dyDescent="0.25">
      <c r="A1" s="957"/>
      <c r="B1" s="957"/>
      <c r="C1" s="957"/>
      <c r="D1" s="957"/>
      <c r="E1" s="957"/>
      <c r="F1" s="957"/>
      <c r="G1" s="957"/>
      <c r="H1" s="957"/>
      <c r="I1" s="957"/>
      <c r="J1" s="957"/>
    </row>
    <row r="2" spans="1:10" ht="21" x14ac:dyDescent="0.25">
      <c r="A2" s="957"/>
      <c r="B2" s="957"/>
      <c r="C2" s="957"/>
      <c r="D2" s="957"/>
      <c r="E2" s="957"/>
      <c r="F2" s="957"/>
      <c r="G2" s="957"/>
      <c r="H2" s="957"/>
      <c r="I2" s="957"/>
      <c r="J2" s="957"/>
    </row>
  </sheetData>
  <mergeCells count="2">
    <mergeCell ref="A1:J1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6"/>
  <sheetViews>
    <sheetView workbookViewId="0">
      <selection activeCell="J4" sqref="J4"/>
    </sheetView>
  </sheetViews>
  <sheetFormatPr defaultColWidth="8.76171875" defaultRowHeight="12.75" x14ac:dyDescent="0.15"/>
  <cols>
    <col min="1" max="1" width="4.44921875" customWidth="1"/>
    <col min="2" max="2" width="28.5859375" customWidth="1"/>
    <col min="3" max="3" width="16.44921875" customWidth="1"/>
    <col min="4" max="4" width="8.8984375" customWidth="1"/>
    <col min="5" max="5" width="13.6171875" customWidth="1"/>
    <col min="6" max="6" width="12.9453125" customWidth="1"/>
    <col min="7" max="7" width="11.19140625" customWidth="1"/>
    <col min="8" max="8" width="10.11328125" customWidth="1"/>
    <col min="9" max="9" width="12.80859375"/>
  </cols>
  <sheetData>
    <row r="1" spans="1:8" ht="21" x14ac:dyDescent="0.25">
      <c r="A1" s="957" t="s">
        <v>661</v>
      </c>
      <c r="B1" s="957"/>
      <c r="C1" s="957"/>
      <c r="D1" s="957"/>
      <c r="E1" s="957"/>
      <c r="F1" s="957"/>
      <c r="G1" s="957"/>
    </row>
    <row r="2" spans="1:8" ht="21" x14ac:dyDescent="0.25">
      <c r="A2" s="957" t="s">
        <v>662</v>
      </c>
      <c r="B2" s="957"/>
      <c r="C2" s="957"/>
      <c r="D2" s="957"/>
      <c r="E2" s="957"/>
      <c r="F2" s="957"/>
      <c r="G2" s="957"/>
    </row>
    <row r="3" spans="1:8" ht="13.5" x14ac:dyDescent="0.15">
      <c r="A3" s="702"/>
      <c r="B3" s="702"/>
      <c r="C3" s="702"/>
      <c r="D3" s="702"/>
      <c r="E3" s="702"/>
      <c r="F3" s="702"/>
      <c r="G3" s="702"/>
    </row>
    <row r="4" spans="1:8" ht="90.95" customHeight="1" x14ac:dyDescent="0.15">
      <c r="A4" s="703" t="s">
        <v>663</v>
      </c>
      <c r="B4" s="703" t="s">
        <v>664</v>
      </c>
      <c r="C4" s="703" t="s">
        <v>665</v>
      </c>
      <c r="D4" s="703" t="s">
        <v>667</v>
      </c>
      <c r="E4" s="703" t="s">
        <v>716</v>
      </c>
      <c r="F4" s="703" t="s">
        <v>717</v>
      </c>
      <c r="G4" s="704" t="s">
        <v>718</v>
      </c>
      <c r="H4" s="704" t="s">
        <v>719</v>
      </c>
    </row>
    <row r="5" spans="1:8" ht="13.5" x14ac:dyDescent="0.15">
      <c r="A5" s="703"/>
      <c r="B5" s="703"/>
      <c r="C5" s="703"/>
      <c r="D5" s="703"/>
      <c r="E5" s="703"/>
      <c r="F5" s="705" t="s">
        <v>20</v>
      </c>
      <c r="G5" s="705" t="s">
        <v>20</v>
      </c>
      <c r="H5" s="705" t="s">
        <v>20</v>
      </c>
    </row>
    <row r="6" spans="1:8" ht="35.1" customHeight="1" x14ac:dyDescent="0.15">
      <c r="A6" s="706">
        <v>1</v>
      </c>
      <c r="B6" s="707" t="s">
        <v>617</v>
      </c>
      <c r="C6" s="708" t="s">
        <v>673</v>
      </c>
      <c r="D6" s="929" t="s">
        <v>675</v>
      </c>
      <c r="E6" s="710">
        <f>F6*12</f>
        <v>6985416.96</v>
      </c>
      <c r="F6" s="711">
        <f>582118.08</f>
        <v>582118.07999999996</v>
      </c>
      <c r="G6" s="712">
        <f>F6*0.08</f>
        <v>46569.446400000001</v>
      </c>
      <c r="H6" s="713">
        <f>G6*12</f>
        <v>558833.35679999995</v>
      </c>
    </row>
    <row r="7" spans="1:8" ht="35.1" customHeight="1" x14ac:dyDescent="0.15">
      <c r="A7" s="706">
        <v>2</v>
      </c>
      <c r="B7" s="706" t="s">
        <v>618</v>
      </c>
      <c r="C7" s="714" t="s">
        <v>673</v>
      </c>
      <c r="D7" s="929" t="s">
        <v>677</v>
      </c>
      <c r="E7" s="710">
        <f t="shared" ref="E7:E25" si="0">F7*12</f>
        <v>6985416.96</v>
      </c>
      <c r="F7" s="711">
        <f>582118.08</f>
        <v>582118.07999999996</v>
      </c>
      <c r="G7" s="712">
        <f t="shared" ref="G7:G25" si="1">F7*0.08</f>
        <v>46569.446400000001</v>
      </c>
      <c r="H7" s="713">
        <f t="shared" ref="H7:H25" si="2">G7*12</f>
        <v>558833.35679999995</v>
      </c>
    </row>
    <row r="8" spans="1:8" ht="35.1" customHeight="1" x14ac:dyDescent="0.15">
      <c r="A8" s="706">
        <v>3</v>
      </c>
      <c r="B8" s="706" t="s">
        <v>619</v>
      </c>
      <c r="C8" s="714" t="s">
        <v>673</v>
      </c>
      <c r="D8" s="929" t="s">
        <v>677</v>
      </c>
      <c r="E8" s="710">
        <f t="shared" si="0"/>
        <v>6985416.96</v>
      </c>
      <c r="F8" s="711">
        <f>582118.08</f>
        <v>582118.07999999996</v>
      </c>
      <c r="G8" s="712">
        <f t="shared" si="1"/>
        <v>46569.446400000001</v>
      </c>
      <c r="H8" s="713">
        <f t="shared" si="2"/>
        <v>558833.35679999995</v>
      </c>
    </row>
    <row r="9" spans="1:8" ht="35.1" customHeight="1" x14ac:dyDescent="0.15">
      <c r="A9" s="706">
        <v>4</v>
      </c>
      <c r="B9" s="706" t="s">
        <v>620</v>
      </c>
      <c r="C9" s="714" t="s">
        <v>673</v>
      </c>
      <c r="D9" s="929" t="s">
        <v>677</v>
      </c>
      <c r="E9" s="710">
        <f t="shared" si="0"/>
        <v>6985416.96</v>
      </c>
      <c r="F9" s="711">
        <f>582118.08</f>
        <v>582118.07999999996</v>
      </c>
      <c r="G9" s="712">
        <f t="shared" si="1"/>
        <v>46569.446400000001</v>
      </c>
      <c r="H9" s="713">
        <f t="shared" si="2"/>
        <v>558833.35679999995</v>
      </c>
    </row>
    <row r="10" spans="1:8" ht="35.1" customHeight="1" x14ac:dyDescent="0.15">
      <c r="A10" s="706">
        <v>5</v>
      </c>
      <c r="B10" s="706" t="s">
        <v>621</v>
      </c>
      <c r="C10" s="714" t="s">
        <v>679</v>
      </c>
      <c r="D10" s="929" t="s">
        <v>681</v>
      </c>
      <c r="E10" s="710">
        <f t="shared" si="0"/>
        <v>1833770.04</v>
      </c>
      <c r="F10" s="715">
        <f>152814.17</f>
        <v>152814.17000000001</v>
      </c>
      <c r="G10" s="712">
        <f t="shared" si="1"/>
        <v>12225.133599999999</v>
      </c>
      <c r="H10" s="713">
        <f t="shared" si="2"/>
        <v>146701.60320000001</v>
      </c>
    </row>
    <row r="11" spans="1:8" ht="35.1" customHeight="1" x14ac:dyDescent="0.15">
      <c r="A11" s="706">
        <v>6</v>
      </c>
      <c r="B11" s="706" t="s">
        <v>309</v>
      </c>
      <c r="C11" s="714" t="s">
        <v>679</v>
      </c>
      <c r="D11" s="929" t="s">
        <v>683</v>
      </c>
      <c r="E11" s="710">
        <f t="shared" si="0"/>
        <v>3070188</v>
      </c>
      <c r="F11" s="715">
        <f>255849</f>
        <v>255849</v>
      </c>
      <c r="G11" s="712">
        <f t="shared" si="1"/>
        <v>20467.919999999998</v>
      </c>
      <c r="H11" s="713">
        <f t="shared" si="2"/>
        <v>245615.04</v>
      </c>
    </row>
    <row r="12" spans="1:8" ht="35.1" customHeight="1" x14ac:dyDescent="0.15">
      <c r="A12" s="706">
        <v>7</v>
      </c>
      <c r="B12" s="706" t="s">
        <v>622</v>
      </c>
      <c r="C12" s="714" t="s">
        <v>679</v>
      </c>
      <c r="D12" s="929" t="s">
        <v>685</v>
      </c>
      <c r="E12" s="710">
        <f t="shared" si="0"/>
        <v>4242150</v>
      </c>
      <c r="F12" s="711">
        <f>353512.5</f>
        <v>353512.5</v>
      </c>
      <c r="G12" s="712">
        <f t="shared" si="1"/>
        <v>28281</v>
      </c>
      <c r="H12" s="713">
        <f t="shared" si="2"/>
        <v>339372</v>
      </c>
    </row>
    <row r="13" spans="1:8" ht="35.1" customHeight="1" x14ac:dyDescent="0.15">
      <c r="A13" s="706">
        <v>8</v>
      </c>
      <c r="B13" s="706" t="s">
        <v>623</v>
      </c>
      <c r="C13" s="714" t="s">
        <v>679</v>
      </c>
      <c r="D13" s="929" t="s">
        <v>685</v>
      </c>
      <c r="E13" s="710">
        <f t="shared" si="0"/>
        <v>4242150</v>
      </c>
      <c r="F13" s="711">
        <f>353512.5</f>
        <v>353512.5</v>
      </c>
      <c r="G13" s="712">
        <f t="shared" si="1"/>
        <v>28281</v>
      </c>
      <c r="H13" s="713">
        <f t="shared" si="2"/>
        <v>339372</v>
      </c>
    </row>
    <row r="14" spans="1:8" ht="35.1" customHeight="1" x14ac:dyDescent="0.15">
      <c r="A14" s="706">
        <v>9</v>
      </c>
      <c r="B14" s="714" t="s">
        <v>624</v>
      </c>
      <c r="C14" s="714" t="s">
        <v>679</v>
      </c>
      <c r="D14" s="929" t="s">
        <v>688</v>
      </c>
      <c r="E14" s="710">
        <f t="shared" si="0"/>
        <v>4682987.04</v>
      </c>
      <c r="F14" s="711">
        <f>390248.92</f>
        <v>390248.92</v>
      </c>
      <c r="G14" s="712">
        <f t="shared" si="1"/>
        <v>31219.9136</v>
      </c>
      <c r="H14" s="713">
        <f t="shared" si="2"/>
        <v>374638.9632</v>
      </c>
    </row>
    <row r="15" spans="1:8" ht="35.1" customHeight="1" x14ac:dyDescent="0.15">
      <c r="A15" s="706">
        <v>10</v>
      </c>
      <c r="B15" s="706" t="s">
        <v>625</v>
      </c>
      <c r="C15" s="714" t="s">
        <v>679</v>
      </c>
      <c r="D15" s="929" t="s">
        <v>688</v>
      </c>
      <c r="E15" s="710">
        <f t="shared" si="0"/>
        <v>4682987.04</v>
      </c>
      <c r="F15" s="711">
        <f>390248.92</f>
        <v>390248.92</v>
      </c>
      <c r="G15" s="712">
        <f t="shared" si="1"/>
        <v>31219.9136</v>
      </c>
      <c r="H15" s="713">
        <f t="shared" si="2"/>
        <v>374638.9632</v>
      </c>
    </row>
    <row r="16" spans="1:8" ht="35.1" customHeight="1" x14ac:dyDescent="0.15">
      <c r="A16" s="706">
        <v>11</v>
      </c>
      <c r="B16" s="706" t="s">
        <v>626</v>
      </c>
      <c r="C16" s="714" t="s">
        <v>689</v>
      </c>
      <c r="D16" s="929" t="s">
        <v>677</v>
      </c>
      <c r="E16" s="710">
        <f t="shared" si="0"/>
        <v>6985416.96</v>
      </c>
      <c r="F16" s="711">
        <v>582118.07999999996</v>
      </c>
      <c r="G16" s="712">
        <f t="shared" si="1"/>
        <v>46569.446400000001</v>
      </c>
      <c r="H16" s="713">
        <f t="shared" si="2"/>
        <v>558833.35679999995</v>
      </c>
    </row>
    <row r="17" spans="1:8" ht="35.1" customHeight="1" x14ac:dyDescent="0.15">
      <c r="A17" s="706">
        <v>12</v>
      </c>
      <c r="B17" s="706" t="s">
        <v>278</v>
      </c>
      <c r="C17" s="714" t="s">
        <v>689</v>
      </c>
      <c r="D17" s="929" t="s">
        <v>677</v>
      </c>
      <c r="E17" s="710">
        <f t="shared" si="0"/>
        <v>6985416.96</v>
      </c>
      <c r="F17" s="711">
        <v>582118.07999999996</v>
      </c>
      <c r="G17" s="712">
        <f t="shared" si="1"/>
        <v>46569.446400000001</v>
      </c>
      <c r="H17" s="713">
        <f t="shared" si="2"/>
        <v>558833.35679999995</v>
      </c>
    </row>
    <row r="18" spans="1:8" ht="35.1" customHeight="1" x14ac:dyDescent="0.15">
      <c r="A18" s="706">
        <v>13</v>
      </c>
      <c r="B18" s="706" t="s">
        <v>627</v>
      </c>
      <c r="C18" s="714" t="s">
        <v>689</v>
      </c>
      <c r="D18" s="929" t="s">
        <v>688</v>
      </c>
      <c r="E18" s="710">
        <f t="shared" si="0"/>
        <v>4682987.04</v>
      </c>
      <c r="F18" s="711">
        <v>390248.92</v>
      </c>
      <c r="G18" s="712">
        <f t="shared" si="1"/>
        <v>31219.9136</v>
      </c>
      <c r="H18" s="713">
        <f t="shared" si="2"/>
        <v>374638.9632</v>
      </c>
    </row>
    <row r="19" spans="1:8" ht="35.1" customHeight="1" x14ac:dyDescent="0.15">
      <c r="A19" s="706">
        <v>14</v>
      </c>
      <c r="B19" s="706" t="s">
        <v>628</v>
      </c>
      <c r="C19" s="714" t="s">
        <v>690</v>
      </c>
      <c r="D19" s="929" t="s">
        <v>692</v>
      </c>
      <c r="E19" s="710">
        <f t="shared" si="0"/>
        <v>5312958</v>
      </c>
      <c r="F19" s="711">
        <f>442746.5</f>
        <v>442746.5</v>
      </c>
      <c r="G19" s="712">
        <f t="shared" si="1"/>
        <v>35419.72</v>
      </c>
      <c r="H19" s="713">
        <f t="shared" si="2"/>
        <v>425036.64</v>
      </c>
    </row>
    <row r="20" spans="1:8" ht="35.1" customHeight="1" x14ac:dyDescent="0.15">
      <c r="A20" s="706">
        <v>15</v>
      </c>
      <c r="B20" s="706" t="s">
        <v>545</v>
      </c>
      <c r="C20" s="714" t="s">
        <v>690</v>
      </c>
      <c r="D20" s="929" t="s">
        <v>692</v>
      </c>
      <c r="E20" s="710">
        <f t="shared" si="0"/>
        <v>5312958</v>
      </c>
      <c r="F20" s="711">
        <f>442746.5</f>
        <v>442746.5</v>
      </c>
      <c r="G20" s="712">
        <f t="shared" si="1"/>
        <v>35419.72</v>
      </c>
      <c r="H20" s="713">
        <f t="shared" si="2"/>
        <v>425036.64</v>
      </c>
    </row>
    <row r="21" spans="1:8" ht="35.1" customHeight="1" x14ac:dyDescent="0.15">
      <c r="A21" s="706">
        <v>16</v>
      </c>
      <c r="B21" s="706" t="s">
        <v>629</v>
      </c>
      <c r="C21" s="714" t="s">
        <v>690</v>
      </c>
      <c r="D21" s="929" t="s">
        <v>685</v>
      </c>
      <c r="E21" s="710">
        <f t="shared" si="0"/>
        <v>4242150</v>
      </c>
      <c r="F21" s="711">
        <v>353512.5</v>
      </c>
      <c r="G21" s="712">
        <f t="shared" si="1"/>
        <v>28281</v>
      </c>
      <c r="H21" s="713">
        <f t="shared" si="2"/>
        <v>339372</v>
      </c>
    </row>
    <row r="22" spans="1:8" ht="35.1" customHeight="1" x14ac:dyDescent="0.15">
      <c r="A22" s="706">
        <v>17</v>
      </c>
      <c r="B22" s="706" t="s">
        <v>631</v>
      </c>
      <c r="C22" s="714" t="s">
        <v>693</v>
      </c>
      <c r="D22" s="929" t="s">
        <v>685</v>
      </c>
      <c r="E22" s="710">
        <f t="shared" si="0"/>
        <v>4242150</v>
      </c>
      <c r="F22" s="711">
        <v>353512.5</v>
      </c>
      <c r="G22" s="712">
        <f t="shared" si="1"/>
        <v>28281</v>
      </c>
      <c r="H22" s="713">
        <f t="shared" si="2"/>
        <v>339372</v>
      </c>
    </row>
    <row r="23" spans="1:8" ht="35.1" customHeight="1" x14ac:dyDescent="0.15">
      <c r="A23" s="706">
        <v>18</v>
      </c>
      <c r="B23" s="706" t="s">
        <v>712</v>
      </c>
      <c r="C23" s="714" t="s">
        <v>720</v>
      </c>
      <c r="D23" s="929" t="s">
        <v>683</v>
      </c>
      <c r="E23" s="710">
        <f t="shared" si="0"/>
        <v>3070188</v>
      </c>
      <c r="F23" s="711">
        <v>255849</v>
      </c>
      <c r="G23" s="712">
        <f t="shared" si="1"/>
        <v>20467.919999999998</v>
      </c>
      <c r="H23" s="713">
        <f t="shared" si="2"/>
        <v>245615.04</v>
      </c>
    </row>
    <row r="24" spans="1:8" ht="35.1" customHeight="1" x14ac:dyDescent="0.15">
      <c r="A24" s="706">
        <v>19</v>
      </c>
      <c r="B24" s="706" t="s">
        <v>632</v>
      </c>
      <c r="C24" s="714" t="s">
        <v>694</v>
      </c>
      <c r="D24" s="929" t="s">
        <v>681</v>
      </c>
      <c r="E24" s="710">
        <f t="shared" si="0"/>
        <v>1833770.04</v>
      </c>
      <c r="F24" s="711">
        <v>152814.17000000001</v>
      </c>
      <c r="G24" s="712">
        <f t="shared" si="1"/>
        <v>12225.133599999999</v>
      </c>
      <c r="H24" s="713">
        <f t="shared" si="2"/>
        <v>146701.60320000001</v>
      </c>
    </row>
    <row r="25" spans="1:8" ht="35.1" customHeight="1" x14ac:dyDescent="0.15">
      <c r="A25" s="706">
        <v>20</v>
      </c>
      <c r="B25" s="706" t="s">
        <v>177</v>
      </c>
      <c r="C25" s="714" t="s">
        <v>696</v>
      </c>
      <c r="D25" s="929" t="s">
        <v>688</v>
      </c>
      <c r="E25" s="710">
        <f t="shared" si="0"/>
        <v>4682987.04</v>
      </c>
      <c r="F25" s="711">
        <v>390248.92</v>
      </c>
      <c r="G25" s="712">
        <f t="shared" si="1"/>
        <v>31219.9136</v>
      </c>
      <c r="H25" s="713">
        <f t="shared" si="2"/>
        <v>374638.9632</v>
      </c>
    </row>
    <row r="26" spans="1:8" ht="35.1" customHeight="1" x14ac:dyDescent="0.15">
      <c r="A26" s="706"/>
      <c r="B26" s="716" t="s">
        <v>111</v>
      </c>
      <c r="C26" s="714"/>
      <c r="D26" s="714"/>
      <c r="E26" s="714"/>
      <c r="F26" s="717"/>
      <c r="G26" s="717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7"/>
  <sheetViews>
    <sheetView workbookViewId="0">
      <selection activeCell="F13" sqref="F13"/>
    </sheetView>
  </sheetViews>
  <sheetFormatPr defaultColWidth="8.76171875" defaultRowHeight="12.75" x14ac:dyDescent="0.15"/>
  <cols>
    <col min="2" max="2" width="13.078125" customWidth="1"/>
    <col min="3" max="4" width="14.42578125" customWidth="1"/>
    <col min="5" max="5" width="17.125"/>
    <col min="8" max="8" width="15.1015625"/>
    <col min="10" max="10" width="17.125"/>
    <col min="12" max="13" width="15.1015625"/>
    <col min="14" max="14" width="12.13671875"/>
    <col min="15" max="17" width="15.1015625"/>
    <col min="18" max="18" width="18.609375"/>
    <col min="19" max="19" width="17.125"/>
  </cols>
  <sheetData>
    <row r="1" spans="1:20" ht="18" x14ac:dyDescent="0.2">
      <c r="A1" s="959" t="s">
        <v>0</v>
      </c>
      <c r="B1" s="959"/>
      <c r="C1" s="959"/>
      <c r="D1" s="959"/>
      <c r="E1" s="959"/>
      <c r="F1" s="959"/>
      <c r="G1" s="678"/>
      <c r="H1" s="678"/>
      <c r="I1" s="678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1"/>
    </row>
    <row r="2" spans="1:20" ht="18" x14ac:dyDescent="0.2">
      <c r="A2" s="677" t="s">
        <v>713</v>
      </c>
      <c r="B2" s="679"/>
      <c r="C2" s="677"/>
      <c r="D2" s="677"/>
      <c r="E2" s="680"/>
      <c r="F2" s="680"/>
      <c r="G2" s="681"/>
      <c r="H2" s="681"/>
      <c r="I2" s="681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1"/>
    </row>
    <row r="3" spans="1:20" ht="18" x14ac:dyDescent="0.2">
      <c r="A3" s="679"/>
      <c r="B3" s="679"/>
      <c r="C3" s="679"/>
      <c r="D3" s="679"/>
      <c r="E3" s="678" t="e">
        <f>'[1]FEB 08'!E11/'[1]FEB 08'!M11</f>
        <v>#REF!</v>
      </c>
      <c r="F3" s="678"/>
      <c r="G3" s="678"/>
      <c r="H3" s="678"/>
      <c r="I3" s="678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1"/>
    </row>
    <row r="4" spans="1:20" ht="21.75" x14ac:dyDescent="0.2">
      <c r="A4" s="682"/>
      <c r="B4" s="683" t="s">
        <v>2</v>
      </c>
      <c r="C4" s="684" t="s">
        <v>3</v>
      </c>
      <c r="D4" s="685" t="s">
        <v>4</v>
      </c>
      <c r="E4" s="686" t="s">
        <v>5</v>
      </c>
      <c r="F4" s="686" t="s">
        <v>6</v>
      </c>
      <c r="G4" s="686" t="s">
        <v>7</v>
      </c>
      <c r="H4" s="686" t="s">
        <v>7</v>
      </c>
      <c r="I4" s="686" t="s">
        <v>8</v>
      </c>
      <c r="J4" s="694" t="s">
        <v>9</v>
      </c>
      <c r="K4" s="686" t="s">
        <v>10</v>
      </c>
      <c r="L4" s="686" t="s">
        <v>445</v>
      </c>
      <c r="M4" s="686" t="s">
        <v>12</v>
      </c>
      <c r="N4" s="686" t="s">
        <v>14</v>
      </c>
      <c r="O4" s="695" t="s">
        <v>15</v>
      </c>
      <c r="P4" s="686" t="s">
        <v>16</v>
      </c>
      <c r="Q4" s="697" t="s">
        <v>17</v>
      </c>
      <c r="R4" s="698" t="s">
        <v>714</v>
      </c>
      <c r="S4" s="699" t="s">
        <v>715</v>
      </c>
      <c r="T4" s="1"/>
    </row>
    <row r="5" spans="1:20" ht="18" x14ac:dyDescent="0.2">
      <c r="A5" s="1"/>
      <c r="B5" s="1"/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65" t="s">
        <v>20</v>
      </c>
      <c r="R5" s="67" t="s">
        <v>20</v>
      </c>
      <c r="S5" s="464" t="s">
        <v>20</v>
      </c>
      <c r="T5" s="1"/>
    </row>
    <row r="6" spans="1:20" ht="18" x14ac:dyDescent="0.2">
      <c r="A6" s="687" t="s">
        <v>21</v>
      </c>
      <c r="B6" s="688" t="s">
        <v>22</v>
      </c>
      <c r="C6" s="688"/>
      <c r="D6" s="6"/>
      <c r="E6" s="67"/>
      <c r="F6" s="19"/>
      <c r="G6" s="67"/>
      <c r="H6" s="67"/>
      <c r="I6" s="67"/>
      <c r="J6" s="464"/>
      <c r="K6" s="67"/>
      <c r="L6" s="67"/>
      <c r="M6" s="67"/>
      <c r="N6" s="67"/>
      <c r="O6" s="67"/>
      <c r="P6" s="67"/>
      <c r="Q6" s="465"/>
      <c r="R6" s="67"/>
      <c r="S6" s="464"/>
      <c r="T6" s="1"/>
    </row>
    <row r="7" spans="1:20" ht="23.25" x14ac:dyDescent="0.15">
      <c r="A7" s="689">
        <v>25</v>
      </c>
      <c r="B7" s="690" t="s">
        <v>721</v>
      </c>
      <c r="C7" s="244" t="s">
        <v>722</v>
      </c>
      <c r="D7" s="689" t="s">
        <v>96</v>
      </c>
      <c r="E7" s="691">
        <v>255849</v>
      </c>
      <c r="F7" s="691"/>
      <c r="G7" s="692"/>
      <c r="H7" s="692">
        <f>60000</f>
        <v>60000</v>
      </c>
      <c r="I7" s="691"/>
      <c r="J7" s="696">
        <f>E7+F7+G7+H7+I7</f>
        <v>315849</v>
      </c>
      <c r="K7" s="691"/>
      <c r="L7" s="691"/>
      <c r="M7" s="691"/>
      <c r="N7" s="691"/>
      <c r="O7" s="691">
        <v>36790.688106666697</v>
      </c>
      <c r="P7" s="691">
        <v>20467.919999999998</v>
      </c>
      <c r="Q7" s="700">
        <f>O7+N7+M7+L7+K7+P7</f>
        <v>57258.608106666703</v>
      </c>
      <c r="R7" s="691"/>
      <c r="S7" s="696">
        <f>J7-Q7</f>
        <v>258590.391893333</v>
      </c>
      <c r="T7" s="701"/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07"/>
  <sheetViews>
    <sheetView zoomScale="90" zoomScaleNormal="90" zoomScaleSheetLayoutView="50" workbookViewId="0">
      <pane xSplit="3" ySplit="7" topLeftCell="D28" activePane="bottomRight" state="frozen"/>
      <selection pane="bottomLeft"/>
      <selection pane="topRight"/>
      <selection pane="bottomRight" activeCell="H12" sqref="H12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5" width="19.28125" style="1" customWidth="1"/>
    <col min="6" max="16384" width="9.16796875" style="1"/>
  </cols>
  <sheetData>
    <row r="1" spans="1:5" ht="27" customHeight="1" x14ac:dyDescent="0.25">
      <c r="A1" s="202" t="s">
        <v>0</v>
      </c>
      <c r="B1" s="202"/>
      <c r="C1" s="202"/>
      <c r="D1" s="202"/>
    </row>
    <row r="2" spans="1:5" ht="33.75" customHeight="1" x14ac:dyDescent="0.25">
      <c r="A2" s="202" t="s">
        <v>723</v>
      </c>
      <c r="B2" s="223"/>
      <c r="C2" s="202"/>
      <c r="D2" s="202"/>
      <c r="E2" s="63"/>
    </row>
    <row r="3" spans="1:5" ht="9.75" customHeight="1" x14ac:dyDescent="0.2"/>
    <row r="4" spans="1:5" ht="49.5" customHeight="1" x14ac:dyDescent="0.2">
      <c r="A4" s="477"/>
      <c r="B4" s="674" t="s">
        <v>2</v>
      </c>
      <c r="C4" s="675" t="s">
        <v>3</v>
      </c>
      <c r="D4" s="676" t="s">
        <v>4</v>
      </c>
      <c r="E4" s="650" t="s">
        <v>638</v>
      </c>
    </row>
    <row r="5" spans="1:5" ht="17.25" customHeight="1" x14ac:dyDescent="0.2">
      <c r="C5" s="6"/>
      <c r="D5" s="6"/>
      <c r="E5" s="652" t="s">
        <v>20</v>
      </c>
    </row>
    <row r="6" spans="1:5" ht="20.100000000000001" customHeight="1" x14ac:dyDescent="0.2">
      <c r="A6" s="7" t="s">
        <v>21</v>
      </c>
      <c r="B6" s="6" t="s">
        <v>22</v>
      </c>
      <c r="C6" s="6"/>
      <c r="D6" s="6"/>
      <c r="E6" s="652"/>
    </row>
    <row r="7" spans="1:5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655">
        <v>540000</v>
      </c>
    </row>
    <row r="8" spans="1:5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655">
        <v>180000</v>
      </c>
    </row>
    <row r="9" spans="1:5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655">
        <v>180000</v>
      </c>
    </row>
    <row r="10" spans="1:5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655">
        <v>180000</v>
      </c>
    </row>
    <row r="11" spans="1:5" ht="20.100000000000001" customHeight="1" x14ac:dyDescent="0.2">
      <c r="A11" s="8">
        <v>5</v>
      </c>
      <c r="B11" s="12" t="s">
        <v>271</v>
      </c>
      <c r="C11" s="2" t="s">
        <v>529</v>
      </c>
      <c r="D11" s="8" t="s">
        <v>28</v>
      </c>
      <c r="E11" s="655">
        <v>180000</v>
      </c>
    </row>
    <row r="12" spans="1:5" ht="20.100000000000001" customHeight="1" x14ac:dyDescent="0.2">
      <c r="A12" s="8">
        <v>6</v>
      </c>
      <c r="B12" s="9" t="s">
        <v>33</v>
      </c>
      <c r="C12" s="10" t="s">
        <v>532</v>
      </c>
      <c r="D12" s="13" t="s">
        <v>131</v>
      </c>
      <c r="E12" s="655">
        <v>126000</v>
      </c>
    </row>
    <row r="13" spans="1:5" ht="20.100000000000001" customHeight="1" x14ac:dyDescent="0.2">
      <c r="A13" s="8">
        <v>7</v>
      </c>
      <c r="B13" s="9" t="s">
        <v>36</v>
      </c>
      <c r="C13" s="2" t="s">
        <v>37</v>
      </c>
      <c r="D13" s="8" t="s">
        <v>49</v>
      </c>
      <c r="E13" s="655">
        <v>126000</v>
      </c>
    </row>
    <row r="14" spans="1:5" ht="20.100000000000001" customHeight="1" x14ac:dyDescent="0.2">
      <c r="A14" s="8">
        <v>8</v>
      </c>
      <c r="B14" s="9" t="s">
        <v>39</v>
      </c>
      <c r="C14" s="2" t="s">
        <v>40</v>
      </c>
      <c r="D14" s="13" t="s">
        <v>41</v>
      </c>
      <c r="E14" s="655">
        <v>90000</v>
      </c>
    </row>
    <row r="15" spans="1:5" ht="20.100000000000001" customHeight="1" x14ac:dyDescent="0.2">
      <c r="A15" s="8">
        <v>9</v>
      </c>
      <c r="B15" s="12" t="s">
        <v>42</v>
      </c>
      <c r="C15" s="15" t="s">
        <v>43</v>
      </c>
      <c r="D15" s="13" t="s">
        <v>49</v>
      </c>
      <c r="E15" s="655">
        <v>126000</v>
      </c>
    </row>
    <row r="16" spans="1:5" ht="20.100000000000001" customHeight="1" x14ac:dyDescent="0.2">
      <c r="A16" s="8">
        <v>10</v>
      </c>
      <c r="B16" s="9" t="s">
        <v>44</v>
      </c>
      <c r="C16" s="2" t="s">
        <v>45</v>
      </c>
      <c r="D16" s="8" t="s">
        <v>197</v>
      </c>
      <c r="E16" s="655">
        <v>90000</v>
      </c>
    </row>
    <row r="17" spans="1:5" ht="20.100000000000001" customHeight="1" x14ac:dyDescent="0.2">
      <c r="A17" s="8">
        <v>11</v>
      </c>
      <c r="B17" s="9" t="s">
        <v>47</v>
      </c>
      <c r="C17" s="2" t="s">
        <v>48</v>
      </c>
      <c r="D17" s="8" t="s">
        <v>49</v>
      </c>
      <c r="E17" s="655">
        <v>126000</v>
      </c>
    </row>
    <row r="18" spans="1:5" ht="20.100000000000001" customHeight="1" x14ac:dyDescent="0.2">
      <c r="A18" s="8">
        <v>12</v>
      </c>
      <c r="B18" s="9" t="s">
        <v>50</v>
      </c>
      <c r="C18" s="10" t="s">
        <v>51</v>
      </c>
      <c r="D18" s="13" t="s">
        <v>534</v>
      </c>
      <c r="E18" s="655">
        <v>90000</v>
      </c>
    </row>
    <row r="19" spans="1:5" ht="20.100000000000001" customHeight="1" x14ac:dyDescent="0.2">
      <c r="A19" s="8">
        <v>13</v>
      </c>
      <c r="B19" s="16" t="s">
        <v>53</v>
      </c>
      <c r="C19" s="2" t="s">
        <v>54</v>
      </c>
      <c r="D19" s="13" t="s">
        <v>535</v>
      </c>
      <c r="E19" s="655">
        <v>90000</v>
      </c>
    </row>
    <row r="20" spans="1:5" ht="20.100000000000001" customHeight="1" x14ac:dyDescent="0.2">
      <c r="A20" s="8">
        <v>14</v>
      </c>
      <c r="B20" s="16" t="s">
        <v>56</v>
      </c>
      <c r="C20" s="2" t="s">
        <v>57</v>
      </c>
      <c r="D20" s="13" t="s">
        <v>630</v>
      </c>
      <c r="E20" s="655">
        <v>90000</v>
      </c>
    </row>
    <row r="21" spans="1:5" ht="20.100000000000001" customHeight="1" x14ac:dyDescent="0.2">
      <c r="A21" s="8">
        <v>15</v>
      </c>
      <c r="B21" s="16" t="s">
        <v>59</v>
      </c>
      <c r="C21" s="2" t="s">
        <v>51</v>
      </c>
      <c r="D21" s="13" t="s">
        <v>630</v>
      </c>
      <c r="E21" s="655">
        <v>90000</v>
      </c>
    </row>
    <row r="22" spans="1:5" ht="18.75" customHeight="1" x14ac:dyDescent="0.2">
      <c r="A22" s="8">
        <v>16</v>
      </c>
      <c r="B22" s="9" t="s">
        <v>63</v>
      </c>
      <c r="C22" s="10" t="s">
        <v>64</v>
      </c>
      <c r="D22" s="13" t="s">
        <v>162</v>
      </c>
      <c r="E22" s="655">
        <v>68000</v>
      </c>
    </row>
    <row r="23" spans="1:5" ht="20.100000000000001" customHeight="1" x14ac:dyDescent="0.2">
      <c r="A23" s="8">
        <v>17</v>
      </c>
      <c r="B23" s="12" t="s">
        <v>66</v>
      </c>
      <c r="C23" s="15" t="s">
        <v>67</v>
      </c>
      <c r="D23" s="8" t="s">
        <v>137</v>
      </c>
      <c r="E23" s="655">
        <v>68000</v>
      </c>
    </row>
    <row r="24" spans="1:5" ht="21.6" customHeight="1" x14ac:dyDescent="0.2">
      <c r="A24" s="8">
        <v>18</v>
      </c>
      <c r="B24" s="9" t="s">
        <v>69</v>
      </c>
      <c r="C24" s="15" t="s">
        <v>70</v>
      </c>
      <c r="D24" s="13" t="s">
        <v>137</v>
      </c>
      <c r="E24" s="655">
        <v>68000</v>
      </c>
    </row>
    <row r="25" spans="1:5" ht="20.100000000000001" customHeight="1" x14ac:dyDescent="0.2">
      <c r="A25" s="8">
        <v>19</v>
      </c>
      <c r="B25" s="12" t="s">
        <v>71</v>
      </c>
      <c r="C25" s="15" t="s">
        <v>72</v>
      </c>
      <c r="D25" s="8" t="s">
        <v>73</v>
      </c>
      <c r="E25" s="655">
        <v>68000</v>
      </c>
    </row>
    <row r="26" spans="1:5" ht="20.100000000000001" customHeight="1" x14ac:dyDescent="0.2">
      <c r="A26" s="8">
        <v>20</v>
      </c>
      <c r="B26" s="12" t="s">
        <v>74</v>
      </c>
      <c r="C26" s="15" t="s">
        <v>75</v>
      </c>
      <c r="D26" s="8" t="s">
        <v>73</v>
      </c>
      <c r="E26" s="655">
        <v>68000</v>
      </c>
    </row>
    <row r="27" spans="1:5" ht="18.75" customHeight="1" x14ac:dyDescent="0.2">
      <c r="A27" s="8">
        <v>21</v>
      </c>
      <c r="B27" s="2" t="s">
        <v>77</v>
      </c>
      <c r="C27" s="2" t="s">
        <v>78</v>
      </c>
      <c r="D27" s="8" t="s">
        <v>84</v>
      </c>
      <c r="E27" s="655">
        <v>54000</v>
      </c>
    </row>
    <row r="28" spans="1:5" ht="18.75" customHeight="1" x14ac:dyDescent="0.2">
      <c r="A28" s="8">
        <v>22</v>
      </c>
      <c r="B28" s="16" t="s">
        <v>80</v>
      </c>
      <c r="C28" s="10" t="s">
        <v>78</v>
      </c>
      <c r="D28" s="13" t="s">
        <v>84</v>
      </c>
      <c r="E28" s="655">
        <v>54000</v>
      </c>
    </row>
    <row r="29" spans="1:5" ht="20.100000000000001" customHeight="1" x14ac:dyDescent="0.2">
      <c r="A29" s="8">
        <v>23</v>
      </c>
      <c r="B29" s="9" t="s">
        <v>81</v>
      </c>
      <c r="C29" s="15" t="s">
        <v>67</v>
      </c>
      <c r="D29" s="8" t="s">
        <v>84</v>
      </c>
      <c r="E29" s="655">
        <v>54000</v>
      </c>
    </row>
    <row r="30" spans="1:5" ht="18.75" customHeight="1" x14ac:dyDescent="0.2">
      <c r="A30" s="8">
        <v>24</v>
      </c>
      <c r="B30" s="16" t="s">
        <v>82</v>
      </c>
      <c r="C30" s="10" t="s">
        <v>83</v>
      </c>
      <c r="D30" s="13" t="s">
        <v>87</v>
      </c>
      <c r="E30" s="655">
        <v>54000</v>
      </c>
    </row>
    <row r="31" spans="1:5" ht="18.75" customHeight="1" x14ac:dyDescent="0.2">
      <c r="A31" s="8">
        <v>25</v>
      </c>
      <c r="B31" s="16" t="s">
        <v>85</v>
      </c>
      <c r="C31" s="2" t="s">
        <v>86</v>
      </c>
      <c r="D31" s="8" t="s">
        <v>96</v>
      </c>
      <c r="E31" s="655">
        <v>54000</v>
      </c>
    </row>
    <row r="32" spans="1:5" ht="18.75" customHeight="1" x14ac:dyDescent="0.2">
      <c r="A32" s="8">
        <v>26</v>
      </c>
      <c r="B32" s="16" t="s">
        <v>88</v>
      </c>
      <c r="C32" s="2" t="s">
        <v>86</v>
      </c>
      <c r="D32" s="8" t="s">
        <v>96</v>
      </c>
      <c r="E32" s="655">
        <v>54000</v>
      </c>
    </row>
    <row r="33" spans="1:5" ht="18.75" customHeight="1" x14ac:dyDescent="0.2">
      <c r="A33" s="8">
        <v>27</v>
      </c>
      <c r="B33" s="16" t="s">
        <v>89</v>
      </c>
      <c r="C33" s="15" t="s">
        <v>90</v>
      </c>
      <c r="D33" s="13" t="s">
        <v>84</v>
      </c>
      <c r="E33" s="655">
        <v>54000</v>
      </c>
    </row>
    <row r="34" spans="1:5" ht="18.75" customHeight="1" x14ac:dyDescent="0.2">
      <c r="A34" s="8">
        <v>28</v>
      </c>
      <c r="B34" s="16" t="s">
        <v>91</v>
      </c>
      <c r="C34" s="2" t="s">
        <v>78</v>
      </c>
      <c r="D34" s="8" t="s">
        <v>96</v>
      </c>
      <c r="E34" s="655">
        <v>54000</v>
      </c>
    </row>
    <row r="35" spans="1:5" ht="18.75" customHeight="1" x14ac:dyDescent="0.2">
      <c r="A35" s="8">
        <v>29</v>
      </c>
      <c r="B35" s="16" t="s">
        <v>92</v>
      </c>
      <c r="C35" s="2" t="s">
        <v>93</v>
      </c>
      <c r="D35" s="8" t="s">
        <v>96</v>
      </c>
      <c r="E35" s="655">
        <v>54000</v>
      </c>
    </row>
    <row r="36" spans="1:5" ht="18.75" customHeight="1" x14ac:dyDescent="0.2">
      <c r="A36" s="8">
        <v>30</v>
      </c>
      <c r="B36" s="16" t="s">
        <v>100</v>
      </c>
      <c r="C36" s="10" t="s">
        <v>101</v>
      </c>
      <c r="D36" s="13" t="s">
        <v>105</v>
      </c>
      <c r="E36" s="655">
        <v>54000</v>
      </c>
    </row>
    <row r="37" spans="1:5" ht="18.75" customHeight="1" x14ac:dyDescent="0.2">
      <c r="A37" s="8">
        <v>31</v>
      </c>
      <c r="B37" s="16" t="s">
        <v>103</v>
      </c>
      <c r="C37" s="10" t="s">
        <v>104</v>
      </c>
      <c r="D37" s="13" t="s">
        <v>108</v>
      </c>
      <c r="E37" s="655">
        <v>54000</v>
      </c>
    </row>
    <row r="38" spans="1:5" ht="26.25" customHeight="1" x14ac:dyDescent="0.2">
      <c r="A38" s="8"/>
      <c r="B38" s="18" t="s">
        <v>111</v>
      </c>
      <c r="C38" s="19">
        <v>31</v>
      </c>
      <c r="D38" s="13"/>
      <c r="E38" s="658">
        <f>SUM(E7:E37)</f>
        <v>3238000</v>
      </c>
    </row>
    <row r="39" spans="1:5" ht="18.75" customHeight="1" x14ac:dyDescent="0.2">
      <c r="A39" s="8"/>
      <c r="B39" s="20"/>
      <c r="C39" s="2"/>
      <c r="D39" s="13"/>
      <c r="E39" s="658"/>
    </row>
    <row r="40" spans="1:5" ht="18.75" customHeight="1" x14ac:dyDescent="0.2">
      <c r="A40" s="8"/>
      <c r="B40" s="18" t="s">
        <v>112</v>
      </c>
      <c r="C40" s="2"/>
      <c r="D40" s="13"/>
      <c r="E40" s="655"/>
    </row>
    <row r="41" spans="1:5" ht="18.75" customHeight="1" x14ac:dyDescent="0.2">
      <c r="A41" s="8">
        <v>1</v>
      </c>
      <c r="B41" s="16" t="s">
        <v>113</v>
      </c>
      <c r="C41" s="2" t="s">
        <v>114</v>
      </c>
      <c r="D41" s="8" t="s">
        <v>115</v>
      </c>
      <c r="E41" s="655">
        <v>270000</v>
      </c>
    </row>
    <row r="42" spans="1:5" ht="18.75" customHeight="1" x14ac:dyDescent="0.2">
      <c r="A42" s="8">
        <v>2</v>
      </c>
      <c r="B42" s="16" t="s">
        <v>116</v>
      </c>
      <c r="C42" s="2" t="s">
        <v>117</v>
      </c>
      <c r="D42" s="8" t="s">
        <v>73</v>
      </c>
      <c r="E42" s="655">
        <v>68000</v>
      </c>
    </row>
    <row r="43" spans="1:5" ht="18.75" customHeight="1" x14ac:dyDescent="0.2">
      <c r="A43" s="8">
        <v>3</v>
      </c>
      <c r="B43" s="9" t="s">
        <v>118</v>
      </c>
      <c r="C43" s="2" t="s">
        <v>117</v>
      </c>
      <c r="D43" s="13" t="s">
        <v>76</v>
      </c>
      <c r="E43" s="655">
        <v>68000</v>
      </c>
    </row>
    <row r="44" spans="1:5" ht="18.75" customHeight="1" x14ac:dyDescent="0.2">
      <c r="A44" s="8">
        <v>4</v>
      </c>
      <c r="B44" s="9" t="s">
        <v>121</v>
      </c>
      <c r="C44" s="2" t="s">
        <v>122</v>
      </c>
      <c r="D44" s="13" t="s">
        <v>96</v>
      </c>
      <c r="E44" s="657">
        <v>54000</v>
      </c>
    </row>
    <row r="45" spans="1:5" ht="19.5" customHeight="1" x14ac:dyDescent="0.2">
      <c r="A45" s="8"/>
      <c r="B45" s="12"/>
      <c r="C45" s="19">
        <v>4</v>
      </c>
      <c r="D45" s="8"/>
      <c r="E45" s="658">
        <f>SUM(E41:E44)</f>
        <v>460000</v>
      </c>
    </row>
    <row r="46" spans="1:5" ht="20.100000000000001" customHeight="1" x14ac:dyDescent="0.2">
      <c r="A46" s="8"/>
      <c r="B46" s="12"/>
      <c r="C46" s="2"/>
      <c r="D46" s="8"/>
      <c r="E46" s="658"/>
    </row>
    <row r="47" spans="1:5" ht="20.100000000000001" customHeight="1" x14ac:dyDescent="0.2">
      <c r="A47" s="8"/>
      <c r="B47" s="21" t="s">
        <v>125</v>
      </c>
      <c r="C47" s="3"/>
      <c r="D47" s="22"/>
      <c r="E47" s="658"/>
    </row>
    <row r="48" spans="1:5" ht="20.100000000000001" customHeight="1" x14ac:dyDescent="0.2">
      <c r="A48" s="8">
        <v>1</v>
      </c>
      <c r="B48" s="9" t="s">
        <v>536</v>
      </c>
      <c r="C48" s="2" t="s">
        <v>537</v>
      </c>
      <c r="D48" s="8" t="s">
        <v>115</v>
      </c>
      <c r="E48" s="655">
        <v>0</v>
      </c>
    </row>
    <row r="49" spans="1:5" ht="20.100000000000001" customHeight="1" x14ac:dyDescent="0.2">
      <c r="A49" s="8">
        <v>2</v>
      </c>
      <c r="B49" s="9" t="s">
        <v>538</v>
      </c>
      <c r="C49" s="2" t="s">
        <v>43</v>
      </c>
      <c r="D49" s="8" t="s">
        <v>131</v>
      </c>
      <c r="E49" s="655">
        <v>0</v>
      </c>
    </row>
    <row r="50" spans="1:5" ht="20.100000000000001" customHeight="1" x14ac:dyDescent="0.2">
      <c r="A50" s="8">
        <v>3</v>
      </c>
      <c r="B50" s="9" t="s">
        <v>126</v>
      </c>
      <c r="C50" s="2" t="s">
        <v>127</v>
      </c>
      <c r="D50" s="8" t="s">
        <v>35</v>
      </c>
      <c r="E50" s="655">
        <v>180000</v>
      </c>
    </row>
    <row r="51" spans="1:5" ht="20.100000000000001" customHeight="1" x14ac:dyDescent="0.2">
      <c r="A51" s="8">
        <v>4</v>
      </c>
      <c r="B51" s="9" t="s">
        <v>129</v>
      </c>
      <c r="C51" s="2" t="s">
        <v>130</v>
      </c>
      <c r="D51" s="8" t="s">
        <v>131</v>
      </c>
      <c r="E51" s="655">
        <v>126000</v>
      </c>
    </row>
    <row r="52" spans="1:5" ht="20.100000000000001" customHeight="1" x14ac:dyDescent="0.2">
      <c r="A52" s="8">
        <v>5</v>
      </c>
      <c r="B52" s="9" t="s">
        <v>132</v>
      </c>
      <c r="C52" s="2" t="s">
        <v>130</v>
      </c>
      <c r="D52" s="8" t="s">
        <v>131</v>
      </c>
      <c r="E52" s="655">
        <v>126000</v>
      </c>
    </row>
    <row r="53" spans="1:5" ht="20.100000000000001" customHeight="1" x14ac:dyDescent="0.2">
      <c r="A53" s="8">
        <v>6</v>
      </c>
      <c r="B53" s="9" t="s">
        <v>133</v>
      </c>
      <c r="C53" s="2" t="s">
        <v>130</v>
      </c>
      <c r="D53" s="8" t="s">
        <v>49</v>
      </c>
      <c r="E53" s="655">
        <v>126000</v>
      </c>
    </row>
    <row r="54" spans="1:5" ht="20.100000000000001" customHeight="1" x14ac:dyDescent="0.2">
      <c r="A54" s="8">
        <v>7</v>
      </c>
      <c r="B54" s="12" t="s">
        <v>134</v>
      </c>
      <c r="C54" s="2" t="s">
        <v>130</v>
      </c>
      <c r="D54" s="8" t="s">
        <v>49</v>
      </c>
      <c r="E54" s="655">
        <v>126000</v>
      </c>
    </row>
    <row r="55" spans="1:5" ht="20.100000000000001" customHeight="1" x14ac:dyDescent="0.2">
      <c r="A55" s="8">
        <v>8</v>
      </c>
      <c r="B55" s="9" t="s">
        <v>138</v>
      </c>
      <c r="C55" s="2" t="s">
        <v>139</v>
      </c>
      <c r="D55" s="8" t="s">
        <v>76</v>
      </c>
      <c r="E55" s="655">
        <v>68000</v>
      </c>
    </row>
    <row r="56" spans="1:5" ht="20.100000000000001" customHeight="1" x14ac:dyDescent="0.2">
      <c r="A56" s="8">
        <v>9</v>
      </c>
      <c r="B56" s="9" t="s">
        <v>142</v>
      </c>
      <c r="C56" s="2" t="s">
        <v>139</v>
      </c>
      <c r="D56" s="8" t="s">
        <v>87</v>
      </c>
      <c r="E56" s="655">
        <v>54000</v>
      </c>
    </row>
    <row r="57" spans="1:5" ht="20.100000000000001" customHeight="1" x14ac:dyDescent="0.2">
      <c r="A57" s="8">
        <v>10</v>
      </c>
      <c r="B57" s="9" t="s">
        <v>143</v>
      </c>
      <c r="C57" s="2" t="s">
        <v>139</v>
      </c>
      <c r="D57" s="8" t="s">
        <v>87</v>
      </c>
      <c r="E57" s="655">
        <v>54000</v>
      </c>
    </row>
    <row r="58" spans="1:5" ht="25.5" customHeight="1" x14ac:dyDescent="0.5">
      <c r="A58" s="8"/>
      <c r="B58" s="18" t="s">
        <v>111</v>
      </c>
      <c r="C58" s="19">
        <v>10</v>
      </c>
      <c r="D58" s="19"/>
      <c r="E58" s="660">
        <f>SUM(E48:E57)</f>
        <v>860000</v>
      </c>
    </row>
    <row r="59" spans="1:5" ht="20.100000000000001" customHeight="1" x14ac:dyDescent="0.2">
      <c r="A59" s="8"/>
      <c r="B59" s="20"/>
      <c r="C59" s="19"/>
      <c r="D59" s="19"/>
      <c r="E59" s="662"/>
    </row>
    <row r="60" spans="1:5" ht="20.100000000000001" customHeight="1" x14ac:dyDescent="0.2">
      <c r="A60" s="8"/>
      <c r="B60" s="18" t="s">
        <v>145</v>
      </c>
      <c r="C60" s="19"/>
      <c r="D60" s="19"/>
      <c r="E60" s="662"/>
    </row>
    <row r="61" spans="1:5" ht="20.100000000000001" customHeight="1" x14ac:dyDescent="0.2">
      <c r="A61" s="8">
        <v>1</v>
      </c>
      <c r="B61" s="9" t="s">
        <v>540</v>
      </c>
      <c r="C61" s="10" t="s">
        <v>147</v>
      </c>
      <c r="D61" s="13" t="s">
        <v>115</v>
      </c>
      <c r="E61" s="655">
        <v>270000</v>
      </c>
    </row>
    <row r="62" spans="1:5" ht="20.100000000000001" customHeight="1" x14ac:dyDescent="0.2">
      <c r="A62" s="8">
        <v>2</v>
      </c>
      <c r="B62" s="9" t="s">
        <v>148</v>
      </c>
      <c r="C62" s="10" t="s">
        <v>149</v>
      </c>
      <c r="D62" s="13" t="s">
        <v>150</v>
      </c>
      <c r="E62" s="655">
        <v>126000</v>
      </c>
    </row>
    <row r="63" spans="1:5" ht="20.100000000000001" customHeight="1" x14ac:dyDescent="0.5">
      <c r="A63" s="8"/>
      <c r="B63" s="18" t="s">
        <v>111</v>
      </c>
      <c r="C63" s="19">
        <v>2</v>
      </c>
      <c r="D63" s="19"/>
      <c r="E63" s="660">
        <f>SUM(E61:E62)</f>
        <v>396000</v>
      </c>
    </row>
    <row r="64" spans="1:5" ht="20.100000000000001" customHeight="1" x14ac:dyDescent="0.2">
      <c r="A64" s="8"/>
      <c r="B64" s="18"/>
      <c r="C64" s="19"/>
      <c r="D64" s="19"/>
      <c r="E64" s="662"/>
    </row>
    <row r="65" spans="1:5" ht="20.100000000000001" customHeight="1" x14ac:dyDescent="0.2">
      <c r="A65" s="8"/>
      <c r="B65" s="18" t="s">
        <v>151</v>
      </c>
      <c r="C65" s="19"/>
      <c r="D65" s="19"/>
      <c r="E65" s="662"/>
    </row>
    <row r="66" spans="1:5" ht="20.100000000000001" customHeight="1" x14ac:dyDescent="0.2">
      <c r="A66" s="8">
        <v>1</v>
      </c>
      <c r="B66" s="9" t="s">
        <v>541</v>
      </c>
      <c r="C66" s="15" t="s">
        <v>542</v>
      </c>
      <c r="D66" s="8" t="s">
        <v>115</v>
      </c>
      <c r="E66" s="655">
        <v>270000</v>
      </c>
    </row>
    <row r="67" spans="1:5" ht="20.100000000000001" customHeight="1" x14ac:dyDescent="0.2">
      <c r="A67" s="8">
        <v>2</v>
      </c>
      <c r="B67" s="313" t="s">
        <v>543</v>
      </c>
      <c r="C67" s="15" t="s">
        <v>544</v>
      </c>
      <c r="D67" s="13" t="s">
        <v>38</v>
      </c>
      <c r="E67" s="655">
        <v>126000</v>
      </c>
    </row>
    <row r="68" spans="1:5" ht="20.100000000000001" customHeight="1" x14ac:dyDescent="0.2">
      <c r="A68" s="8">
        <v>3</v>
      </c>
      <c r="B68" s="9" t="s">
        <v>155</v>
      </c>
      <c r="C68" s="2" t="s">
        <v>156</v>
      </c>
      <c r="D68" s="8" t="s">
        <v>197</v>
      </c>
      <c r="E68" s="655">
        <v>90000</v>
      </c>
    </row>
    <row r="69" spans="1:5" ht="20.100000000000001" customHeight="1" x14ac:dyDescent="0.2">
      <c r="A69" s="8">
        <v>4</v>
      </c>
      <c r="B69" s="16" t="s">
        <v>545</v>
      </c>
      <c r="C69" s="15" t="s">
        <v>158</v>
      </c>
      <c r="D69" s="13" t="s">
        <v>534</v>
      </c>
      <c r="E69" s="655">
        <v>0</v>
      </c>
    </row>
    <row r="70" spans="1:5" ht="20.100000000000001" customHeight="1" x14ac:dyDescent="0.2">
      <c r="A70" s="8">
        <v>7</v>
      </c>
      <c r="B70" s="9" t="s">
        <v>161</v>
      </c>
      <c r="C70" s="2" t="s">
        <v>139</v>
      </c>
      <c r="D70" s="8" t="s">
        <v>68</v>
      </c>
      <c r="E70" s="655">
        <v>68000</v>
      </c>
    </row>
    <row r="71" spans="1:5" ht="20.100000000000001" customHeight="1" x14ac:dyDescent="0.2">
      <c r="A71" s="8">
        <v>8</v>
      </c>
      <c r="B71" s="9" t="s">
        <v>163</v>
      </c>
      <c r="C71" s="15" t="s">
        <v>70</v>
      </c>
      <c r="D71" s="8" t="s">
        <v>68</v>
      </c>
      <c r="E71" s="655">
        <v>68000</v>
      </c>
    </row>
    <row r="72" spans="1:5" ht="20.100000000000001" customHeight="1" x14ac:dyDescent="0.2">
      <c r="A72" s="8">
        <v>9</v>
      </c>
      <c r="B72" s="9" t="s">
        <v>164</v>
      </c>
      <c r="C72" s="15" t="s">
        <v>70</v>
      </c>
      <c r="D72" s="8" t="s">
        <v>68</v>
      </c>
      <c r="E72" s="655">
        <v>68000</v>
      </c>
    </row>
    <row r="73" spans="1:5" ht="20.100000000000001" customHeight="1" x14ac:dyDescent="0.2">
      <c r="A73" s="8">
        <v>10</v>
      </c>
      <c r="B73" s="9" t="s">
        <v>165</v>
      </c>
      <c r="C73" s="2" t="s">
        <v>166</v>
      </c>
      <c r="D73" s="8" t="s">
        <v>162</v>
      </c>
      <c r="E73" s="655">
        <v>68000</v>
      </c>
    </row>
    <row r="74" spans="1:5" ht="21.6" customHeight="1" x14ac:dyDescent="0.2">
      <c r="A74" s="8">
        <v>11</v>
      </c>
      <c r="B74" s="9" t="s">
        <v>168</v>
      </c>
      <c r="C74" s="2" t="s">
        <v>139</v>
      </c>
      <c r="D74" s="8" t="s">
        <v>76</v>
      </c>
      <c r="E74" s="655">
        <v>68000</v>
      </c>
    </row>
    <row r="75" spans="1:5" ht="27" customHeight="1" x14ac:dyDescent="0.5">
      <c r="A75" s="8"/>
      <c r="B75" s="18" t="s">
        <v>111</v>
      </c>
      <c r="C75" s="19">
        <v>11</v>
      </c>
      <c r="D75" s="19"/>
      <c r="E75" s="660">
        <f>SUM(E66:E74)</f>
        <v>826000</v>
      </c>
    </row>
    <row r="76" spans="1:5" ht="20.100000000000001" customHeight="1" x14ac:dyDescent="0.2">
      <c r="A76" s="8"/>
      <c r="B76" s="20"/>
      <c r="C76" s="19"/>
      <c r="D76" s="19"/>
      <c r="E76" s="662"/>
    </row>
    <row r="77" spans="1:5" ht="20.100000000000001" customHeight="1" x14ac:dyDescent="0.2">
      <c r="A77" s="8"/>
      <c r="B77" s="18" t="s">
        <v>169</v>
      </c>
      <c r="C77" s="19"/>
      <c r="D77" s="19"/>
      <c r="E77" s="662"/>
    </row>
    <row r="78" spans="1:5" ht="20.100000000000001" customHeight="1" x14ac:dyDescent="0.2">
      <c r="A78" s="8">
        <v>1</v>
      </c>
      <c r="B78" s="9" t="s">
        <v>170</v>
      </c>
      <c r="C78" s="2" t="s">
        <v>171</v>
      </c>
      <c r="D78" s="8" t="s">
        <v>115</v>
      </c>
      <c r="E78" s="655">
        <v>270000</v>
      </c>
    </row>
    <row r="79" spans="1:5" ht="20.100000000000001" customHeight="1" x14ac:dyDescent="0.2">
      <c r="A79" s="8">
        <v>2</v>
      </c>
      <c r="B79" s="9" t="s">
        <v>172</v>
      </c>
      <c r="C79" s="2" t="s">
        <v>173</v>
      </c>
      <c r="D79" s="8" t="s">
        <v>49</v>
      </c>
      <c r="E79" s="655">
        <v>126000</v>
      </c>
    </row>
    <row r="80" spans="1:5" ht="20.100000000000001" customHeight="1" x14ac:dyDescent="0.2">
      <c r="A80" s="8">
        <v>3</v>
      </c>
      <c r="B80" s="9" t="s">
        <v>174</v>
      </c>
      <c r="C80" s="2" t="s">
        <v>175</v>
      </c>
      <c r="D80" s="13" t="s">
        <v>46</v>
      </c>
      <c r="E80" s="655">
        <v>90000</v>
      </c>
    </row>
    <row r="81" spans="1:5" ht="20.100000000000001" customHeight="1" x14ac:dyDescent="0.2">
      <c r="A81" s="8">
        <v>4</v>
      </c>
      <c r="B81" s="9" t="s">
        <v>181</v>
      </c>
      <c r="C81" s="2" t="s">
        <v>182</v>
      </c>
      <c r="D81" s="8" t="s">
        <v>137</v>
      </c>
      <c r="E81" s="655">
        <v>68000</v>
      </c>
    </row>
    <row r="82" spans="1:5" ht="20.100000000000001" customHeight="1" x14ac:dyDescent="0.2">
      <c r="A82" s="8">
        <v>5</v>
      </c>
      <c r="B82" s="9" t="s">
        <v>183</v>
      </c>
      <c r="C82" s="2" t="s">
        <v>184</v>
      </c>
      <c r="D82" s="8" t="s">
        <v>87</v>
      </c>
      <c r="E82" s="655">
        <v>54000</v>
      </c>
    </row>
    <row r="83" spans="1:5" ht="20.100000000000001" customHeight="1" x14ac:dyDescent="0.2">
      <c r="A83" s="8">
        <v>6</v>
      </c>
      <c r="B83" s="9" t="s">
        <v>185</v>
      </c>
      <c r="C83" s="2" t="s">
        <v>186</v>
      </c>
      <c r="D83" s="8" t="s">
        <v>105</v>
      </c>
      <c r="E83" s="655">
        <v>54000</v>
      </c>
    </row>
    <row r="84" spans="1:5" ht="20.100000000000001" customHeight="1" x14ac:dyDescent="0.5">
      <c r="A84" s="8"/>
      <c r="B84" s="18" t="s">
        <v>111</v>
      </c>
      <c r="C84" s="19">
        <v>6</v>
      </c>
      <c r="D84" s="19"/>
      <c r="E84" s="660">
        <f>SUM(E78:E83)</f>
        <v>662000</v>
      </c>
    </row>
    <row r="85" spans="1:5" ht="20.100000000000001" customHeight="1" x14ac:dyDescent="0.2">
      <c r="A85" s="8"/>
      <c r="B85" s="18"/>
      <c r="C85" s="19"/>
      <c r="D85" s="19"/>
      <c r="E85" s="662"/>
    </row>
    <row r="86" spans="1:5" ht="20.100000000000001" customHeight="1" x14ac:dyDescent="0.2">
      <c r="A86" s="8"/>
      <c r="B86" s="18" t="s">
        <v>187</v>
      </c>
      <c r="C86" s="23"/>
      <c r="D86" s="19"/>
      <c r="E86" s="662"/>
    </row>
    <row r="87" spans="1:5" ht="20.100000000000001" customHeight="1" x14ac:dyDescent="0.2">
      <c r="A87" s="8">
        <v>1</v>
      </c>
      <c r="B87" s="9" t="s">
        <v>190</v>
      </c>
      <c r="C87" s="2" t="s">
        <v>130</v>
      </c>
      <c r="D87" s="8" t="s">
        <v>131</v>
      </c>
      <c r="E87" s="655">
        <v>126000</v>
      </c>
    </row>
    <row r="88" spans="1:5" ht="20.100000000000001" customHeight="1" x14ac:dyDescent="0.2">
      <c r="A88" s="8">
        <v>2</v>
      </c>
      <c r="B88" s="9" t="s">
        <v>188</v>
      </c>
      <c r="C88" s="2" t="s">
        <v>130</v>
      </c>
      <c r="D88" s="8" t="s">
        <v>131</v>
      </c>
      <c r="E88" s="655">
        <v>126000</v>
      </c>
    </row>
    <row r="89" spans="1:5" ht="20.100000000000001" customHeight="1" x14ac:dyDescent="0.2">
      <c r="A89" s="8">
        <v>3</v>
      </c>
      <c r="B89" s="9" t="s">
        <v>193</v>
      </c>
      <c r="C89" s="2" t="s">
        <v>130</v>
      </c>
      <c r="D89" s="8" t="s">
        <v>49</v>
      </c>
      <c r="E89" s="655">
        <v>126000</v>
      </c>
    </row>
    <row r="90" spans="1:5" ht="21.6" customHeight="1" x14ac:dyDescent="0.2">
      <c r="A90" s="8">
        <v>4</v>
      </c>
      <c r="B90" s="9" t="s">
        <v>194</v>
      </c>
      <c r="C90" s="2" t="s">
        <v>156</v>
      </c>
      <c r="D90" s="13" t="s">
        <v>197</v>
      </c>
      <c r="E90" s="655">
        <v>90000</v>
      </c>
    </row>
    <row r="91" spans="1:5" ht="21.6" customHeight="1" x14ac:dyDescent="0.2">
      <c r="A91" s="8">
        <v>5</v>
      </c>
      <c r="B91" s="9" t="s">
        <v>195</v>
      </c>
      <c r="C91" s="2" t="s">
        <v>156</v>
      </c>
      <c r="D91" s="13" t="s">
        <v>197</v>
      </c>
      <c r="E91" s="655">
        <v>90000</v>
      </c>
    </row>
    <row r="92" spans="1:5" ht="21.6" customHeight="1" x14ac:dyDescent="0.2">
      <c r="A92" s="8">
        <v>6</v>
      </c>
      <c r="B92" s="9" t="s">
        <v>196</v>
      </c>
      <c r="C92" s="10" t="s">
        <v>156</v>
      </c>
      <c r="D92" s="13" t="s">
        <v>229</v>
      </c>
      <c r="E92" s="655">
        <v>90000</v>
      </c>
    </row>
    <row r="93" spans="1:5" ht="21.6" customHeight="1" x14ac:dyDescent="0.2">
      <c r="A93" s="8">
        <v>7</v>
      </c>
      <c r="B93" s="9" t="s">
        <v>198</v>
      </c>
      <c r="C93" s="15" t="s">
        <v>70</v>
      </c>
      <c r="D93" s="13" t="s">
        <v>68</v>
      </c>
      <c r="E93" s="655">
        <v>68000</v>
      </c>
    </row>
    <row r="94" spans="1:5" ht="21.6" customHeight="1" x14ac:dyDescent="0.2">
      <c r="A94" s="8">
        <v>8</v>
      </c>
      <c r="B94" s="9" t="s">
        <v>199</v>
      </c>
      <c r="C94" s="15" t="s">
        <v>158</v>
      </c>
      <c r="D94" s="13" t="s">
        <v>159</v>
      </c>
      <c r="E94" s="655">
        <v>90000</v>
      </c>
    </row>
    <row r="95" spans="1:5" ht="21.6" customHeight="1" x14ac:dyDescent="0.2">
      <c r="A95" s="8">
        <v>9</v>
      </c>
      <c r="B95" s="9" t="s">
        <v>202</v>
      </c>
      <c r="C95" s="2" t="s">
        <v>203</v>
      </c>
      <c r="D95" s="8" t="s">
        <v>76</v>
      </c>
      <c r="E95" s="665">
        <v>68000</v>
      </c>
    </row>
    <row r="96" spans="1:5" ht="21.6" customHeight="1" x14ac:dyDescent="0.2">
      <c r="A96" s="8">
        <v>10</v>
      </c>
      <c r="B96" s="9" t="s">
        <v>204</v>
      </c>
      <c r="C96" s="15" t="s">
        <v>205</v>
      </c>
      <c r="D96" s="13" t="s">
        <v>102</v>
      </c>
      <c r="E96" s="665">
        <v>54000</v>
      </c>
    </row>
    <row r="97" spans="1:5" ht="20.100000000000001" customHeight="1" x14ac:dyDescent="0.5">
      <c r="A97" s="8"/>
      <c r="B97" s="18" t="s">
        <v>111</v>
      </c>
      <c r="C97" s="19">
        <v>10</v>
      </c>
      <c r="D97" s="19"/>
      <c r="E97" s="660">
        <f>SUM(E87:E96)</f>
        <v>928000</v>
      </c>
    </row>
    <row r="98" spans="1:5" ht="20.100000000000001" customHeight="1" x14ac:dyDescent="0.2">
      <c r="A98" s="8"/>
      <c r="B98" s="20"/>
      <c r="C98" s="19"/>
      <c r="D98" s="19"/>
      <c r="E98" s="662"/>
    </row>
    <row r="99" spans="1:5" ht="20.100000000000001" customHeight="1" x14ac:dyDescent="0.2">
      <c r="A99" s="8"/>
      <c r="B99" s="18" t="s">
        <v>207</v>
      </c>
      <c r="C99" s="19"/>
      <c r="D99" s="19"/>
      <c r="E99" s="662"/>
    </row>
    <row r="100" spans="1:5" ht="20.100000000000001" customHeight="1" x14ac:dyDescent="0.2">
      <c r="A100" s="8">
        <v>1</v>
      </c>
      <c r="B100" s="12" t="s">
        <v>208</v>
      </c>
      <c r="C100" s="2" t="s">
        <v>209</v>
      </c>
      <c r="D100" s="14" t="s">
        <v>128</v>
      </c>
      <c r="E100" s="655">
        <v>270000</v>
      </c>
    </row>
    <row r="101" spans="1:5" ht="20.100000000000001" customHeight="1" x14ac:dyDescent="0.2">
      <c r="A101" s="8">
        <v>2</v>
      </c>
      <c r="B101" s="9" t="s">
        <v>211</v>
      </c>
      <c r="C101" s="2" t="s">
        <v>212</v>
      </c>
      <c r="D101" s="13" t="s">
        <v>46</v>
      </c>
      <c r="E101" s="655">
        <v>90000</v>
      </c>
    </row>
    <row r="102" spans="1:5" ht="20.100000000000001" customHeight="1" x14ac:dyDescent="0.2">
      <c r="A102" s="8">
        <v>3</v>
      </c>
      <c r="B102" s="9" t="s">
        <v>217</v>
      </c>
      <c r="C102" s="2" t="s">
        <v>218</v>
      </c>
      <c r="D102" s="13" t="s">
        <v>162</v>
      </c>
      <c r="E102" s="655">
        <v>68000</v>
      </c>
    </row>
    <row r="103" spans="1:5" ht="20.100000000000001" customHeight="1" x14ac:dyDescent="0.2">
      <c r="A103" s="8">
        <v>4</v>
      </c>
      <c r="B103" s="9" t="s">
        <v>219</v>
      </c>
      <c r="C103" s="2" t="s">
        <v>220</v>
      </c>
      <c r="D103" s="13" t="s">
        <v>76</v>
      </c>
      <c r="E103" s="665">
        <v>68000</v>
      </c>
    </row>
    <row r="104" spans="1:5" ht="20.100000000000001" customHeight="1" x14ac:dyDescent="0.5">
      <c r="A104" s="2"/>
      <c r="B104" s="18" t="s">
        <v>111</v>
      </c>
      <c r="C104" s="19">
        <v>4</v>
      </c>
      <c r="D104" s="24"/>
      <c r="E104" s="660">
        <f>SUM(E100:E103)</f>
        <v>496000</v>
      </c>
    </row>
    <row r="105" spans="1:5" ht="20.100000000000001" customHeight="1" x14ac:dyDescent="0.2">
      <c r="A105" s="2"/>
      <c r="B105" s="20"/>
      <c r="C105" s="19"/>
      <c r="D105" s="24"/>
      <c r="E105" s="662"/>
    </row>
    <row r="106" spans="1:5" ht="20.100000000000001" customHeight="1" x14ac:dyDescent="0.2">
      <c r="A106" s="2"/>
      <c r="B106" s="18" t="s">
        <v>221</v>
      </c>
      <c r="C106" s="2"/>
      <c r="D106" s="2"/>
      <c r="E106" s="666"/>
    </row>
    <row r="107" spans="1:5" ht="20.100000000000001" customHeight="1" x14ac:dyDescent="0.2">
      <c r="A107" s="2">
        <v>1</v>
      </c>
      <c r="B107" s="9" t="s">
        <v>222</v>
      </c>
      <c r="C107" s="10" t="s">
        <v>223</v>
      </c>
      <c r="D107" s="13" t="s">
        <v>115</v>
      </c>
      <c r="E107" s="655">
        <v>270000</v>
      </c>
    </row>
    <row r="108" spans="1:5" ht="20.100000000000001" customHeight="1" x14ac:dyDescent="0.2">
      <c r="A108" s="2">
        <v>2</v>
      </c>
      <c r="B108" s="9" t="s">
        <v>224</v>
      </c>
      <c r="C108" s="2" t="s">
        <v>225</v>
      </c>
      <c r="D108" s="14" t="s">
        <v>154</v>
      </c>
      <c r="E108" s="655">
        <v>180000</v>
      </c>
    </row>
    <row r="109" spans="1:5" ht="20.100000000000001" customHeight="1" x14ac:dyDescent="0.2">
      <c r="A109" s="2">
        <v>3</v>
      </c>
      <c r="B109" s="9" t="s">
        <v>226</v>
      </c>
      <c r="C109" s="2" t="s">
        <v>227</v>
      </c>
      <c r="D109" s="8" t="s">
        <v>52</v>
      </c>
      <c r="E109" s="655">
        <v>90000</v>
      </c>
    </row>
    <row r="110" spans="1:5" ht="20.100000000000001" customHeight="1" x14ac:dyDescent="0.2">
      <c r="A110" s="2">
        <v>4</v>
      </c>
      <c r="B110" s="9" t="s">
        <v>228</v>
      </c>
      <c r="C110" s="2" t="s">
        <v>227</v>
      </c>
      <c r="D110" s="8" t="s">
        <v>52</v>
      </c>
      <c r="E110" s="655">
        <v>90000</v>
      </c>
    </row>
    <row r="111" spans="1:5" ht="20.100000000000001" customHeight="1" x14ac:dyDescent="0.2">
      <c r="A111" s="2">
        <v>5</v>
      </c>
      <c r="B111" s="9" t="s">
        <v>230</v>
      </c>
      <c r="C111" s="2" t="s">
        <v>231</v>
      </c>
      <c r="D111" s="13" t="s">
        <v>553</v>
      </c>
      <c r="E111" s="665">
        <v>54000</v>
      </c>
    </row>
    <row r="112" spans="1:5" ht="20.100000000000001" customHeight="1" x14ac:dyDescent="0.2">
      <c r="A112" s="2">
        <v>6</v>
      </c>
      <c r="B112" s="16" t="s">
        <v>233</v>
      </c>
      <c r="C112" s="2" t="s">
        <v>231</v>
      </c>
      <c r="D112" s="8" t="s">
        <v>554</v>
      </c>
      <c r="E112" s="665">
        <v>54000</v>
      </c>
    </row>
    <row r="113" spans="1:5" ht="20.100000000000001" customHeight="1" x14ac:dyDescent="0.2">
      <c r="A113" s="2">
        <v>7</v>
      </c>
      <c r="B113" s="16" t="s">
        <v>234</v>
      </c>
      <c r="C113" s="2" t="s">
        <v>231</v>
      </c>
      <c r="D113" s="13" t="s">
        <v>102</v>
      </c>
      <c r="E113" s="665">
        <v>54000</v>
      </c>
    </row>
    <row r="114" spans="1:5" ht="25.5" customHeight="1" x14ac:dyDescent="0.5">
      <c r="A114" s="2"/>
      <c r="B114" s="18" t="s">
        <v>111</v>
      </c>
      <c r="C114" s="19">
        <v>7</v>
      </c>
      <c r="D114" s="2"/>
      <c r="E114" s="668">
        <f>SUM(E107:E113)</f>
        <v>792000</v>
      </c>
    </row>
    <row r="115" spans="1:5" ht="20.100000000000001" customHeight="1" x14ac:dyDescent="0.5">
      <c r="A115" s="2"/>
      <c r="B115" s="18"/>
      <c r="C115" s="19"/>
      <c r="D115" s="2"/>
      <c r="E115" s="668"/>
    </row>
    <row r="116" spans="1:5" ht="20.100000000000001" customHeight="1" x14ac:dyDescent="0.2">
      <c r="A116" s="8"/>
      <c r="B116" s="18" t="s">
        <v>235</v>
      </c>
      <c r="C116" s="19"/>
      <c r="D116" s="19"/>
      <c r="E116" s="662"/>
    </row>
    <row r="117" spans="1:5" ht="20.100000000000001" customHeight="1" x14ac:dyDescent="0.2">
      <c r="A117" s="8">
        <v>1</v>
      </c>
      <c r="B117" s="12" t="s">
        <v>152</v>
      </c>
      <c r="C117" s="2" t="s">
        <v>130</v>
      </c>
      <c r="D117" s="8" t="s">
        <v>38</v>
      </c>
      <c r="E117" s="655">
        <v>126000</v>
      </c>
    </row>
    <row r="118" spans="1:5" ht="18.75" customHeight="1" x14ac:dyDescent="0.2">
      <c r="A118" s="8">
        <v>2</v>
      </c>
      <c r="B118" s="9" t="s">
        <v>236</v>
      </c>
      <c r="C118" s="2" t="s">
        <v>237</v>
      </c>
      <c r="D118" s="13" t="s">
        <v>162</v>
      </c>
      <c r="E118" s="655">
        <v>68000</v>
      </c>
    </row>
    <row r="119" spans="1:5" ht="20.100000000000001" customHeight="1" x14ac:dyDescent="0.2">
      <c r="A119" s="8">
        <v>3</v>
      </c>
      <c r="B119" s="9" t="s">
        <v>177</v>
      </c>
      <c r="C119" s="10" t="s">
        <v>178</v>
      </c>
      <c r="D119" s="13" t="s">
        <v>159</v>
      </c>
      <c r="E119" s="655">
        <v>90000</v>
      </c>
    </row>
    <row r="120" spans="1:5" ht="24.75" customHeight="1" x14ac:dyDescent="0.5">
      <c r="A120" s="2"/>
      <c r="B120" s="18" t="s">
        <v>111</v>
      </c>
      <c r="C120" s="19">
        <v>2</v>
      </c>
      <c r="D120" s="24"/>
      <c r="E120" s="660">
        <f>SUM(E117:E119)</f>
        <v>284000</v>
      </c>
    </row>
    <row r="121" spans="1:5" ht="24.75" customHeight="1" x14ac:dyDescent="0.5">
      <c r="A121" s="2"/>
      <c r="B121" s="18"/>
      <c r="C121" s="19"/>
      <c r="D121" s="24"/>
      <c r="E121" s="660"/>
    </row>
    <row r="122" spans="1:5" ht="24.75" customHeight="1" x14ac:dyDescent="0.2">
      <c r="A122" s="8"/>
      <c r="B122" s="18" t="s">
        <v>243</v>
      </c>
      <c r="C122" s="19"/>
      <c r="D122" s="19"/>
      <c r="E122" s="662"/>
    </row>
    <row r="123" spans="1:5" ht="24.75" customHeight="1" x14ac:dyDescent="0.2">
      <c r="A123" s="8">
        <v>1</v>
      </c>
      <c r="B123" s="12" t="s">
        <v>634</v>
      </c>
      <c r="C123" s="2" t="s">
        <v>635</v>
      </c>
      <c r="D123" s="8" t="s">
        <v>108</v>
      </c>
      <c r="E123" s="655">
        <v>54000</v>
      </c>
    </row>
    <row r="124" spans="1:5" ht="24.75" customHeight="1" x14ac:dyDescent="0.2">
      <c r="A124" s="8">
        <v>2</v>
      </c>
      <c r="B124" s="9" t="s">
        <v>246</v>
      </c>
      <c r="C124" s="2" t="s">
        <v>247</v>
      </c>
      <c r="D124" s="8" t="s">
        <v>108</v>
      </c>
      <c r="E124" s="655">
        <v>54000</v>
      </c>
    </row>
    <row r="125" spans="1:5" ht="24.75" customHeight="1" x14ac:dyDescent="0.2">
      <c r="A125" s="8">
        <v>3</v>
      </c>
      <c r="B125" s="9" t="s">
        <v>248</v>
      </c>
      <c r="C125" s="2" t="s">
        <v>249</v>
      </c>
      <c r="D125" s="8" t="s">
        <v>108</v>
      </c>
      <c r="E125" s="655">
        <v>54000</v>
      </c>
    </row>
    <row r="126" spans="1:5" ht="20.100000000000001" customHeight="1" x14ac:dyDescent="0.5">
      <c r="A126" s="2"/>
      <c r="B126" s="18" t="s">
        <v>111</v>
      </c>
      <c r="C126" s="19">
        <v>3</v>
      </c>
      <c r="D126" s="24"/>
      <c r="E126" s="660">
        <f>SUM(E123:E125)</f>
        <v>162000</v>
      </c>
    </row>
    <row r="127" spans="1:5" ht="20.100000000000001" customHeight="1" x14ac:dyDescent="0.5">
      <c r="A127" s="2"/>
      <c r="B127" s="18"/>
      <c r="C127" s="19"/>
      <c r="D127" s="24"/>
      <c r="E127" s="660"/>
    </row>
    <row r="128" spans="1:5" ht="20.100000000000001" customHeight="1" x14ac:dyDescent="0.2">
      <c r="A128" s="2"/>
      <c r="B128" s="18" t="s">
        <v>250</v>
      </c>
      <c r="C128" s="19"/>
      <c r="D128" s="19"/>
      <c r="E128" s="662"/>
    </row>
    <row r="129" spans="1:5" ht="20.100000000000001" customHeight="1" x14ac:dyDescent="0.2">
      <c r="A129" s="2">
        <v>1</v>
      </c>
      <c r="B129" s="9" t="s">
        <v>251</v>
      </c>
      <c r="C129" s="10" t="s">
        <v>252</v>
      </c>
      <c r="D129" s="13" t="s">
        <v>115</v>
      </c>
      <c r="E129" s="655">
        <v>270000</v>
      </c>
    </row>
    <row r="130" spans="1:5" ht="20.100000000000001" customHeight="1" x14ac:dyDescent="0.2">
      <c r="A130" s="2">
        <v>2</v>
      </c>
      <c r="B130" s="9" t="s">
        <v>253</v>
      </c>
      <c r="C130" s="10" t="s">
        <v>254</v>
      </c>
      <c r="D130" s="13" t="s">
        <v>35</v>
      </c>
      <c r="E130" s="655">
        <v>180000</v>
      </c>
    </row>
    <row r="131" spans="1:5" ht="20.100000000000001" customHeight="1" x14ac:dyDescent="0.2">
      <c r="A131" s="2">
        <v>3</v>
      </c>
      <c r="B131" s="12" t="s">
        <v>255</v>
      </c>
      <c r="C131" s="10" t="s">
        <v>256</v>
      </c>
      <c r="D131" s="13" t="s">
        <v>131</v>
      </c>
      <c r="E131" s="655">
        <v>126000</v>
      </c>
    </row>
    <row r="132" spans="1:5" ht="20.100000000000001" customHeight="1" x14ac:dyDescent="0.2">
      <c r="A132" s="2">
        <v>4</v>
      </c>
      <c r="B132" s="9" t="s">
        <v>257</v>
      </c>
      <c r="C132" s="10" t="s">
        <v>258</v>
      </c>
      <c r="D132" s="13" t="s">
        <v>176</v>
      </c>
      <c r="E132" s="655">
        <v>90000</v>
      </c>
    </row>
    <row r="133" spans="1:5" ht="20.100000000000001" customHeight="1" x14ac:dyDescent="0.2">
      <c r="A133" s="2">
        <v>5</v>
      </c>
      <c r="B133" s="9" t="s">
        <v>259</v>
      </c>
      <c r="C133" s="10" t="s">
        <v>489</v>
      </c>
      <c r="D133" s="13" t="s">
        <v>197</v>
      </c>
      <c r="E133" s="655">
        <v>90000</v>
      </c>
    </row>
    <row r="134" spans="1:5" ht="20.100000000000001" customHeight="1" x14ac:dyDescent="0.2">
      <c r="A134" s="2">
        <v>6</v>
      </c>
      <c r="B134" s="9" t="s">
        <v>260</v>
      </c>
      <c r="C134" s="10" t="s">
        <v>258</v>
      </c>
      <c r="D134" s="13" t="s">
        <v>46</v>
      </c>
      <c r="E134" s="655">
        <v>90000</v>
      </c>
    </row>
    <row r="135" spans="1:5" ht="20.100000000000001" customHeight="1" x14ac:dyDescent="0.2">
      <c r="A135" s="2">
        <v>7</v>
      </c>
      <c r="B135" s="9" t="s">
        <v>263</v>
      </c>
      <c r="C135" s="10" t="s">
        <v>264</v>
      </c>
      <c r="D135" s="8" t="s">
        <v>84</v>
      </c>
      <c r="E135" s="655">
        <v>54000</v>
      </c>
    </row>
    <row r="136" spans="1:5" ht="20.100000000000001" customHeight="1" x14ac:dyDescent="0.2">
      <c r="A136" s="2">
        <v>8</v>
      </c>
      <c r="B136" s="16" t="s">
        <v>265</v>
      </c>
      <c r="C136" s="10" t="s">
        <v>266</v>
      </c>
      <c r="D136" s="13" t="s">
        <v>105</v>
      </c>
      <c r="E136" s="655">
        <v>54000</v>
      </c>
    </row>
    <row r="137" spans="1:5" ht="20.100000000000001" customHeight="1" x14ac:dyDescent="0.2">
      <c r="A137" s="2">
        <v>9</v>
      </c>
      <c r="B137" s="16" t="s">
        <v>267</v>
      </c>
      <c r="C137" s="10" t="s">
        <v>262</v>
      </c>
      <c r="D137" s="13" t="s">
        <v>105</v>
      </c>
      <c r="E137" s="655">
        <v>54000</v>
      </c>
    </row>
    <row r="138" spans="1:5" ht="20.100000000000001" customHeight="1" x14ac:dyDescent="0.2">
      <c r="A138" s="2">
        <v>10</v>
      </c>
      <c r="B138" s="16" t="s">
        <v>268</v>
      </c>
      <c r="C138" s="10" t="s">
        <v>266</v>
      </c>
      <c r="D138" s="13" t="s">
        <v>108</v>
      </c>
      <c r="E138" s="655">
        <v>54000</v>
      </c>
    </row>
    <row r="139" spans="1:5" ht="28.5" customHeight="1" x14ac:dyDescent="0.2">
      <c r="A139" s="2"/>
      <c r="B139" s="18" t="s">
        <v>111</v>
      </c>
      <c r="C139" s="24" t="s">
        <v>490</v>
      </c>
      <c r="D139" s="13"/>
      <c r="E139" s="662">
        <f>SUM(E129:E138)</f>
        <v>1062000</v>
      </c>
    </row>
    <row r="140" spans="1:5" ht="20.100000000000001" customHeight="1" x14ac:dyDescent="0.2">
      <c r="A140" s="2"/>
      <c r="B140" s="20"/>
      <c r="C140" s="24"/>
      <c r="D140" s="13"/>
      <c r="E140" s="662"/>
    </row>
    <row r="141" spans="1:5" ht="20.100000000000001" customHeight="1" x14ac:dyDescent="0.2">
      <c r="A141" s="2"/>
      <c r="B141" s="18" t="s">
        <v>270</v>
      </c>
      <c r="C141" s="10"/>
      <c r="D141" s="13"/>
      <c r="E141" s="655"/>
    </row>
    <row r="142" spans="1:5" ht="20.100000000000001" customHeight="1" x14ac:dyDescent="0.2">
      <c r="A142" s="25">
        <v>1</v>
      </c>
      <c r="B142" s="9" t="s">
        <v>557</v>
      </c>
      <c r="C142" s="10" t="s">
        <v>558</v>
      </c>
      <c r="D142" s="13" t="s">
        <v>115</v>
      </c>
      <c r="E142" s="655">
        <v>270000</v>
      </c>
    </row>
    <row r="143" spans="1:5" ht="20.100000000000001" customHeight="1" x14ac:dyDescent="0.2">
      <c r="A143" s="25">
        <v>2</v>
      </c>
      <c r="B143" s="12" t="s">
        <v>274</v>
      </c>
      <c r="C143" s="2" t="s">
        <v>275</v>
      </c>
      <c r="D143" s="14" t="s">
        <v>154</v>
      </c>
      <c r="E143" s="655">
        <v>180000</v>
      </c>
    </row>
    <row r="144" spans="1:5" ht="20.100000000000001" customHeight="1" x14ac:dyDescent="0.2">
      <c r="A144" s="25">
        <v>3</v>
      </c>
      <c r="B144" s="9" t="s">
        <v>276</v>
      </c>
      <c r="C144" s="10" t="s">
        <v>277</v>
      </c>
      <c r="D144" s="13" t="s">
        <v>49</v>
      </c>
      <c r="E144" s="655">
        <v>126000</v>
      </c>
    </row>
    <row r="145" spans="1:5" ht="20.100000000000001" customHeight="1" x14ac:dyDescent="0.2">
      <c r="A145" s="25">
        <v>4</v>
      </c>
      <c r="B145" s="9" t="s">
        <v>278</v>
      </c>
      <c r="C145" s="2" t="s">
        <v>279</v>
      </c>
      <c r="D145" s="13" t="s">
        <v>49</v>
      </c>
      <c r="E145" s="655">
        <v>126000</v>
      </c>
    </row>
    <row r="146" spans="1:5" ht="20.100000000000001" customHeight="1" x14ac:dyDescent="0.2">
      <c r="A146" s="25">
        <v>5</v>
      </c>
      <c r="B146" s="9" t="s">
        <v>280</v>
      </c>
      <c r="C146" s="2" t="s">
        <v>279</v>
      </c>
      <c r="D146" s="13" t="s">
        <v>49</v>
      </c>
      <c r="E146" s="655">
        <v>126000</v>
      </c>
    </row>
    <row r="147" spans="1:5" ht="20.100000000000001" customHeight="1" x14ac:dyDescent="0.2">
      <c r="A147" s="25">
        <v>6</v>
      </c>
      <c r="B147" s="9" t="s">
        <v>213</v>
      </c>
      <c r="C147" s="10" t="s">
        <v>214</v>
      </c>
      <c r="D147" s="13" t="s">
        <v>159</v>
      </c>
      <c r="E147" s="655">
        <v>90000</v>
      </c>
    </row>
    <row r="148" spans="1:5" ht="20.100000000000001" customHeight="1" x14ac:dyDescent="0.2">
      <c r="A148" s="25">
        <v>7</v>
      </c>
      <c r="B148" s="9" t="s">
        <v>281</v>
      </c>
      <c r="C148" s="10" t="s">
        <v>214</v>
      </c>
      <c r="D148" s="13" t="s">
        <v>159</v>
      </c>
      <c r="E148" s="655">
        <v>90000</v>
      </c>
    </row>
    <row r="149" spans="1:5" ht="20.100000000000001" customHeight="1" x14ac:dyDescent="0.2">
      <c r="A149" s="25">
        <v>8</v>
      </c>
      <c r="B149" s="9" t="s">
        <v>282</v>
      </c>
      <c r="C149" s="2" t="s">
        <v>491</v>
      </c>
      <c r="D149" s="13" t="s">
        <v>159</v>
      </c>
      <c r="E149" s="655">
        <v>90000</v>
      </c>
    </row>
    <row r="150" spans="1:5" ht="20.100000000000001" customHeight="1" x14ac:dyDescent="0.2">
      <c r="A150" s="25">
        <v>9</v>
      </c>
      <c r="B150" s="9" t="s">
        <v>284</v>
      </c>
      <c r="C150" s="10" t="s">
        <v>285</v>
      </c>
      <c r="D150" s="13" t="s">
        <v>162</v>
      </c>
      <c r="E150" s="655">
        <v>68000</v>
      </c>
    </row>
    <row r="151" spans="1:5" ht="20.100000000000001" customHeight="1" x14ac:dyDescent="0.2">
      <c r="A151" s="25">
        <v>10</v>
      </c>
      <c r="B151" s="9" t="s">
        <v>286</v>
      </c>
      <c r="C151" s="10" t="s">
        <v>287</v>
      </c>
      <c r="D151" s="13" t="s">
        <v>68</v>
      </c>
      <c r="E151" s="655">
        <v>68000</v>
      </c>
    </row>
    <row r="152" spans="1:5" ht="20.100000000000001" customHeight="1" x14ac:dyDescent="0.2">
      <c r="A152" s="25">
        <v>11</v>
      </c>
      <c r="B152" s="9" t="s">
        <v>60</v>
      </c>
      <c r="C152" s="10" t="s">
        <v>565</v>
      </c>
      <c r="D152" s="13" t="s">
        <v>65</v>
      </c>
      <c r="E152" s="655">
        <v>68000</v>
      </c>
    </row>
    <row r="153" spans="1:5" ht="20.100000000000001" customHeight="1" x14ac:dyDescent="0.2">
      <c r="A153" s="25">
        <v>12</v>
      </c>
      <c r="B153" s="16" t="s">
        <v>288</v>
      </c>
      <c r="C153" s="2" t="s">
        <v>289</v>
      </c>
      <c r="D153" s="13" t="s">
        <v>137</v>
      </c>
      <c r="E153" s="655">
        <v>68000</v>
      </c>
    </row>
    <row r="154" spans="1:5" ht="20.100000000000001" customHeight="1" x14ac:dyDescent="0.2">
      <c r="A154" s="25">
        <v>13</v>
      </c>
      <c r="B154" s="9" t="s">
        <v>290</v>
      </c>
      <c r="C154" s="2" t="s">
        <v>289</v>
      </c>
      <c r="D154" s="13" t="s">
        <v>137</v>
      </c>
      <c r="E154" s="655">
        <v>68000</v>
      </c>
    </row>
    <row r="155" spans="1:5" ht="20.100000000000001" customHeight="1" x14ac:dyDescent="0.2">
      <c r="A155" s="25">
        <v>14</v>
      </c>
      <c r="B155" s="9" t="s">
        <v>291</v>
      </c>
      <c r="C155" s="2" t="s">
        <v>289</v>
      </c>
      <c r="D155" s="13" t="s">
        <v>137</v>
      </c>
      <c r="E155" s="655">
        <v>68000</v>
      </c>
    </row>
    <row r="156" spans="1:5" ht="20.100000000000001" customHeight="1" x14ac:dyDescent="0.2">
      <c r="A156" s="25">
        <v>15</v>
      </c>
      <c r="B156" s="9" t="s">
        <v>293</v>
      </c>
      <c r="C156" s="2" t="s">
        <v>289</v>
      </c>
      <c r="D156" s="13" t="s">
        <v>137</v>
      </c>
      <c r="E156" s="655">
        <v>68000</v>
      </c>
    </row>
    <row r="157" spans="1:5" ht="20.100000000000001" customHeight="1" x14ac:dyDescent="0.2">
      <c r="A157" s="25">
        <v>16</v>
      </c>
      <c r="B157" s="9" t="s">
        <v>294</v>
      </c>
      <c r="C157" s="10" t="s">
        <v>295</v>
      </c>
      <c r="D157" s="13" t="s">
        <v>76</v>
      </c>
      <c r="E157" s="655">
        <v>68000</v>
      </c>
    </row>
    <row r="158" spans="1:5" ht="20.100000000000001" customHeight="1" x14ac:dyDescent="0.2">
      <c r="A158" s="25">
        <v>17</v>
      </c>
      <c r="B158" s="9" t="s">
        <v>296</v>
      </c>
      <c r="C158" s="10" t="s">
        <v>297</v>
      </c>
      <c r="D158" s="8" t="s">
        <v>87</v>
      </c>
      <c r="E158" s="655">
        <v>54000</v>
      </c>
    </row>
    <row r="159" spans="1:5" ht="20.100000000000001" customHeight="1" x14ac:dyDescent="0.2">
      <c r="A159" s="25">
        <v>18</v>
      </c>
      <c r="B159" s="9" t="s">
        <v>298</v>
      </c>
      <c r="C159" s="10" t="s">
        <v>299</v>
      </c>
      <c r="D159" s="13" t="s">
        <v>119</v>
      </c>
      <c r="E159" s="665">
        <v>68000</v>
      </c>
    </row>
    <row r="160" spans="1:5" ht="20.100000000000001" customHeight="1" x14ac:dyDescent="0.2">
      <c r="A160" s="25">
        <v>19</v>
      </c>
      <c r="B160" s="9" t="s">
        <v>301</v>
      </c>
      <c r="C160" s="10" t="s">
        <v>302</v>
      </c>
      <c r="D160" s="13" t="s">
        <v>84</v>
      </c>
      <c r="E160" s="665">
        <v>54000</v>
      </c>
    </row>
    <row r="161" spans="1:5" ht="20.100000000000001" customHeight="1" x14ac:dyDescent="0.2">
      <c r="A161" s="25">
        <v>20</v>
      </c>
      <c r="B161" s="9" t="s">
        <v>303</v>
      </c>
      <c r="C161" s="10" t="s">
        <v>304</v>
      </c>
      <c r="D161" s="13" t="s">
        <v>119</v>
      </c>
      <c r="E161" s="665">
        <v>68000</v>
      </c>
    </row>
    <row r="162" spans="1:5" ht="20.100000000000001" customHeight="1" x14ac:dyDescent="0.2">
      <c r="A162" s="25">
        <v>21</v>
      </c>
      <c r="B162" s="9" t="s">
        <v>305</v>
      </c>
      <c r="C162" s="10" t="s">
        <v>306</v>
      </c>
      <c r="D162" s="13" t="s">
        <v>84</v>
      </c>
      <c r="E162" s="665">
        <v>54000</v>
      </c>
    </row>
    <row r="163" spans="1:5" ht="20.100000000000001" customHeight="1" x14ac:dyDescent="0.2">
      <c r="A163" s="25">
        <v>22</v>
      </c>
      <c r="B163" s="16" t="s">
        <v>307</v>
      </c>
      <c r="C163" s="10" t="s">
        <v>308</v>
      </c>
      <c r="D163" s="13" t="s">
        <v>96</v>
      </c>
      <c r="E163" s="665">
        <v>54000</v>
      </c>
    </row>
    <row r="164" spans="1:5" ht="20.100000000000001" customHeight="1" x14ac:dyDescent="0.2">
      <c r="A164" s="25">
        <v>23</v>
      </c>
      <c r="B164" s="16" t="s">
        <v>309</v>
      </c>
      <c r="C164" s="10" t="s">
        <v>308</v>
      </c>
      <c r="D164" s="13" t="s">
        <v>96</v>
      </c>
      <c r="E164" s="665">
        <v>54000</v>
      </c>
    </row>
    <row r="165" spans="1:5" ht="20.100000000000001" customHeight="1" x14ac:dyDescent="0.2">
      <c r="A165" s="25">
        <v>24</v>
      </c>
      <c r="B165" s="16" t="s">
        <v>312</v>
      </c>
      <c r="C165" s="10" t="s">
        <v>313</v>
      </c>
      <c r="D165" s="13" t="s">
        <v>105</v>
      </c>
      <c r="E165" s="665">
        <v>54000</v>
      </c>
    </row>
    <row r="166" spans="1:5" ht="20.100000000000001" customHeight="1" x14ac:dyDescent="0.2">
      <c r="A166" s="25">
        <v>25</v>
      </c>
      <c r="B166" s="16" t="s">
        <v>314</v>
      </c>
      <c r="C166" s="10" t="s">
        <v>315</v>
      </c>
      <c r="D166" s="13" t="s">
        <v>105</v>
      </c>
      <c r="E166" s="665">
        <v>54000</v>
      </c>
    </row>
    <row r="167" spans="1:5" ht="20.100000000000001" customHeight="1" x14ac:dyDescent="0.2">
      <c r="A167" s="25">
        <v>26</v>
      </c>
      <c r="B167" s="16" t="s">
        <v>316</v>
      </c>
      <c r="C167" s="10" t="s">
        <v>317</v>
      </c>
      <c r="D167" s="13" t="s">
        <v>105</v>
      </c>
      <c r="E167" s="665">
        <v>54000</v>
      </c>
    </row>
    <row r="168" spans="1:5" ht="20.100000000000001" customHeight="1" x14ac:dyDescent="0.2">
      <c r="A168" s="25">
        <v>27</v>
      </c>
      <c r="B168" s="16" t="s">
        <v>318</v>
      </c>
      <c r="C168" s="10" t="s">
        <v>319</v>
      </c>
      <c r="D168" s="13" t="s">
        <v>102</v>
      </c>
      <c r="E168" s="665">
        <v>54000</v>
      </c>
    </row>
    <row r="169" spans="1:5" ht="20.100000000000001" customHeight="1" x14ac:dyDescent="0.2">
      <c r="A169" s="25">
        <v>28</v>
      </c>
      <c r="B169" s="16" t="s">
        <v>320</v>
      </c>
      <c r="C169" s="10" t="s">
        <v>315</v>
      </c>
      <c r="D169" s="13" t="s">
        <v>105</v>
      </c>
      <c r="E169" s="665">
        <v>54000</v>
      </c>
    </row>
    <row r="170" spans="1:5" ht="20.100000000000001" customHeight="1" x14ac:dyDescent="0.2">
      <c r="A170" s="25">
        <v>29</v>
      </c>
      <c r="B170" s="16" t="s">
        <v>321</v>
      </c>
      <c r="C170" s="10" t="s">
        <v>322</v>
      </c>
      <c r="D170" s="13" t="s">
        <v>108</v>
      </c>
      <c r="E170" s="665">
        <v>54000</v>
      </c>
    </row>
    <row r="171" spans="1:5" ht="20.100000000000001" customHeight="1" x14ac:dyDescent="0.2">
      <c r="A171" s="25">
        <v>30</v>
      </c>
      <c r="B171" s="16" t="s">
        <v>323</v>
      </c>
      <c r="C171" s="10" t="s">
        <v>322</v>
      </c>
      <c r="D171" s="13" t="s">
        <v>108</v>
      </c>
      <c r="E171" s="665">
        <v>54000</v>
      </c>
    </row>
    <row r="172" spans="1:5" ht="20.100000000000001" customHeight="1" x14ac:dyDescent="0.2">
      <c r="A172" s="25">
        <v>31</v>
      </c>
      <c r="B172" s="9" t="s">
        <v>329</v>
      </c>
      <c r="C172" s="10" t="s">
        <v>330</v>
      </c>
      <c r="D172" s="13" t="s">
        <v>337</v>
      </c>
      <c r="E172" s="665">
        <v>36000</v>
      </c>
    </row>
    <row r="173" spans="1:5" ht="20.100000000000001" customHeight="1" x14ac:dyDescent="0.2">
      <c r="A173" s="25">
        <v>32</v>
      </c>
      <c r="B173" s="9" t="s">
        <v>332</v>
      </c>
      <c r="C173" s="10" t="s">
        <v>330</v>
      </c>
      <c r="D173" s="13" t="s">
        <v>337</v>
      </c>
      <c r="E173" s="665">
        <v>36000</v>
      </c>
    </row>
    <row r="174" spans="1:5" ht="20.100000000000001" customHeight="1" x14ac:dyDescent="0.2">
      <c r="A174" s="25">
        <v>33</v>
      </c>
      <c r="B174" s="9" t="s">
        <v>333</v>
      </c>
      <c r="C174" s="10" t="s">
        <v>330</v>
      </c>
      <c r="D174" s="13" t="s">
        <v>337</v>
      </c>
      <c r="E174" s="665">
        <v>36000</v>
      </c>
    </row>
    <row r="175" spans="1:5" ht="20.100000000000001" customHeight="1" x14ac:dyDescent="0.2">
      <c r="A175" s="25">
        <v>34</v>
      </c>
      <c r="B175" s="9" t="s">
        <v>334</v>
      </c>
      <c r="C175" s="10" t="s">
        <v>330</v>
      </c>
      <c r="D175" s="13" t="s">
        <v>337</v>
      </c>
      <c r="E175" s="665">
        <v>36000</v>
      </c>
    </row>
    <row r="176" spans="1:5" ht="20.100000000000001" customHeight="1" x14ac:dyDescent="0.2">
      <c r="A176" s="25">
        <v>35</v>
      </c>
      <c r="B176" s="9" t="s">
        <v>335</v>
      </c>
      <c r="C176" s="10" t="s">
        <v>330</v>
      </c>
      <c r="D176" s="13" t="s">
        <v>337</v>
      </c>
      <c r="E176" s="665">
        <v>36000</v>
      </c>
    </row>
    <row r="177" spans="1:5" ht="20.100000000000001" customHeight="1" x14ac:dyDescent="0.2">
      <c r="A177" s="25">
        <v>36</v>
      </c>
      <c r="B177" s="9" t="s">
        <v>336</v>
      </c>
      <c r="C177" s="10" t="s">
        <v>330</v>
      </c>
      <c r="D177" s="13" t="s">
        <v>348</v>
      </c>
      <c r="E177" s="665">
        <v>36000</v>
      </c>
    </row>
    <row r="178" spans="1:5" ht="20.100000000000001" customHeight="1" x14ac:dyDescent="0.2">
      <c r="A178" s="25">
        <v>37</v>
      </c>
      <c r="B178" s="9" t="s">
        <v>338</v>
      </c>
      <c r="C178" s="10" t="s">
        <v>330</v>
      </c>
      <c r="D178" s="13" t="s">
        <v>348</v>
      </c>
      <c r="E178" s="665">
        <v>36000</v>
      </c>
    </row>
    <row r="179" spans="1:5" ht="20.100000000000001" customHeight="1" x14ac:dyDescent="0.2">
      <c r="A179" s="25">
        <v>38</v>
      </c>
      <c r="B179" s="12" t="s">
        <v>339</v>
      </c>
      <c r="C179" s="10" t="s">
        <v>330</v>
      </c>
      <c r="D179" s="13" t="s">
        <v>348</v>
      </c>
      <c r="E179" s="665">
        <v>36000</v>
      </c>
    </row>
    <row r="180" spans="1:5" ht="20.100000000000001" customHeight="1" x14ac:dyDescent="0.2">
      <c r="A180" s="25">
        <v>39</v>
      </c>
      <c r="B180" s="9" t="s">
        <v>340</v>
      </c>
      <c r="C180" s="10" t="s">
        <v>330</v>
      </c>
      <c r="D180" s="13" t="s">
        <v>348</v>
      </c>
      <c r="E180" s="665">
        <v>36000</v>
      </c>
    </row>
    <row r="181" spans="1:5" ht="20.100000000000001" customHeight="1" x14ac:dyDescent="0.2">
      <c r="A181" s="25">
        <v>40</v>
      </c>
      <c r="B181" s="16" t="s">
        <v>341</v>
      </c>
      <c r="C181" s="10" t="s">
        <v>330</v>
      </c>
      <c r="D181" s="13" t="s">
        <v>348</v>
      </c>
      <c r="E181" s="665">
        <v>36000</v>
      </c>
    </row>
    <row r="182" spans="1:5" ht="20.100000000000001" customHeight="1" x14ac:dyDescent="0.2">
      <c r="A182" s="25">
        <v>41</v>
      </c>
      <c r="B182" s="16" t="s">
        <v>342</v>
      </c>
      <c r="C182" s="10" t="s">
        <v>330</v>
      </c>
      <c r="D182" s="13" t="s">
        <v>348</v>
      </c>
      <c r="E182" s="665">
        <v>36000</v>
      </c>
    </row>
    <row r="183" spans="1:5" ht="20.100000000000001" customHeight="1" x14ac:dyDescent="0.2">
      <c r="A183" s="25">
        <v>42</v>
      </c>
      <c r="B183" s="9" t="s">
        <v>343</v>
      </c>
      <c r="C183" s="10" t="s">
        <v>344</v>
      </c>
      <c r="D183" s="13" t="s">
        <v>351</v>
      </c>
      <c r="E183" s="665">
        <v>36000</v>
      </c>
    </row>
    <row r="184" spans="1:5" ht="20.100000000000001" customHeight="1" x14ac:dyDescent="0.2">
      <c r="A184" s="25">
        <v>43</v>
      </c>
      <c r="B184" s="9" t="s">
        <v>346</v>
      </c>
      <c r="C184" s="10" t="s">
        <v>344</v>
      </c>
      <c r="D184" s="13" t="s">
        <v>351</v>
      </c>
      <c r="E184" s="665">
        <v>36000</v>
      </c>
    </row>
    <row r="185" spans="1:5" ht="20.100000000000001" customHeight="1" x14ac:dyDescent="0.2">
      <c r="A185" s="25">
        <v>44</v>
      </c>
      <c r="B185" s="16" t="s">
        <v>347</v>
      </c>
      <c r="C185" s="10" t="s">
        <v>344</v>
      </c>
      <c r="D185" s="13" t="s">
        <v>345</v>
      </c>
      <c r="E185" s="665">
        <v>36000</v>
      </c>
    </row>
    <row r="186" spans="1:5" ht="20.100000000000001" customHeight="1" x14ac:dyDescent="0.2">
      <c r="A186" s="25">
        <v>45</v>
      </c>
      <c r="B186" s="9" t="s">
        <v>349</v>
      </c>
      <c r="C186" s="10" t="s">
        <v>344</v>
      </c>
      <c r="D186" s="13" t="s">
        <v>351</v>
      </c>
      <c r="E186" s="665">
        <v>36000</v>
      </c>
    </row>
    <row r="187" spans="1:5" ht="20.100000000000001" customHeight="1" x14ac:dyDescent="0.2">
      <c r="A187" s="25">
        <v>46</v>
      </c>
      <c r="B187" s="9" t="s">
        <v>352</v>
      </c>
      <c r="C187" s="10" t="s">
        <v>353</v>
      </c>
      <c r="D187" s="13" t="s">
        <v>364</v>
      </c>
      <c r="E187" s="665">
        <v>36000</v>
      </c>
    </row>
    <row r="188" spans="1:5" ht="20.100000000000001" customHeight="1" x14ac:dyDescent="0.2">
      <c r="A188" s="25">
        <v>47</v>
      </c>
      <c r="B188" s="9" t="s">
        <v>355</v>
      </c>
      <c r="C188" s="10" t="s">
        <v>353</v>
      </c>
      <c r="D188" s="13" t="s">
        <v>364</v>
      </c>
      <c r="E188" s="665">
        <v>36000</v>
      </c>
    </row>
    <row r="189" spans="1:5" ht="20.100000000000001" customHeight="1" x14ac:dyDescent="0.2">
      <c r="A189" s="25">
        <v>48</v>
      </c>
      <c r="B189" s="9" t="s">
        <v>356</v>
      </c>
      <c r="C189" s="10" t="s">
        <v>353</v>
      </c>
      <c r="D189" s="13" t="s">
        <v>364</v>
      </c>
      <c r="E189" s="665">
        <v>36000</v>
      </c>
    </row>
    <row r="190" spans="1:5" ht="20.100000000000001" customHeight="1" x14ac:dyDescent="0.2">
      <c r="A190" s="25">
        <v>49</v>
      </c>
      <c r="B190" s="9" t="s">
        <v>357</v>
      </c>
      <c r="C190" s="10" t="s">
        <v>353</v>
      </c>
      <c r="D190" s="13" t="s">
        <v>364</v>
      </c>
      <c r="E190" s="665">
        <v>36000</v>
      </c>
    </row>
    <row r="191" spans="1:5" ht="20.100000000000001" customHeight="1" x14ac:dyDescent="0.2">
      <c r="A191" s="25">
        <v>50</v>
      </c>
      <c r="B191" s="9" t="s">
        <v>358</v>
      </c>
      <c r="C191" s="10" t="s">
        <v>353</v>
      </c>
      <c r="D191" s="13" t="s">
        <v>364</v>
      </c>
      <c r="E191" s="665">
        <v>36000</v>
      </c>
    </row>
    <row r="192" spans="1:5" ht="20.100000000000001" customHeight="1" x14ac:dyDescent="0.2">
      <c r="A192" s="25">
        <v>51</v>
      </c>
      <c r="B192" s="16" t="s">
        <v>359</v>
      </c>
      <c r="C192" s="10" t="s">
        <v>353</v>
      </c>
      <c r="D192" s="13" t="s">
        <v>364</v>
      </c>
      <c r="E192" s="665">
        <v>36000</v>
      </c>
    </row>
    <row r="193" spans="1:5" ht="20.100000000000001" customHeight="1" x14ac:dyDescent="0.2">
      <c r="A193" s="25">
        <v>52</v>
      </c>
      <c r="B193" s="16" t="s">
        <v>360</v>
      </c>
      <c r="C193" s="10" t="s">
        <v>353</v>
      </c>
      <c r="D193" s="13" t="s">
        <v>364</v>
      </c>
      <c r="E193" s="665">
        <v>36000</v>
      </c>
    </row>
    <row r="194" spans="1:5" ht="20.100000000000001" customHeight="1" x14ac:dyDescent="0.2">
      <c r="A194" s="25">
        <v>53</v>
      </c>
      <c r="B194" s="9" t="s">
        <v>493</v>
      </c>
      <c r="C194" s="10" t="s">
        <v>350</v>
      </c>
      <c r="D194" s="13" t="s">
        <v>364</v>
      </c>
      <c r="E194" s="665">
        <v>36000</v>
      </c>
    </row>
    <row r="195" spans="1:5" ht="20.100000000000001" customHeight="1" x14ac:dyDescent="0.2">
      <c r="A195" s="25">
        <v>54</v>
      </c>
      <c r="B195" s="9" t="s">
        <v>361</v>
      </c>
      <c r="C195" s="10" t="s">
        <v>350</v>
      </c>
      <c r="D195" s="13" t="s">
        <v>364</v>
      </c>
      <c r="E195" s="665">
        <v>36000</v>
      </c>
    </row>
    <row r="196" spans="1:5" ht="20.100000000000001" customHeight="1" x14ac:dyDescent="0.2">
      <c r="A196" s="25">
        <v>55</v>
      </c>
      <c r="B196" s="16" t="s">
        <v>362</v>
      </c>
      <c r="C196" s="10" t="s">
        <v>363</v>
      </c>
      <c r="D196" s="13" t="s">
        <v>376</v>
      </c>
      <c r="E196" s="665">
        <v>36000</v>
      </c>
    </row>
    <row r="197" spans="1:5" ht="20.100000000000001" customHeight="1" x14ac:dyDescent="0.2">
      <c r="A197" s="25">
        <v>56</v>
      </c>
      <c r="B197" s="16" t="s">
        <v>365</v>
      </c>
      <c r="C197" s="10" t="s">
        <v>363</v>
      </c>
      <c r="D197" s="13" t="s">
        <v>368</v>
      </c>
      <c r="E197" s="665">
        <v>36000</v>
      </c>
    </row>
    <row r="198" spans="1:5" ht="20.100000000000001" customHeight="1" x14ac:dyDescent="0.2">
      <c r="A198" s="25">
        <v>57</v>
      </c>
      <c r="B198" s="16" t="s">
        <v>367</v>
      </c>
      <c r="C198" s="10" t="s">
        <v>344</v>
      </c>
      <c r="D198" s="13" t="s">
        <v>351</v>
      </c>
      <c r="E198" s="665">
        <v>36000</v>
      </c>
    </row>
    <row r="199" spans="1:5" ht="20.100000000000001" customHeight="1" x14ac:dyDescent="0.2">
      <c r="A199" s="25">
        <v>58</v>
      </c>
      <c r="B199" s="16" t="s">
        <v>369</v>
      </c>
      <c r="C199" s="10" t="s">
        <v>370</v>
      </c>
      <c r="D199" s="13" t="s">
        <v>568</v>
      </c>
      <c r="E199" s="665">
        <v>36000</v>
      </c>
    </row>
    <row r="200" spans="1:5" ht="20.100000000000001" customHeight="1" x14ac:dyDescent="0.2">
      <c r="A200" s="25">
        <v>59</v>
      </c>
      <c r="B200" s="16" t="s">
        <v>372</v>
      </c>
      <c r="C200" s="10" t="s">
        <v>370</v>
      </c>
      <c r="D200" s="13" t="s">
        <v>568</v>
      </c>
      <c r="E200" s="665">
        <v>36000</v>
      </c>
    </row>
    <row r="201" spans="1:5" ht="20.100000000000001" customHeight="1" x14ac:dyDescent="0.2">
      <c r="A201" s="25">
        <v>60</v>
      </c>
      <c r="B201" s="16" t="s">
        <v>373</v>
      </c>
      <c r="C201" s="10" t="s">
        <v>370</v>
      </c>
      <c r="D201" s="13" t="s">
        <v>568</v>
      </c>
      <c r="E201" s="665">
        <v>36000</v>
      </c>
    </row>
    <row r="202" spans="1:5" ht="20.100000000000001" customHeight="1" x14ac:dyDescent="0.2">
      <c r="A202" s="25">
        <v>61</v>
      </c>
      <c r="B202" s="16" t="s">
        <v>374</v>
      </c>
      <c r="C202" s="10" t="s">
        <v>375</v>
      </c>
      <c r="D202" s="13" t="s">
        <v>366</v>
      </c>
      <c r="E202" s="665">
        <v>36000</v>
      </c>
    </row>
    <row r="203" spans="1:5" ht="20.100000000000001" customHeight="1" x14ac:dyDescent="0.2">
      <c r="A203" s="25">
        <v>62</v>
      </c>
      <c r="B203" s="16" t="s">
        <v>377</v>
      </c>
      <c r="C203" s="10" t="s">
        <v>375</v>
      </c>
      <c r="D203" s="13" t="s">
        <v>366</v>
      </c>
      <c r="E203" s="665">
        <v>36000</v>
      </c>
    </row>
    <row r="204" spans="1:5" ht="30.75" customHeight="1" x14ac:dyDescent="0.5">
      <c r="A204" s="25"/>
      <c r="B204" s="6" t="s">
        <v>111</v>
      </c>
      <c r="C204" s="26" t="s">
        <v>724</v>
      </c>
      <c r="D204" s="27"/>
      <c r="E204" s="660">
        <f>SUM(E142:E203)</f>
        <v>3578000</v>
      </c>
    </row>
    <row r="205" spans="1:5" ht="33.950000000000003" customHeight="1" x14ac:dyDescent="0.2">
      <c r="A205" s="2"/>
      <c r="B205" s="28" t="s">
        <v>379</v>
      </c>
      <c r="C205" s="29">
        <f>C38+C45+C58+C63+C75+C84+C97+C104+C114+C126+C139+C204</f>
        <v>160</v>
      </c>
      <c r="D205" s="30"/>
      <c r="E205" s="670">
        <f>E204+E139+E126+E120+E114+E104+E97+E84+E75+E63+E58+E45+E38</f>
        <v>13744000</v>
      </c>
    </row>
    <row r="206" spans="1:5" ht="38.25" customHeight="1" x14ac:dyDescent="0.2">
      <c r="B206" s="31"/>
      <c r="D206" s="32"/>
      <c r="E206" s="32"/>
    </row>
    <row r="207" spans="1:5" ht="36.75" customHeight="1" x14ac:dyDescent="0.2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9"/>
  <sheetViews>
    <sheetView workbookViewId="0">
      <selection activeCell="A2" sqref="A2:C9"/>
    </sheetView>
  </sheetViews>
  <sheetFormatPr defaultColWidth="8.76171875" defaultRowHeight="12.75" x14ac:dyDescent="0.15"/>
  <cols>
    <col min="1" max="1" width="6.875" customWidth="1"/>
    <col min="2" max="2" width="28.9921875" customWidth="1"/>
    <col min="3" max="3" width="14.5625"/>
  </cols>
  <sheetData>
    <row r="1" spans="1:3" ht="20.100000000000001" customHeight="1" x14ac:dyDescent="0.15">
      <c r="A1" s="956" t="s">
        <v>725</v>
      </c>
      <c r="B1" s="956"/>
      <c r="C1" s="956"/>
    </row>
    <row r="2" spans="1:3" ht="23.1" customHeight="1" x14ac:dyDescent="0.15">
      <c r="A2" s="672">
        <v>1</v>
      </c>
      <c r="B2" s="672" t="s">
        <v>640</v>
      </c>
      <c r="C2" s="564">
        <f>'Christmas Welfare 2024'!E205</f>
        <v>13744000</v>
      </c>
    </row>
    <row r="3" spans="1:3" ht="23.1" customHeight="1" x14ac:dyDescent="0.15">
      <c r="A3" s="672">
        <v>2</v>
      </c>
      <c r="B3" s="672" t="s">
        <v>641</v>
      </c>
      <c r="C3" s="564">
        <f>'[9]Christmas 2024'!$E$58</f>
        <v>1470000</v>
      </c>
    </row>
    <row r="4" spans="1:3" ht="23.1" customHeight="1" x14ac:dyDescent="0.15">
      <c r="A4" s="672">
        <v>3</v>
      </c>
      <c r="B4" s="672" t="s">
        <v>642</v>
      </c>
      <c r="C4" s="564">
        <f>'[10]WELFARE CONTRACT '!$E$21</f>
        <v>1692000</v>
      </c>
    </row>
    <row r="5" spans="1:3" ht="23.1" customHeight="1" x14ac:dyDescent="0.15">
      <c r="A5" s="672">
        <v>4</v>
      </c>
      <c r="B5" s="672" t="s">
        <v>643</v>
      </c>
      <c r="C5" s="564">
        <f>'[10]NEW CONTR WELFARE'!$E$31</f>
        <v>1676000</v>
      </c>
    </row>
    <row r="6" spans="1:3" ht="23.1" customHeight="1" x14ac:dyDescent="0.15">
      <c r="A6" s="672">
        <v>5</v>
      </c>
      <c r="B6" s="672" t="s">
        <v>644</v>
      </c>
      <c r="C6" s="564">
        <f>'[10]WELFARE CAS. SABB. NYSC'!$D$68</f>
        <v>2259000</v>
      </c>
    </row>
    <row r="7" spans="1:3" ht="23.1" customHeight="1" x14ac:dyDescent="0.15">
      <c r="A7" s="672">
        <v>6</v>
      </c>
      <c r="B7" s="672" t="s">
        <v>645</v>
      </c>
      <c r="C7" s="564">
        <f>'[10]WELFARE CONSULTANCY'!$D$30</f>
        <v>1656000</v>
      </c>
    </row>
    <row r="8" spans="1:3" ht="23.1" customHeight="1" x14ac:dyDescent="0.15">
      <c r="A8" s="672">
        <v>7</v>
      </c>
      <c r="B8" s="672" t="s">
        <v>646</v>
      </c>
      <c r="C8" s="564">
        <f>'[10]WELFARE - OTHERS'!$C$95</f>
        <v>1555000</v>
      </c>
    </row>
    <row r="9" spans="1:3" ht="23.1" customHeight="1" x14ac:dyDescent="0.15">
      <c r="A9" s="672"/>
      <c r="B9" s="230" t="s">
        <v>647</v>
      </c>
      <c r="C9" s="673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07"/>
  <sheetViews>
    <sheetView zoomScale="90" zoomScaleNormal="90" zoomScaleSheetLayoutView="50" workbookViewId="0">
      <pane xSplit="3" ySplit="7" topLeftCell="D8" activePane="bottomRight" state="frozen"/>
      <selection pane="bottomLeft"/>
      <selection pane="topRight"/>
      <selection pane="bottomRight" activeCell="N21" sqref="N21"/>
    </sheetView>
  </sheetViews>
  <sheetFormatPr defaultColWidth="9.16796875" defaultRowHeight="20.100000000000001" customHeight="1" x14ac:dyDescent="0.2"/>
  <cols>
    <col min="1" max="1" width="5.390625" style="1" customWidth="1"/>
    <col min="2" max="2" width="39.10546875" style="1" customWidth="1"/>
    <col min="3" max="3" width="40.453125" style="1" customWidth="1"/>
    <col min="4" max="4" width="12.67578125" style="1" customWidth="1"/>
    <col min="5" max="5" width="21.57421875" style="1" customWidth="1"/>
    <col min="6" max="6" width="20.765625" style="1" customWidth="1"/>
    <col min="7" max="16384" width="9.16796875" style="1"/>
  </cols>
  <sheetData>
    <row r="1" spans="1:6" ht="27" customHeight="1" x14ac:dyDescent="0.3">
      <c r="A1" s="61" t="s">
        <v>0</v>
      </c>
      <c r="B1" s="61"/>
      <c r="C1" s="61"/>
      <c r="D1" s="61"/>
    </row>
    <row r="2" spans="1:6" ht="33.75" customHeight="1" x14ac:dyDescent="0.3">
      <c r="A2" s="960" t="s">
        <v>726</v>
      </c>
      <c r="B2" s="960"/>
      <c r="C2" s="960"/>
      <c r="D2" s="960"/>
      <c r="E2" s="960"/>
      <c r="F2" s="960"/>
    </row>
    <row r="3" spans="1:6" ht="9.75" customHeight="1" x14ac:dyDescent="0.2"/>
    <row r="4" spans="1:6" ht="49.5" customHeight="1" x14ac:dyDescent="0.2">
      <c r="A4" s="2"/>
      <c r="B4" s="3" t="s">
        <v>2</v>
      </c>
      <c r="C4" s="4" t="s">
        <v>3</v>
      </c>
      <c r="D4" s="5" t="s">
        <v>4</v>
      </c>
      <c r="E4" s="650" t="s">
        <v>9</v>
      </c>
      <c r="F4" s="651" t="s">
        <v>727</v>
      </c>
    </row>
    <row r="5" spans="1:6" ht="17.25" customHeight="1" x14ac:dyDescent="0.2">
      <c r="C5" s="6"/>
      <c r="D5" s="6"/>
      <c r="E5" s="652" t="s">
        <v>20</v>
      </c>
      <c r="F5" s="653" t="s">
        <v>20</v>
      </c>
    </row>
    <row r="6" spans="1:6" ht="20.100000000000001" customHeight="1" x14ac:dyDescent="0.2">
      <c r="A6" s="7" t="s">
        <v>21</v>
      </c>
      <c r="B6" s="6" t="s">
        <v>22</v>
      </c>
      <c r="C6" s="6"/>
      <c r="D6" s="6"/>
      <c r="E6" s="652"/>
      <c r="F6" s="654"/>
    </row>
    <row r="7" spans="1:6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655">
        <v>1934986.1669999999</v>
      </c>
      <c r="F7" s="656">
        <f>E7/2</f>
        <v>967493.08349999995</v>
      </c>
    </row>
    <row r="8" spans="1:6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655">
        <v>952373.16666666698</v>
      </c>
      <c r="F8" s="656">
        <f t="shared" ref="F8:F37" si="0">E8/2</f>
        <v>476186.58333333302</v>
      </c>
    </row>
    <row r="9" spans="1:6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655">
        <v>1152373.16666667</v>
      </c>
      <c r="F9" s="656">
        <f t="shared" si="0"/>
        <v>576186.583333335</v>
      </c>
    </row>
    <row r="10" spans="1:6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655">
        <v>942373.16666666698</v>
      </c>
      <c r="F10" s="656">
        <f t="shared" si="0"/>
        <v>471186.58333333302</v>
      </c>
    </row>
    <row r="11" spans="1:6" ht="20.100000000000001" customHeight="1" x14ac:dyDescent="0.2">
      <c r="A11" s="8">
        <v>5</v>
      </c>
      <c r="B11" s="12" t="s">
        <v>271</v>
      </c>
      <c r="C11" s="2" t="s">
        <v>529</v>
      </c>
      <c r="D11" s="8" t="s">
        <v>28</v>
      </c>
      <c r="E11" s="655">
        <v>1102373.16666667</v>
      </c>
      <c r="F11" s="656">
        <f t="shared" si="0"/>
        <v>551186.583333335</v>
      </c>
    </row>
    <row r="12" spans="1:6" ht="20.100000000000001" customHeight="1" x14ac:dyDescent="0.2">
      <c r="A12" s="8">
        <v>6</v>
      </c>
      <c r="B12" s="9" t="s">
        <v>33</v>
      </c>
      <c r="C12" s="10" t="s">
        <v>532</v>
      </c>
      <c r="D12" s="13" t="s">
        <v>131</v>
      </c>
      <c r="E12" s="655">
        <v>750675.58333333302</v>
      </c>
      <c r="F12" s="656">
        <f t="shared" si="0"/>
        <v>375337.79166666698</v>
      </c>
    </row>
    <row r="13" spans="1:6" ht="20.100000000000001" customHeight="1" x14ac:dyDescent="0.2">
      <c r="A13" s="8">
        <v>7</v>
      </c>
      <c r="B13" s="9" t="s">
        <v>36</v>
      </c>
      <c r="C13" s="2" t="s">
        <v>37</v>
      </c>
      <c r="D13" s="8" t="s">
        <v>49</v>
      </c>
      <c r="E13" s="655">
        <v>942118.08333333302</v>
      </c>
      <c r="F13" s="656">
        <f t="shared" si="0"/>
        <v>471059.04166666698</v>
      </c>
    </row>
    <row r="14" spans="1:6" ht="20.100000000000001" customHeight="1" x14ac:dyDescent="0.2">
      <c r="A14" s="8">
        <v>8</v>
      </c>
      <c r="B14" s="9" t="s">
        <v>39</v>
      </c>
      <c r="C14" s="2" t="s">
        <v>40</v>
      </c>
      <c r="D14" s="13" t="s">
        <v>41</v>
      </c>
      <c r="E14" s="655">
        <v>554373.75</v>
      </c>
      <c r="F14" s="656">
        <f t="shared" si="0"/>
        <v>277186.875</v>
      </c>
    </row>
    <row r="15" spans="1:6" ht="20.100000000000001" customHeight="1" x14ac:dyDescent="0.2">
      <c r="A15" s="8">
        <v>9</v>
      </c>
      <c r="B15" s="12" t="s">
        <v>42</v>
      </c>
      <c r="C15" s="15" t="s">
        <v>43</v>
      </c>
      <c r="D15" s="13" t="s">
        <v>49</v>
      </c>
      <c r="E15" s="655">
        <v>892118.08333333302</v>
      </c>
      <c r="F15" s="656">
        <f t="shared" si="0"/>
        <v>446059.04166666698</v>
      </c>
    </row>
    <row r="16" spans="1:6" ht="20.100000000000001" customHeight="1" x14ac:dyDescent="0.2">
      <c r="A16" s="8">
        <v>10</v>
      </c>
      <c r="B16" s="9" t="s">
        <v>44</v>
      </c>
      <c r="C16" s="2" t="s">
        <v>45</v>
      </c>
      <c r="D16" s="8" t="s">
        <v>197</v>
      </c>
      <c r="E16" s="655">
        <v>832746.5</v>
      </c>
      <c r="F16" s="656">
        <f t="shared" si="0"/>
        <v>416373.25</v>
      </c>
    </row>
    <row r="17" spans="1:6" ht="20.100000000000001" customHeight="1" x14ac:dyDescent="0.2">
      <c r="A17" s="8">
        <v>11</v>
      </c>
      <c r="B17" s="9" t="s">
        <v>47</v>
      </c>
      <c r="C17" s="2" t="s">
        <v>48</v>
      </c>
      <c r="D17" s="8" t="s">
        <v>49</v>
      </c>
      <c r="E17" s="655">
        <v>662118.08333333302</v>
      </c>
      <c r="F17" s="656">
        <f t="shared" si="0"/>
        <v>331059.04166666698</v>
      </c>
    </row>
    <row r="18" spans="1:6" ht="20.100000000000001" customHeight="1" x14ac:dyDescent="0.2">
      <c r="A18" s="8">
        <v>12</v>
      </c>
      <c r="B18" s="9" t="s">
        <v>50</v>
      </c>
      <c r="C18" s="10" t="s">
        <v>51</v>
      </c>
      <c r="D18" s="13" t="s">
        <v>534</v>
      </c>
      <c r="E18" s="655">
        <v>548915.91666666698</v>
      </c>
      <c r="F18" s="656">
        <f t="shared" si="0"/>
        <v>274457.95833333302</v>
      </c>
    </row>
    <row r="19" spans="1:6" ht="20.100000000000001" customHeight="1" x14ac:dyDescent="0.2">
      <c r="A19" s="8">
        <v>13</v>
      </c>
      <c r="B19" s="16" t="s">
        <v>53</v>
      </c>
      <c r="C19" s="2" t="s">
        <v>54</v>
      </c>
      <c r="D19" s="13" t="s">
        <v>535</v>
      </c>
      <c r="E19" s="655">
        <v>736026.91666666698</v>
      </c>
      <c r="F19" s="656">
        <f t="shared" si="0"/>
        <v>368013.45833333302</v>
      </c>
    </row>
    <row r="20" spans="1:6" ht="20.100000000000001" customHeight="1" x14ac:dyDescent="0.2">
      <c r="A20" s="8">
        <v>14</v>
      </c>
      <c r="B20" s="16" t="s">
        <v>56</v>
      </c>
      <c r="C20" s="2" t="s">
        <v>57</v>
      </c>
      <c r="D20" s="13" t="s">
        <v>630</v>
      </c>
      <c r="E20" s="657">
        <v>460248.91666666698</v>
      </c>
      <c r="F20" s="656">
        <f t="shared" si="0"/>
        <v>230124.45833333299</v>
      </c>
    </row>
    <row r="21" spans="1:6" ht="20.100000000000001" customHeight="1" x14ac:dyDescent="0.2">
      <c r="A21" s="8">
        <v>15</v>
      </c>
      <c r="B21" s="16" t="s">
        <v>59</v>
      </c>
      <c r="C21" s="2" t="s">
        <v>51</v>
      </c>
      <c r="D21" s="13" t="s">
        <v>630</v>
      </c>
      <c r="E21" s="657">
        <v>510248.91666666698</v>
      </c>
      <c r="F21" s="656">
        <f t="shared" si="0"/>
        <v>255124.45833333299</v>
      </c>
    </row>
    <row r="22" spans="1:6" ht="18.75" customHeight="1" x14ac:dyDescent="0.2">
      <c r="A22" s="8">
        <v>16</v>
      </c>
      <c r="B22" s="9" t="s">
        <v>63</v>
      </c>
      <c r="C22" s="10" t="s">
        <v>64</v>
      </c>
      <c r="D22" s="13" t="s">
        <v>162</v>
      </c>
      <c r="E22" s="655">
        <v>587895.16666666698</v>
      </c>
      <c r="F22" s="656">
        <f t="shared" si="0"/>
        <v>293947.58333333302</v>
      </c>
    </row>
    <row r="23" spans="1:6" ht="20.100000000000001" customHeight="1" x14ac:dyDescent="0.2">
      <c r="A23" s="8">
        <v>17</v>
      </c>
      <c r="B23" s="12" t="s">
        <v>66</v>
      </c>
      <c r="C23" s="15" t="s">
        <v>67</v>
      </c>
      <c r="D23" s="8" t="s">
        <v>137</v>
      </c>
      <c r="E23" s="655">
        <v>653512.5</v>
      </c>
      <c r="F23" s="656">
        <f t="shared" si="0"/>
        <v>326756.25</v>
      </c>
    </row>
    <row r="24" spans="1:6" ht="21.6" customHeight="1" x14ac:dyDescent="0.2">
      <c r="A24" s="8">
        <v>18</v>
      </c>
      <c r="B24" s="9" t="s">
        <v>69</v>
      </c>
      <c r="C24" s="15" t="s">
        <v>70</v>
      </c>
      <c r="D24" s="13" t="s">
        <v>137</v>
      </c>
      <c r="E24" s="655">
        <v>463512.5</v>
      </c>
      <c r="F24" s="656">
        <f t="shared" si="0"/>
        <v>231756.25</v>
      </c>
    </row>
    <row r="25" spans="1:6" ht="20.100000000000001" customHeight="1" x14ac:dyDescent="0.2">
      <c r="A25" s="8">
        <v>19</v>
      </c>
      <c r="B25" s="12" t="s">
        <v>71</v>
      </c>
      <c r="C25" s="15" t="s">
        <v>72</v>
      </c>
      <c r="D25" s="8" t="s">
        <v>73</v>
      </c>
      <c r="E25" s="655">
        <v>553029.66666666698</v>
      </c>
      <c r="F25" s="656">
        <f t="shared" si="0"/>
        <v>276514.83333333302</v>
      </c>
    </row>
    <row r="26" spans="1:6" ht="20.100000000000001" customHeight="1" x14ac:dyDescent="0.2">
      <c r="A26" s="8">
        <v>20</v>
      </c>
      <c r="B26" s="12" t="s">
        <v>74</v>
      </c>
      <c r="C26" s="15" t="s">
        <v>75</v>
      </c>
      <c r="D26" s="8" t="s">
        <v>73</v>
      </c>
      <c r="E26" s="655">
        <v>353029.66666666698</v>
      </c>
      <c r="F26" s="656">
        <f t="shared" si="0"/>
        <v>176514.83333333299</v>
      </c>
    </row>
    <row r="27" spans="1:6" ht="18.75" customHeight="1" x14ac:dyDescent="0.2">
      <c r="A27" s="8">
        <v>21</v>
      </c>
      <c r="B27" s="2" t="s">
        <v>77</v>
      </c>
      <c r="C27" s="2" t="s">
        <v>78</v>
      </c>
      <c r="D27" s="8" t="s">
        <v>84</v>
      </c>
      <c r="E27" s="655">
        <v>330481.66666666698</v>
      </c>
      <c r="F27" s="656">
        <f t="shared" si="0"/>
        <v>165240.83333333299</v>
      </c>
    </row>
    <row r="28" spans="1:6" ht="18.75" customHeight="1" x14ac:dyDescent="0.2">
      <c r="A28" s="8">
        <v>22</v>
      </c>
      <c r="B28" s="16" t="s">
        <v>80</v>
      </c>
      <c r="C28" s="10" t="s">
        <v>78</v>
      </c>
      <c r="D28" s="13" t="s">
        <v>84</v>
      </c>
      <c r="E28" s="655">
        <v>330481.66666666698</v>
      </c>
      <c r="F28" s="656">
        <f t="shared" si="0"/>
        <v>165240.83333333299</v>
      </c>
    </row>
    <row r="29" spans="1:6" ht="20.100000000000001" customHeight="1" x14ac:dyDescent="0.2">
      <c r="A29" s="8">
        <v>23</v>
      </c>
      <c r="B29" s="9" t="s">
        <v>81</v>
      </c>
      <c r="C29" s="15" t="s">
        <v>67</v>
      </c>
      <c r="D29" s="8" t="s">
        <v>84</v>
      </c>
      <c r="E29" s="655">
        <v>370481.66666666698</v>
      </c>
      <c r="F29" s="656">
        <f t="shared" si="0"/>
        <v>185240.83333333299</v>
      </c>
    </row>
    <row r="30" spans="1:6" ht="18.75" customHeight="1" x14ac:dyDescent="0.2">
      <c r="A30" s="8">
        <v>24</v>
      </c>
      <c r="B30" s="16" t="s">
        <v>82</v>
      </c>
      <c r="C30" s="10" t="s">
        <v>83</v>
      </c>
      <c r="D30" s="13" t="s">
        <v>87</v>
      </c>
      <c r="E30" s="655">
        <v>323165.33333333302</v>
      </c>
      <c r="F30" s="656">
        <f t="shared" si="0"/>
        <v>161582.66666666701</v>
      </c>
    </row>
    <row r="31" spans="1:6" ht="18.75" customHeight="1" x14ac:dyDescent="0.2">
      <c r="A31" s="8">
        <v>25</v>
      </c>
      <c r="B31" s="16" t="s">
        <v>85</v>
      </c>
      <c r="C31" s="2" t="s">
        <v>86</v>
      </c>
      <c r="D31" s="8" t="s">
        <v>96</v>
      </c>
      <c r="E31" s="655">
        <v>315849</v>
      </c>
      <c r="F31" s="656">
        <f t="shared" si="0"/>
        <v>157924.5</v>
      </c>
    </row>
    <row r="32" spans="1:6" ht="18.75" customHeight="1" x14ac:dyDescent="0.2">
      <c r="A32" s="8">
        <v>26</v>
      </c>
      <c r="B32" s="16" t="s">
        <v>88</v>
      </c>
      <c r="C32" s="2" t="s">
        <v>86</v>
      </c>
      <c r="D32" s="8" t="s">
        <v>96</v>
      </c>
      <c r="E32" s="655">
        <v>315849</v>
      </c>
      <c r="F32" s="656">
        <f t="shared" si="0"/>
        <v>157924.5</v>
      </c>
    </row>
    <row r="33" spans="1:6" ht="18.75" customHeight="1" x14ac:dyDescent="0.2">
      <c r="A33" s="8">
        <v>27</v>
      </c>
      <c r="B33" s="16" t="s">
        <v>89</v>
      </c>
      <c r="C33" s="15" t="s">
        <v>90</v>
      </c>
      <c r="D33" s="13" t="s">
        <v>84</v>
      </c>
      <c r="E33" s="655">
        <v>330481.66666666698</v>
      </c>
      <c r="F33" s="656">
        <f t="shared" si="0"/>
        <v>165240.83333333299</v>
      </c>
    </row>
    <row r="34" spans="1:6" ht="18.75" customHeight="1" x14ac:dyDescent="0.2">
      <c r="A34" s="8">
        <v>28</v>
      </c>
      <c r="B34" s="16" t="s">
        <v>91</v>
      </c>
      <c r="C34" s="2" t="s">
        <v>78</v>
      </c>
      <c r="D34" s="8" t="s">
        <v>96</v>
      </c>
      <c r="E34" s="655">
        <v>315849</v>
      </c>
      <c r="F34" s="656">
        <f t="shared" si="0"/>
        <v>157924.5</v>
      </c>
    </row>
    <row r="35" spans="1:6" ht="18.75" customHeight="1" x14ac:dyDescent="0.2">
      <c r="A35" s="8">
        <v>29</v>
      </c>
      <c r="B35" s="16" t="s">
        <v>92</v>
      </c>
      <c r="C35" s="2" t="s">
        <v>93</v>
      </c>
      <c r="D35" s="8" t="s">
        <v>96</v>
      </c>
      <c r="E35" s="655">
        <v>315849</v>
      </c>
      <c r="F35" s="656">
        <f t="shared" si="0"/>
        <v>157924.5</v>
      </c>
    </row>
    <row r="36" spans="1:6" ht="18.75" customHeight="1" x14ac:dyDescent="0.2">
      <c r="A36" s="8">
        <v>30</v>
      </c>
      <c r="B36" s="16" t="s">
        <v>100</v>
      </c>
      <c r="C36" s="10" t="s">
        <v>101</v>
      </c>
      <c r="D36" s="13" t="s">
        <v>105</v>
      </c>
      <c r="E36" s="655">
        <v>274459.75</v>
      </c>
      <c r="F36" s="656">
        <f t="shared" si="0"/>
        <v>137229.875</v>
      </c>
    </row>
    <row r="37" spans="1:6" ht="18.75" customHeight="1" x14ac:dyDescent="0.2">
      <c r="A37" s="8">
        <v>31</v>
      </c>
      <c r="B37" s="16" t="s">
        <v>103</v>
      </c>
      <c r="C37" s="10" t="s">
        <v>104</v>
      </c>
      <c r="D37" s="13" t="s">
        <v>108</v>
      </c>
      <c r="E37" s="657">
        <v>268287.58333333302</v>
      </c>
      <c r="F37" s="656">
        <f t="shared" si="0"/>
        <v>134143.79166666701</v>
      </c>
    </row>
    <row r="38" spans="1:6" ht="26.25" customHeight="1" x14ac:dyDescent="0.2">
      <c r="A38" s="8"/>
      <c r="B38" s="18" t="s">
        <v>111</v>
      </c>
      <c r="C38" s="19">
        <v>31</v>
      </c>
      <c r="D38" s="13"/>
      <c r="E38" s="658">
        <v>19076284.416999999</v>
      </c>
      <c r="F38" s="659">
        <f>SUM(F7:F37)</f>
        <v>9538142.2085000109</v>
      </c>
    </row>
    <row r="39" spans="1:6" ht="18.75" customHeight="1" x14ac:dyDescent="0.2">
      <c r="A39" s="8"/>
      <c r="B39" s="20"/>
      <c r="C39" s="2"/>
      <c r="D39" s="13"/>
      <c r="E39" s="658"/>
      <c r="F39" s="659"/>
    </row>
    <row r="40" spans="1:6" ht="18.75" customHeight="1" x14ac:dyDescent="0.2">
      <c r="A40" s="8"/>
      <c r="B40" s="18" t="s">
        <v>112</v>
      </c>
      <c r="C40" s="2"/>
      <c r="D40" s="13"/>
      <c r="E40" s="655"/>
      <c r="F40" s="656"/>
    </row>
    <row r="41" spans="1:6" ht="18.75" customHeight="1" x14ac:dyDescent="0.2">
      <c r="A41" s="8">
        <v>1</v>
      </c>
      <c r="B41" s="16" t="s">
        <v>113</v>
      </c>
      <c r="C41" s="2" t="s">
        <v>114</v>
      </c>
      <c r="D41" s="8" t="s">
        <v>115</v>
      </c>
      <c r="E41" s="655">
        <v>1535720</v>
      </c>
      <c r="F41" s="656">
        <f>E41/2</f>
        <v>767860</v>
      </c>
    </row>
    <row r="42" spans="1:6" ht="18.75" customHeight="1" x14ac:dyDescent="0.2">
      <c r="A42" s="8">
        <v>2</v>
      </c>
      <c r="B42" s="16" t="s">
        <v>116</v>
      </c>
      <c r="C42" s="2" t="s">
        <v>117</v>
      </c>
      <c r="D42" s="8" t="s">
        <v>73</v>
      </c>
      <c r="E42" s="655">
        <v>353029.66666666698</v>
      </c>
      <c r="F42" s="656">
        <f>E42/2</f>
        <v>176514.83333333299</v>
      </c>
    </row>
    <row r="43" spans="1:6" ht="18.75" customHeight="1" x14ac:dyDescent="0.2">
      <c r="A43" s="8">
        <v>3</v>
      </c>
      <c r="B43" s="9" t="s">
        <v>118</v>
      </c>
      <c r="C43" s="2" t="s">
        <v>117</v>
      </c>
      <c r="D43" s="13" t="s">
        <v>76</v>
      </c>
      <c r="E43" s="655">
        <v>360965.58333333302</v>
      </c>
      <c r="F43" s="656">
        <f>E43/2</f>
        <v>180482.79166666701</v>
      </c>
    </row>
    <row r="44" spans="1:6" ht="18.75" customHeight="1" x14ac:dyDescent="0.2">
      <c r="A44" s="8">
        <v>4</v>
      </c>
      <c r="B44" s="9" t="s">
        <v>121</v>
      </c>
      <c r="C44" s="2" t="s">
        <v>122</v>
      </c>
      <c r="D44" s="13" t="s">
        <v>96</v>
      </c>
      <c r="E44" s="657">
        <v>315849</v>
      </c>
      <c r="F44" s="656">
        <f>E44/2</f>
        <v>157924.5</v>
      </c>
    </row>
    <row r="45" spans="1:6" ht="19.5" customHeight="1" x14ac:dyDescent="0.2">
      <c r="A45" s="8"/>
      <c r="B45" s="12"/>
      <c r="C45" s="19">
        <v>4</v>
      </c>
      <c r="D45" s="8"/>
      <c r="E45" s="658">
        <v>2565564.25</v>
      </c>
      <c r="F45" s="659">
        <f>SUM(F41:F44)</f>
        <v>1282782.125</v>
      </c>
    </row>
    <row r="46" spans="1:6" ht="20.100000000000001" customHeight="1" x14ac:dyDescent="0.2">
      <c r="A46" s="8"/>
      <c r="B46" s="12"/>
      <c r="C46" s="2"/>
      <c r="D46" s="8"/>
      <c r="E46" s="658"/>
      <c r="F46" s="659"/>
    </row>
    <row r="47" spans="1:6" ht="20.100000000000001" customHeight="1" x14ac:dyDescent="0.2">
      <c r="A47" s="8"/>
      <c r="B47" s="21" t="s">
        <v>125</v>
      </c>
      <c r="C47" s="3"/>
      <c r="D47" s="22"/>
      <c r="E47" s="658"/>
      <c r="F47" s="659"/>
    </row>
    <row r="48" spans="1:6" ht="20.100000000000001" customHeight="1" x14ac:dyDescent="0.2">
      <c r="A48" s="8">
        <v>1</v>
      </c>
      <c r="B48" s="9" t="s">
        <v>536</v>
      </c>
      <c r="C48" s="2" t="s">
        <v>537</v>
      </c>
      <c r="D48" s="8" t="s">
        <v>115</v>
      </c>
      <c r="E48" s="655">
        <f>'JULY 2025'!J70</f>
        <v>1947106.41666666</v>
      </c>
      <c r="F48" s="656">
        <f>E48/2</f>
        <v>973553.20833333</v>
      </c>
    </row>
    <row r="49" spans="1:6" ht="20.100000000000001" customHeight="1" x14ac:dyDescent="0.2">
      <c r="A49" s="8">
        <v>2</v>
      </c>
      <c r="B49" s="9" t="s">
        <v>538</v>
      </c>
      <c r="C49" s="2" t="s">
        <v>43</v>
      </c>
      <c r="D49" s="8" t="s">
        <v>131</v>
      </c>
      <c r="E49" s="655">
        <v>0</v>
      </c>
      <c r="F49" s="656">
        <f t="shared" ref="F49:F57" si="1">E49/2</f>
        <v>0</v>
      </c>
    </row>
    <row r="50" spans="1:6" ht="20.100000000000001" customHeight="1" x14ac:dyDescent="0.2">
      <c r="A50" s="8">
        <v>3</v>
      </c>
      <c r="B50" s="9" t="s">
        <v>126</v>
      </c>
      <c r="C50" s="2" t="s">
        <v>127</v>
      </c>
      <c r="D50" s="8" t="s">
        <v>35</v>
      </c>
      <c r="E50" s="655">
        <v>919203.58333333302</v>
      </c>
      <c r="F50" s="656">
        <f t="shared" si="1"/>
        <v>459601.79166666698</v>
      </c>
    </row>
    <row r="51" spans="1:6" ht="20.100000000000001" customHeight="1" x14ac:dyDescent="0.2">
      <c r="A51" s="8">
        <v>4</v>
      </c>
      <c r="B51" s="9" t="s">
        <v>129</v>
      </c>
      <c r="C51" s="2" t="s">
        <v>130</v>
      </c>
      <c r="D51" s="8" t="s">
        <v>131</v>
      </c>
      <c r="E51" s="655">
        <v>780675.58333333302</v>
      </c>
      <c r="F51" s="656">
        <f t="shared" si="1"/>
        <v>390337.79166666698</v>
      </c>
    </row>
    <row r="52" spans="1:6" ht="20.100000000000001" customHeight="1" x14ac:dyDescent="0.2">
      <c r="A52" s="8">
        <v>5</v>
      </c>
      <c r="B52" s="9" t="s">
        <v>132</v>
      </c>
      <c r="C52" s="2" t="s">
        <v>130</v>
      </c>
      <c r="D52" s="8" t="s">
        <v>131</v>
      </c>
      <c r="E52" s="655">
        <v>780675.58333333302</v>
      </c>
      <c r="F52" s="656">
        <f t="shared" si="1"/>
        <v>390337.79166666698</v>
      </c>
    </row>
    <row r="53" spans="1:6" ht="20.100000000000001" customHeight="1" x14ac:dyDescent="0.2">
      <c r="A53" s="8">
        <v>6</v>
      </c>
      <c r="B53" s="9" t="s">
        <v>133</v>
      </c>
      <c r="C53" s="2" t="s">
        <v>130</v>
      </c>
      <c r="D53" s="8" t="s">
        <v>49</v>
      </c>
      <c r="E53" s="655">
        <v>742118.08333333302</v>
      </c>
      <c r="F53" s="656">
        <f t="shared" si="1"/>
        <v>371059.04166666698</v>
      </c>
    </row>
    <row r="54" spans="1:6" ht="20.100000000000001" customHeight="1" x14ac:dyDescent="0.2">
      <c r="A54" s="8">
        <v>7</v>
      </c>
      <c r="B54" s="12" t="s">
        <v>134</v>
      </c>
      <c r="C54" s="2" t="s">
        <v>130</v>
      </c>
      <c r="D54" s="8" t="s">
        <v>49</v>
      </c>
      <c r="E54" s="655">
        <v>742118.08333333302</v>
      </c>
      <c r="F54" s="656">
        <f t="shared" si="1"/>
        <v>371059.04166666698</v>
      </c>
    </row>
    <row r="55" spans="1:6" ht="20.100000000000001" customHeight="1" x14ac:dyDescent="0.2">
      <c r="A55" s="8">
        <v>8</v>
      </c>
      <c r="B55" s="9" t="s">
        <v>138</v>
      </c>
      <c r="C55" s="2" t="s">
        <v>139</v>
      </c>
      <c r="D55" s="8" t="s">
        <v>76</v>
      </c>
      <c r="E55" s="655">
        <v>400965.58333333302</v>
      </c>
      <c r="F55" s="656">
        <f t="shared" si="1"/>
        <v>200482.79166666701</v>
      </c>
    </row>
    <row r="56" spans="1:6" ht="20.100000000000001" customHeight="1" x14ac:dyDescent="0.2">
      <c r="A56" s="8">
        <v>9</v>
      </c>
      <c r="B56" s="9" t="s">
        <v>142</v>
      </c>
      <c r="C56" s="2" t="s">
        <v>139</v>
      </c>
      <c r="D56" s="8" t="s">
        <v>87</v>
      </c>
      <c r="E56" s="655">
        <v>363165.33333333302</v>
      </c>
      <c r="F56" s="656">
        <f t="shared" si="1"/>
        <v>181582.66666666701</v>
      </c>
    </row>
    <row r="57" spans="1:6" ht="20.100000000000001" customHeight="1" x14ac:dyDescent="0.2">
      <c r="A57" s="8">
        <v>10</v>
      </c>
      <c r="B57" s="9" t="s">
        <v>143</v>
      </c>
      <c r="C57" s="2" t="s">
        <v>139</v>
      </c>
      <c r="D57" s="8" t="s">
        <v>87</v>
      </c>
      <c r="E57" s="655">
        <v>363165.33333333302</v>
      </c>
      <c r="F57" s="656">
        <f t="shared" si="1"/>
        <v>181582.66666666701</v>
      </c>
    </row>
    <row r="58" spans="1:6" ht="25.5" customHeight="1" x14ac:dyDescent="0.5">
      <c r="A58" s="8"/>
      <c r="B58" s="18" t="s">
        <v>111</v>
      </c>
      <c r="C58" s="19">
        <v>10</v>
      </c>
      <c r="D58" s="19"/>
      <c r="E58" s="660">
        <f>SUM(E48:E57)</f>
        <v>7039193.58333332</v>
      </c>
      <c r="F58" s="661">
        <f>SUM(F48:F57)</f>
        <v>3519596.7916666698</v>
      </c>
    </row>
    <row r="59" spans="1:6" ht="20.100000000000001" customHeight="1" x14ac:dyDescent="0.2">
      <c r="A59" s="8"/>
      <c r="B59" s="20"/>
      <c r="C59" s="19"/>
      <c r="D59" s="19"/>
      <c r="E59" s="662"/>
      <c r="F59" s="663"/>
    </row>
    <row r="60" spans="1:6" ht="20.100000000000001" customHeight="1" x14ac:dyDescent="0.2">
      <c r="A60" s="8"/>
      <c r="B60" s="18" t="s">
        <v>145</v>
      </c>
      <c r="C60" s="19"/>
      <c r="D60" s="19"/>
      <c r="E60" s="662"/>
      <c r="F60" s="663"/>
    </row>
    <row r="61" spans="1:6" ht="20.100000000000001" customHeight="1" x14ac:dyDescent="0.2">
      <c r="A61" s="8">
        <v>1</v>
      </c>
      <c r="B61" s="9" t="s">
        <v>540</v>
      </c>
      <c r="C61" s="10" t="s">
        <v>147</v>
      </c>
      <c r="D61" s="13" t="s">
        <v>115</v>
      </c>
      <c r="E61" s="655">
        <v>1635720</v>
      </c>
      <c r="F61" s="656">
        <f>E61/2</f>
        <v>817860</v>
      </c>
    </row>
    <row r="62" spans="1:6" ht="20.100000000000001" customHeight="1" x14ac:dyDescent="0.2">
      <c r="A62" s="8">
        <v>2</v>
      </c>
      <c r="B62" s="9" t="s">
        <v>148</v>
      </c>
      <c r="C62" s="10" t="s">
        <v>149</v>
      </c>
      <c r="D62" s="13" t="s">
        <v>150</v>
      </c>
      <c r="E62" s="655">
        <v>700675.58333333302</v>
      </c>
      <c r="F62" s="656">
        <f>E62/2</f>
        <v>350337.79166666698</v>
      </c>
    </row>
    <row r="63" spans="1:6" ht="20.100000000000001" customHeight="1" x14ac:dyDescent="0.5">
      <c r="A63" s="8"/>
      <c r="B63" s="18" t="s">
        <v>111</v>
      </c>
      <c r="C63" s="19">
        <v>2</v>
      </c>
      <c r="D63" s="19"/>
      <c r="E63" s="660">
        <v>700675.58333333302</v>
      </c>
      <c r="F63" s="661">
        <f>SUM(F61:F62)</f>
        <v>1168197.79166667</v>
      </c>
    </row>
    <row r="64" spans="1:6" ht="20.100000000000001" customHeight="1" x14ac:dyDescent="0.2">
      <c r="A64" s="8"/>
      <c r="B64" s="18"/>
      <c r="C64" s="19"/>
      <c r="D64" s="19"/>
      <c r="E64" s="662"/>
      <c r="F64" s="663"/>
    </row>
    <row r="65" spans="1:6" ht="20.100000000000001" customHeight="1" x14ac:dyDescent="0.2">
      <c r="A65" s="8"/>
      <c r="B65" s="18" t="s">
        <v>151</v>
      </c>
      <c r="C65" s="19"/>
      <c r="D65" s="19"/>
      <c r="E65" s="662"/>
      <c r="F65" s="663"/>
    </row>
    <row r="66" spans="1:6" ht="20.100000000000001" customHeight="1" x14ac:dyDescent="0.2">
      <c r="A66" s="8">
        <v>1</v>
      </c>
      <c r="B66" s="9" t="s">
        <v>541</v>
      </c>
      <c r="C66" s="15" t="s">
        <v>542</v>
      </c>
      <c r="D66" s="8" t="s">
        <v>115</v>
      </c>
      <c r="E66" s="655">
        <v>1635720</v>
      </c>
      <c r="F66" s="656">
        <f>E66/2</f>
        <v>817860</v>
      </c>
    </row>
    <row r="67" spans="1:6" ht="20.100000000000001" customHeight="1" x14ac:dyDescent="0.2">
      <c r="A67" s="8">
        <v>2</v>
      </c>
      <c r="B67" s="313" t="s">
        <v>543</v>
      </c>
      <c r="C67" s="15" t="s">
        <v>544</v>
      </c>
      <c r="D67" s="13" t="s">
        <v>38</v>
      </c>
      <c r="E67" s="655">
        <v>761396.83333333302</v>
      </c>
      <c r="F67" s="656">
        <f t="shared" ref="F67:F74" si="2">E67/2</f>
        <v>380698.41666666698</v>
      </c>
    </row>
    <row r="68" spans="1:6" ht="20.100000000000001" customHeight="1" x14ac:dyDescent="0.2">
      <c r="A68" s="8">
        <v>3</v>
      </c>
      <c r="B68" s="9" t="s">
        <v>155</v>
      </c>
      <c r="C68" s="2" t="s">
        <v>156</v>
      </c>
      <c r="D68" s="8" t="s">
        <v>197</v>
      </c>
      <c r="E68" s="655">
        <v>582746.5</v>
      </c>
      <c r="F68" s="656">
        <f t="shared" si="2"/>
        <v>291373.25</v>
      </c>
    </row>
    <row r="69" spans="1:6" ht="20.100000000000001" customHeight="1" x14ac:dyDescent="0.2">
      <c r="A69" s="8">
        <v>4</v>
      </c>
      <c r="B69" s="16" t="s">
        <v>545</v>
      </c>
      <c r="C69" s="15" t="s">
        <v>158</v>
      </c>
      <c r="D69" s="13" t="s">
        <v>534</v>
      </c>
      <c r="E69" s="655">
        <v>0</v>
      </c>
      <c r="F69" s="656">
        <f t="shared" si="2"/>
        <v>0</v>
      </c>
    </row>
    <row r="70" spans="1:6" ht="20.100000000000001" customHeight="1" x14ac:dyDescent="0.2">
      <c r="A70" s="8">
        <v>7</v>
      </c>
      <c r="B70" s="9" t="s">
        <v>161</v>
      </c>
      <c r="C70" s="2" t="s">
        <v>139</v>
      </c>
      <c r="D70" s="8" t="s">
        <v>68</v>
      </c>
      <c r="E70" s="655">
        <v>475703.83333333302</v>
      </c>
      <c r="F70" s="656">
        <f t="shared" si="2"/>
        <v>237851.91666666701</v>
      </c>
    </row>
    <row r="71" spans="1:6" ht="20.100000000000001" customHeight="1" x14ac:dyDescent="0.2">
      <c r="A71" s="8">
        <v>8</v>
      </c>
      <c r="B71" s="9" t="s">
        <v>163</v>
      </c>
      <c r="C71" s="15" t="s">
        <v>70</v>
      </c>
      <c r="D71" s="8" t="s">
        <v>68</v>
      </c>
      <c r="E71" s="655">
        <v>475703.83333333302</v>
      </c>
      <c r="F71" s="656">
        <f t="shared" si="2"/>
        <v>237851.91666666701</v>
      </c>
    </row>
    <row r="72" spans="1:6" ht="20.100000000000001" customHeight="1" x14ac:dyDescent="0.2">
      <c r="A72" s="8">
        <v>9</v>
      </c>
      <c r="B72" s="9" t="s">
        <v>164</v>
      </c>
      <c r="C72" s="15" t="s">
        <v>70</v>
      </c>
      <c r="D72" s="8" t="s">
        <v>68</v>
      </c>
      <c r="E72" s="655">
        <v>475703.83333333302</v>
      </c>
      <c r="F72" s="656">
        <f t="shared" si="2"/>
        <v>237851.91666666701</v>
      </c>
    </row>
    <row r="73" spans="1:6" ht="20.100000000000001" customHeight="1" x14ac:dyDescent="0.2">
      <c r="A73" s="8">
        <v>10</v>
      </c>
      <c r="B73" s="9" t="s">
        <v>165</v>
      </c>
      <c r="C73" s="2" t="s">
        <v>166</v>
      </c>
      <c r="D73" s="8" t="s">
        <v>162</v>
      </c>
      <c r="E73" s="664">
        <v>487895.16666666698</v>
      </c>
      <c r="F73" s="656">
        <f t="shared" si="2"/>
        <v>243947.58333333299</v>
      </c>
    </row>
    <row r="74" spans="1:6" ht="21.6" customHeight="1" x14ac:dyDescent="0.2">
      <c r="A74" s="8">
        <v>11</v>
      </c>
      <c r="B74" s="9" t="s">
        <v>168</v>
      </c>
      <c r="C74" s="2" t="s">
        <v>139</v>
      </c>
      <c r="D74" s="8" t="s">
        <v>76</v>
      </c>
      <c r="E74" s="665">
        <v>400965.58333333302</v>
      </c>
      <c r="F74" s="656">
        <f t="shared" si="2"/>
        <v>200482.79166666701</v>
      </c>
    </row>
    <row r="75" spans="1:6" ht="27" customHeight="1" x14ac:dyDescent="0.5">
      <c r="A75" s="8"/>
      <c r="B75" s="18" t="s">
        <v>111</v>
      </c>
      <c r="C75" s="19">
        <v>11</v>
      </c>
      <c r="D75" s="19"/>
      <c r="E75" s="660">
        <v>5295835.5833333302</v>
      </c>
      <c r="F75" s="661">
        <f>SUM(F66:F74)</f>
        <v>2647917.7916666698</v>
      </c>
    </row>
    <row r="76" spans="1:6" ht="20.100000000000001" customHeight="1" x14ac:dyDescent="0.2">
      <c r="A76" s="8"/>
      <c r="B76" s="20"/>
      <c r="C76" s="19"/>
      <c r="D76" s="19"/>
      <c r="E76" s="662"/>
      <c r="F76" s="663"/>
    </row>
    <row r="77" spans="1:6" ht="20.100000000000001" customHeight="1" x14ac:dyDescent="0.2">
      <c r="A77" s="8"/>
      <c r="B77" s="18" t="s">
        <v>169</v>
      </c>
      <c r="C77" s="19"/>
      <c r="D77" s="19"/>
      <c r="E77" s="662"/>
      <c r="F77" s="663"/>
    </row>
    <row r="78" spans="1:6" ht="20.100000000000001" customHeight="1" x14ac:dyDescent="0.2">
      <c r="A78" s="8">
        <v>1</v>
      </c>
      <c r="B78" s="9" t="s">
        <v>170</v>
      </c>
      <c r="C78" s="2" t="s">
        <v>171</v>
      </c>
      <c r="D78" s="8" t="s">
        <v>115</v>
      </c>
      <c r="E78" s="655">
        <v>1635720</v>
      </c>
      <c r="F78" s="656">
        <f t="shared" ref="F78:F83" si="3">E78/2</f>
        <v>817860</v>
      </c>
    </row>
    <row r="79" spans="1:6" ht="20.100000000000001" customHeight="1" x14ac:dyDescent="0.2">
      <c r="A79" s="8">
        <v>2</v>
      </c>
      <c r="B79" s="9" t="s">
        <v>172</v>
      </c>
      <c r="C79" s="2" t="s">
        <v>173</v>
      </c>
      <c r="D79" s="8" t="s">
        <v>49</v>
      </c>
      <c r="E79" s="655">
        <v>742118.08333333302</v>
      </c>
      <c r="F79" s="656">
        <f t="shared" si="3"/>
        <v>371059.04166666698</v>
      </c>
    </row>
    <row r="80" spans="1:6" ht="20.100000000000001" customHeight="1" x14ac:dyDescent="0.2">
      <c r="A80" s="8">
        <v>3</v>
      </c>
      <c r="B80" s="9" t="s">
        <v>174</v>
      </c>
      <c r="C80" s="2" t="s">
        <v>175</v>
      </c>
      <c r="D80" s="13" t="s">
        <v>46</v>
      </c>
      <c r="E80" s="655">
        <v>596622.25</v>
      </c>
      <c r="F80" s="656">
        <f t="shared" si="3"/>
        <v>298311.125</v>
      </c>
    </row>
    <row r="81" spans="1:6" ht="20.100000000000001" customHeight="1" x14ac:dyDescent="0.2">
      <c r="A81" s="8">
        <v>4</v>
      </c>
      <c r="B81" s="9" t="s">
        <v>181</v>
      </c>
      <c r="C81" s="2" t="s">
        <v>182</v>
      </c>
      <c r="D81" s="8" t="s">
        <v>137</v>
      </c>
      <c r="E81" s="655">
        <v>463512.5</v>
      </c>
      <c r="F81" s="656">
        <f t="shared" si="3"/>
        <v>231756.25</v>
      </c>
    </row>
    <row r="82" spans="1:6" ht="20.100000000000001" customHeight="1" x14ac:dyDescent="0.2">
      <c r="A82" s="8">
        <v>5</v>
      </c>
      <c r="B82" s="9" t="s">
        <v>183</v>
      </c>
      <c r="C82" s="2" t="s">
        <v>184</v>
      </c>
      <c r="D82" s="8" t="s">
        <v>87</v>
      </c>
      <c r="E82" s="655">
        <v>363165.33333333302</v>
      </c>
      <c r="F82" s="656">
        <f t="shared" si="3"/>
        <v>181582.66666666701</v>
      </c>
    </row>
    <row r="83" spans="1:6" ht="20.100000000000001" customHeight="1" x14ac:dyDescent="0.2">
      <c r="A83" s="8">
        <v>6</v>
      </c>
      <c r="B83" s="9" t="s">
        <v>185</v>
      </c>
      <c r="C83" s="2" t="s">
        <v>186</v>
      </c>
      <c r="D83" s="8" t="s">
        <v>105</v>
      </c>
      <c r="E83" s="655">
        <v>324459.75</v>
      </c>
      <c r="F83" s="656">
        <f t="shared" si="3"/>
        <v>162229.875</v>
      </c>
    </row>
    <row r="84" spans="1:6" ht="24" customHeight="1" x14ac:dyDescent="0.5">
      <c r="A84" s="8"/>
      <c r="B84" s="18" t="s">
        <v>111</v>
      </c>
      <c r="C84" s="19">
        <v>6</v>
      </c>
      <c r="D84" s="19"/>
      <c r="E84" s="660">
        <v>4125597.9166666698</v>
      </c>
      <c r="F84" s="661">
        <f>SUM(F78:F83)</f>
        <v>2062798.95833333</v>
      </c>
    </row>
    <row r="85" spans="1:6" ht="20.100000000000001" customHeight="1" x14ac:dyDescent="0.2">
      <c r="A85" s="8"/>
      <c r="B85" s="18"/>
      <c r="C85" s="19"/>
      <c r="D85" s="19"/>
      <c r="E85" s="662"/>
      <c r="F85" s="663"/>
    </row>
    <row r="86" spans="1:6" ht="20.100000000000001" customHeight="1" x14ac:dyDescent="0.2">
      <c r="A86" s="8"/>
      <c r="B86" s="18" t="s">
        <v>187</v>
      </c>
      <c r="C86" s="23"/>
      <c r="D86" s="19"/>
      <c r="E86" s="662"/>
      <c r="F86" s="663"/>
    </row>
    <row r="87" spans="1:6" ht="20.100000000000001" customHeight="1" x14ac:dyDescent="0.2">
      <c r="A87" s="8">
        <v>1</v>
      </c>
      <c r="B87" s="9" t="s">
        <v>190</v>
      </c>
      <c r="C87" s="2" t="s">
        <v>130</v>
      </c>
      <c r="D87" s="8" t="s">
        <v>131</v>
      </c>
      <c r="E87" s="655">
        <v>980675.58333333302</v>
      </c>
      <c r="F87" s="656">
        <f>E87/2</f>
        <v>490337.79166666698</v>
      </c>
    </row>
    <row r="88" spans="1:6" ht="20.100000000000001" customHeight="1" x14ac:dyDescent="0.2">
      <c r="A88" s="8">
        <v>2</v>
      </c>
      <c r="B88" s="9" t="s">
        <v>188</v>
      </c>
      <c r="C88" s="2" t="s">
        <v>130</v>
      </c>
      <c r="D88" s="8" t="s">
        <v>131</v>
      </c>
      <c r="E88" s="655">
        <v>780675.58333333302</v>
      </c>
      <c r="F88" s="656">
        <f t="shared" ref="F88:F96" si="4">E88/2</f>
        <v>390337.79166666698</v>
      </c>
    </row>
    <row r="89" spans="1:6" ht="20.100000000000001" customHeight="1" x14ac:dyDescent="0.2">
      <c r="A89" s="8">
        <v>3</v>
      </c>
      <c r="B89" s="9" t="s">
        <v>193</v>
      </c>
      <c r="C89" s="2" t="s">
        <v>130</v>
      </c>
      <c r="D89" s="8" t="s">
        <v>49</v>
      </c>
      <c r="E89" s="655">
        <v>742118.08333333302</v>
      </c>
      <c r="F89" s="656">
        <f t="shared" si="4"/>
        <v>371059.04166666698</v>
      </c>
    </row>
    <row r="90" spans="1:6" ht="21.6" customHeight="1" x14ac:dyDescent="0.2">
      <c r="A90" s="8">
        <v>4</v>
      </c>
      <c r="B90" s="9" t="s">
        <v>194</v>
      </c>
      <c r="C90" s="2" t="s">
        <v>156</v>
      </c>
      <c r="D90" s="13" t="s">
        <v>197</v>
      </c>
      <c r="E90" s="655">
        <v>582746.5</v>
      </c>
      <c r="F90" s="656">
        <f t="shared" si="4"/>
        <v>291373.25</v>
      </c>
    </row>
    <row r="91" spans="1:6" ht="21.6" customHeight="1" x14ac:dyDescent="0.2">
      <c r="A91" s="8">
        <v>5</v>
      </c>
      <c r="B91" s="9" t="s">
        <v>195</v>
      </c>
      <c r="C91" s="2" t="s">
        <v>156</v>
      </c>
      <c r="D91" s="13" t="s">
        <v>197</v>
      </c>
      <c r="E91" s="655">
        <v>562746.5</v>
      </c>
      <c r="F91" s="656">
        <f t="shared" si="4"/>
        <v>281373.25</v>
      </c>
    </row>
    <row r="92" spans="1:6" ht="21.6" customHeight="1" x14ac:dyDescent="0.2">
      <c r="A92" s="8">
        <v>6</v>
      </c>
      <c r="B92" s="9" t="s">
        <v>196</v>
      </c>
      <c r="C92" s="10" t="s">
        <v>156</v>
      </c>
      <c r="D92" s="13" t="s">
        <v>229</v>
      </c>
      <c r="E92" s="655">
        <v>568870.75</v>
      </c>
      <c r="F92" s="656">
        <f t="shared" si="4"/>
        <v>284435.375</v>
      </c>
    </row>
    <row r="93" spans="1:6" ht="21.6" customHeight="1" x14ac:dyDescent="0.2">
      <c r="A93" s="8">
        <v>7</v>
      </c>
      <c r="B93" s="9" t="s">
        <v>198</v>
      </c>
      <c r="C93" s="15" t="s">
        <v>70</v>
      </c>
      <c r="D93" s="13" t="s">
        <v>68</v>
      </c>
      <c r="E93" s="655">
        <v>475703.83333333302</v>
      </c>
      <c r="F93" s="656">
        <f t="shared" si="4"/>
        <v>237851.91666666701</v>
      </c>
    </row>
    <row r="94" spans="1:6" ht="21.6" customHeight="1" x14ac:dyDescent="0.2">
      <c r="A94" s="8">
        <v>8</v>
      </c>
      <c r="B94" s="9" t="s">
        <v>199</v>
      </c>
      <c r="C94" s="15" t="s">
        <v>158</v>
      </c>
      <c r="D94" s="13" t="s">
        <v>159</v>
      </c>
      <c r="E94" s="655">
        <v>510248.91666666698</v>
      </c>
      <c r="F94" s="656">
        <f t="shared" si="4"/>
        <v>255124.45833333299</v>
      </c>
    </row>
    <row r="95" spans="1:6" ht="21.6" customHeight="1" x14ac:dyDescent="0.2">
      <c r="A95" s="8">
        <v>9</v>
      </c>
      <c r="B95" s="9" t="s">
        <v>202</v>
      </c>
      <c r="C95" s="2" t="s">
        <v>203</v>
      </c>
      <c r="D95" s="8" t="s">
        <v>76</v>
      </c>
      <c r="E95" s="665">
        <v>400965.58333333302</v>
      </c>
      <c r="F95" s="656">
        <f t="shared" si="4"/>
        <v>200482.79166666701</v>
      </c>
    </row>
    <row r="96" spans="1:6" ht="21.6" customHeight="1" x14ac:dyDescent="0.2">
      <c r="A96" s="8">
        <v>10</v>
      </c>
      <c r="B96" s="9" t="s">
        <v>204</v>
      </c>
      <c r="C96" s="15" t="s">
        <v>205</v>
      </c>
      <c r="D96" s="13" t="s">
        <v>102</v>
      </c>
      <c r="E96" s="665">
        <v>330631.91666666698</v>
      </c>
      <c r="F96" s="656">
        <f t="shared" si="4"/>
        <v>165315.95833333299</v>
      </c>
    </row>
    <row r="97" spans="1:6" ht="29.1" customHeight="1" x14ac:dyDescent="0.5">
      <c r="A97" s="8"/>
      <c r="B97" s="18" t="s">
        <v>111</v>
      </c>
      <c r="C97" s="19">
        <v>10</v>
      </c>
      <c r="D97" s="19"/>
      <c r="E97" s="660">
        <v>5935383.25</v>
      </c>
      <c r="F97" s="661">
        <f>SUM(F87:F96)</f>
        <v>2967691.625</v>
      </c>
    </row>
    <row r="98" spans="1:6" ht="20.100000000000001" customHeight="1" x14ac:dyDescent="0.2">
      <c r="A98" s="8"/>
      <c r="B98" s="20"/>
      <c r="C98" s="19"/>
      <c r="D98" s="19"/>
      <c r="E98" s="662"/>
      <c r="F98" s="663"/>
    </row>
    <row r="99" spans="1:6" ht="20.100000000000001" customHeight="1" x14ac:dyDescent="0.2">
      <c r="A99" s="8"/>
      <c r="B99" s="18" t="s">
        <v>207</v>
      </c>
      <c r="C99" s="19"/>
      <c r="D99" s="19"/>
      <c r="E99" s="662"/>
      <c r="F99" s="663"/>
    </row>
    <row r="100" spans="1:6" ht="20.100000000000001" customHeight="1" x14ac:dyDescent="0.2">
      <c r="A100" s="8">
        <v>1</v>
      </c>
      <c r="B100" s="12" t="s">
        <v>208</v>
      </c>
      <c r="C100" s="2" t="s">
        <v>209</v>
      </c>
      <c r="D100" s="14" t="s">
        <v>128</v>
      </c>
      <c r="E100" s="655">
        <v>1452042.66666667</v>
      </c>
      <c r="F100" s="656">
        <f>E100/2</f>
        <v>726021.333333335</v>
      </c>
    </row>
    <row r="101" spans="1:6" ht="20.100000000000001" customHeight="1" x14ac:dyDescent="0.2">
      <c r="A101" s="8">
        <v>2</v>
      </c>
      <c r="B101" s="9" t="s">
        <v>211</v>
      </c>
      <c r="C101" s="2" t="s">
        <v>212</v>
      </c>
      <c r="D101" s="13" t="s">
        <v>46</v>
      </c>
      <c r="E101" s="655">
        <v>526622.25</v>
      </c>
      <c r="F101" s="656">
        <f>E101/2</f>
        <v>263311.125</v>
      </c>
    </row>
    <row r="102" spans="1:6" ht="20.100000000000001" customHeight="1" x14ac:dyDescent="0.2">
      <c r="A102" s="8">
        <v>3</v>
      </c>
      <c r="B102" s="9" t="s">
        <v>217</v>
      </c>
      <c r="C102" s="2" t="s">
        <v>218</v>
      </c>
      <c r="D102" s="13" t="s">
        <v>162</v>
      </c>
      <c r="E102" s="655">
        <v>437895.16666666698</v>
      </c>
      <c r="F102" s="656">
        <f>E102/2</f>
        <v>218947.58333333299</v>
      </c>
    </row>
    <row r="103" spans="1:6" ht="20.100000000000001" customHeight="1" x14ac:dyDescent="0.2">
      <c r="A103" s="8">
        <v>4</v>
      </c>
      <c r="B103" s="9" t="s">
        <v>219</v>
      </c>
      <c r="C103" s="2" t="s">
        <v>220</v>
      </c>
      <c r="D103" s="13" t="s">
        <v>76</v>
      </c>
      <c r="E103" s="665">
        <v>360965.58333333302</v>
      </c>
      <c r="F103" s="656">
        <f>E103/2</f>
        <v>180482.79166666701</v>
      </c>
    </row>
    <row r="104" spans="1:6" ht="20.100000000000001" customHeight="1" x14ac:dyDescent="0.5">
      <c r="A104" s="2"/>
      <c r="B104" s="18" t="s">
        <v>111</v>
      </c>
      <c r="C104" s="19">
        <v>4</v>
      </c>
      <c r="D104" s="24"/>
      <c r="E104" s="660">
        <v>2777525.6666666698</v>
      </c>
      <c r="F104" s="661">
        <f>SUM(F100:F103)</f>
        <v>1388762.83333333</v>
      </c>
    </row>
    <row r="105" spans="1:6" ht="20.100000000000001" customHeight="1" x14ac:dyDescent="0.2">
      <c r="A105" s="2"/>
      <c r="B105" s="20"/>
      <c r="C105" s="19"/>
      <c r="D105" s="24"/>
      <c r="E105" s="662"/>
      <c r="F105" s="663"/>
    </row>
    <row r="106" spans="1:6" ht="20.100000000000001" customHeight="1" x14ac:dyDescent="0.2">
      <c r="A106" s="2"/>
      <c r="B106" s="18" t="s">
        <v>221</v>
      </c>
      <c r="C106" s="2"/>
      <c r="D106" s="2"/>
      <c r="E106" s="666"/>
      <c r="F106" s="667"/>
    </row>
    <row r="107" spans="1:6" ht="20.100000000000001" customHeight="1" x14ac:dyDescent="0.2">
      <c r="A107" s="2">
        <v>1</v>
      </c>
      <c r="B107" s="9" t="s">
        <v>222</v>
      </c>
      <c r="C107" s="10" t="s">
        <v>223</v>
      </c>
      <c r="D107" s="13" t="s">
        <v>115</v>
      </c>
      <c r="E107" s="655">
        <v>1635720</v>
      </c>
      <c r="F107" s="656">
        <f>E107/2</f>
        <v>817860</v>
      </c>
    </row>
    <row r="108" spans="1:6" ht="20.100000000000001" customHeight="1" x14ac:dyDescent="0.2">
      <c r="A108" s="2">
        <v>2</v>
      </c>
      <c r="B108" s="9" t="s">
        <v>224</v>
      </c>
      <c r="C108" s="2" t="s">
        <v>225</v>
      </c>
      <c r="D108" s="14" t="s">
        <v>154</v>
      </c>
      <c r="E108" s="655">
        <v>942373.16666666698</v>
      </c>
      <c r="F108" s="656">
        <f t="shared" ref="F108:F113" si="5">E108/2</f>
        <v>471186.58333333302</v>
      </c>
    </row>
    <row r="109" spans="1:6" ht="20.100000000000001" customHeight="1" x14ac:dyDescent="0.2">
      <c r="A109" s="2">
        <v>3</v>
      </c>
      <c r="B109" s="9" t="s">
        <v>226</v>
      </c>
      <c r="C109" s="2" t="s">
        <v>227</v>
      </c>
      <c r="D109" s="8" t="s">
        <v>52</v>
      </c>
      <c r="E109" s="655">
        <v>603237.85519166698</v>
      </c>
      <c r="F109" s="656">
        <f t="shared" si="5"/>
        <v>301618.92759583303</v>
      </c>
    </row>
    <row r="110" spans="1:6" ht="20.100000000000001" customHeight="1" x14ac:dyDescent="0.2">
      <c r="A110" s="2">
        <v>4</v>
      </c>
      <c r="B110" s="9" t="s">
        <v>228</v>
      </c>
      <c r="C110" s="2" t="s">
        <v>227</v>
      </c>
      <c r="D110" s="8" t="s">
        <v>52</v>
      </c>
      <c r="E110" s="655">
        <v>601625.033321667</v>
      </c>
      <c r="F110" s="656">
        <f t="shared" si="5"/>
        <v>300812.51666083297</v>
      </c>
    </row>
    <row r="111" spans="1:6" ht="20.100000000000001" customHeight="1" x14ac:dyDescent="0.2">
      <c r="A111" s="2">
        <v>5</v>
      </c>
      <c r="B111" s="9" t="s">
        <v>230</v>
      </c>
      <c r="C111" s="2" t="s">
        <v>231</v>
      </c>
      <c r="D111" s="13" t="s">
        <v>553</v>
      </c>
      <c r="E111" s="665">
        <v>374481.86414666701</v>
      </c>
      <c r="F111" s="656">
        <f t="shared" si="5"/>
        <v>187240.932073334</v>
      </c>
    </row>
    <row r="112" spans="1:6" ht="20.100000000000001" customHeight="1" x14ac:dyDescent="0.2">
      <c r="A112" s="2">
        <v>6</v>
      </c>
      <c r="B112" s="16" t="s">
        <v>233</v>
      </c>
      <c r="C112" s="2" t="s">
        <v>231</v>
      </c>
      <c r="D112" s="8" t="s">
        <v>554</v>
      </c>
      <c r="E112" s="665">
        <v>367926.02100000001</v>
      </c>
      <c r="F112" s="656">
        <f t="shared" si="5"/>
        <v>183963.0105</v>
      </c>
    </row>
    <row r="113" spans="1:6" ht="20.100000000000001" customHeight="1" x14ac:dyDescent="0.2">
      <c r="A113" s="2">
        <v>7</v>
      </c>
      <c r="B113" s="16" t="s">
        <v>234</v>
      </c>
      <c r="C113" s="2" t="s">
        <v>231</v>
      </c>
      <c r="D113" s="13" t="s">
        <v>102</v>
      </c>
      <c r="E113" s="665">
        <v>355198.112111667</v>
      </c>
      <c r="F113" s="656">
        <f t="shared" si="5"/>
        <v>177599.056055833</v>
      </c>
    </row>
    <row r="114" spans="1:6" ht="25.5" customHeight="1" x14ac:dyDescent="0.5">
      <c r="A114" s="2"/>
      <c r="B114" s="18" t="s">
        <v>111</v>
      </c>
      <c r="C114" s="19">
        <v>7</v>
      </c>
      <c r="D114" s="2"/>
      <c r="E114" s="668">
        <v>4880562.0524383401</v>
      </c>
      <c r="F114" s="669">
        <f>SUM(F107:F113)</f>
        <v>2440281.0262191701</v>
      </c>
    </row>
    <row r="115" spans="1:6" ht="20.100000000000001" customHeight="1" x14ac:dyDescent="0.5">
      <c r="A115" s="2"/>
      <c r="B115" s="18"/>
      <c r="C115" s="19"/>
      <c r="D115" s="2"/>
      <c r="E115" s="668"/>
      <c r="F115" s="669"/>
    </row>
    <row r="116" spans="1:6" ht="20.100000000000001" customHeight="1" x14ac:dyDescent="0.2">
      <c r="A116" s="8"/>
      <c r="B116" s="18" t="s">
        <v>235</v>
      </c>
      <c r="C116" s="19"/>
      <c r="D116" s="19"/>
      <c r="E116" s="662"/>
      <c r="F116" s="663"/>
    </row>
    <row r="117" spans="1:6" ht="20.100000000000001" customHeight="1" x14ac:dyDescent="0.2">
      <c r="A117" s="8">
        <v>1</v>
      </c>
      <c r="B117" s="12" t="s">
        <v>152</v>
      </c>
      <c r="C117" s="2" t="s">
        <v>130</v>
      </c>
      <c r="D117" s="8" t="s">
        <v>38</v>
      </c>
      <c r="E117" s="655">
        <v>761396.83333333302</v>
      </c>
      <c r="F117" s="656">
        <f>E117/2</f>
        <v>380698.41666666698</v>
      </c>
    </row>
    <row r="118" spans="1:6" ht="18.75" customHeight="1" x14ac:dyDescent="0.2">
      <c r="A118" s="8">
        <v>2</v>
      </c>
      <c r="B118" s="9" t="s">
        <v>236</v>
      </c>
      <c r="C118" s="2" t="s">
        <v>237</v>
      </c>
      <c r="D118" s="13" t="s">
        <v>162</v>
      </c>
      <c r="E118" s="655">
        <v>487895.16666666698</v>
      </c>
      <c r="F118" s="656">
        <f>E118/2</f>
        <v>243947.58333333299</v>
      </c>
    </row>
    <row r="119" spans="1:6" ht="20.100000000000001" customHeight="1" x14ac:dyDescent="0.2">
      <c r="A119" s="8">
        <v>3</v>
      </c>
      <c r="B119" s="9" t="s">
        <v>177</v>
      </c>
      <c r="C119" s="10" t="s">
        <v>178</v>
      </c>
      <c r="D119" s="13" t="s">
        <v>159</v>
      </c>
      <c r="E119" s="655">
        <v>460248.91666666698</v>
      </c>
      <c r="F119" s="656">
        <f>E119/2</f>
        <v>230124.45833333299</v>
      </c>
    </row>
    <row r="120" spans="1:6" ht="24.75" customHeight="1" x14ac:dyDescent="0.5">
      <c r="A120" s="2"/>
      <c r="B120" s="18" t="s">
        <v>111</v>
      </c>
      <c r="C120" s="19">
        <v>2</v>
      </c>
      <c r="D120" s="24"/>
      <c r="E120" s="660">
        <v>1709540.91666667</v>
      </c>
      <c r="F120" s="661">
        <f>SUM(F117:F119)</f>
        <v>854770.45833333302</v>
      </c>
    </row>
    <row r="121" spans="1:6" ht="24.75" customHeight="1" x14ac:dyDescent="0.5">
      <c r="A121" s="2"/>
      <c r="B121" s="18"/>
      <c r="C121" s="19"/>
      <c r="D121" s="24"/>
      <c r="E121" s="660"/>
      <c r="F121" s="661"/>
    </row>
    <row r="122" spans="1:6" ht="24.75" customHeight="1" x14ac:dyDescent="0.2">
      <c r="A122" s="8"/>
      <c r="B122" s="18" t="s">
        <v>243</v>
      </c>
      <c r="C122" s="19"/>
      <c r="D122" s="19"/>
      <c r="E122" s="662"/>
      <c r="F122" s="663"/>
    </row>
    <row r="123" spans="1:6" ht="24.75" customHeight="1" x14ac:dyDescent="0.2">
      <c r="A123" s="8">
        <v>1</v>
      </c>
      <c r="B123" s="12" t="s">
        <v>634</v>
      </c>
      <c r="C123" s="2" t="s">
        <v>635</v>
      </c>
      <c r="D123" s="8" t="s">
        <v>108</v>
      </c>
      <c r="E123" s="655">
        <v>268287.58333333302</v>
      </c>
      <c r="F123" s="656">
        <f>E123/2</f>
        <v>134143.79166666701</v>
      </c>
    </row>
    <row r="124" spans="1:6" ht="24.75" customHeight="1" x14ac:dyDescent="0.2">
      <c r="A124" s="8">
        <v>2</v>
      </c>
      <c r="B124" s="9" t="s">
        <v>246</v>
      </c>
      <c r="C124" s="2" t="s">
        <v>247</v>
      </c>
      <c r="D124" s="8" t="s">
        <v>108</v>
      </c>
      <c r="E124" s="655">
        <v>268287.58333333302</v>
      </c>
      <c r="F124" s="656">
        <f>E124/2</f>
        <v>134143.79166666701</v>
      </c>
    </row>
    <row r="125" spans="1:6" ht="24.75" customHeight="1" x14ac:dyDescent="0.2">
      <c r="A125" s="8">
        <v>3</v>
      </c>
      <c r="B125" s="9" t="s">
        <v>248</v>
      </c>
      <c r="C125" s="2" t="s">
        <v>249</v>
      </c>
      <c r="D125" s="8" t="s">
        <v>108</v>
      </c>
      <c r="E125" s="655">
        <v>268287.58333333302</v>
      </c>
      <c r="F125" s="656">
        <f>E125/2</f>
        <v>134143.79166666701</v>
      </c>
    </row>
    <row r="126" spans="1:6" ht="20.100000000000001" customHeight="1" x14ac:dyDescent="0.5">
      <c r="A126" s="2"/>
      <c r="B126" s="18" t="s">
        <v>111</v>
      </c>
      <c r="C126" s="19">
        <v>3</v>
      </c>
      <c r="D126" s="24"/>
      <c r="E126" s="660">
        <v>804862.74999999895</v>
      </c>
      <c r="F126" s="661">
        <f>SUM(F123:F125)</f>
        <v>402431.375</v>
      </c>
    </row>
    <row r="127" spans="1:6" ht="20.100000000000001" customHeight="1" x14ac:dyDescent="0.5">
      <c r="A127" s="2"/>
      <c r="B127" s="18"/>
      <c r="C127" s="19"/>
      <c r="D127" s="24"/>
      <c r="E127" s="660"/>
      <c r="F127" s="661"/>
    </row>
    <row r="128" spans="1:6" ht="20.100000000000001" customHeight="1" x14ac:dyDescent="0.2">
      <c r="A128" s="2"/>
      <c r="B128" s="18" t="s">
        <v>250</v>
      </c>
      <c r="C128" s="19"/>
      <c r="D128" s="19"/>
      <c r="E128" s="662"/>
      <c r="F128" s="663"/>
    </row>
    <row r="129" spans="1:6" ht="20.100000000000001" customHeight="1" x14ac:dyDescent="0.2">
      <c r="A129" s="2">
        <v>1</v>
      </c>
      <c r="B129" s="9" t="s">
        <v>251</v>
      </c>
      <c r="C129" s="10" t="s">
        <v>252</v>
      </c>
      <c r="D129" s="13" t="s">
        <v>115</v>
      </c>
      <c r="E129" s="655">
        <v>1635720</v>
      </c>
      <c r="F129" s="656">
        <f>E129/2</f>
        <v>817860</v>
      </c>
    </row>
    <row r="130" spans="1:6" ht="20.100000000000001" customHeight="1" x14ac:dyDescent="0.2">
      <c r="A130" s="2">
        <v>2</v>
      </c>
      <c r="B130" s="9" t="s">
        <v>253</v>
      </c>
      <c r="C130" s="10" t="s">
        <v>254</v>
      </c>
      <c r="D130" s="13" t="s">
        <v>35</v>
      </c>
      <c r="E130" s="655">
        <v>929203.58333333302</v>
      </c>
      <c r="F130" s="656">
        <f t="shared" ref="F130:F138" si="6">E130/2</f>
        <v>464601.79166666698</v>
      </c>
    </row>
    <row r="131" spans="1:6" ht="20.100000000000001" customHeight="1" x14ac:dyDescent="0.2">
      <c r="A131" s="2">
        <v>3</v>
      </c>
      <c r="B131" s="12" t="s">
        <v>255</v>
      </c>
      <c r="C131" s="10" t="s">
        <v>256</v>
      </c>
      <c r="D131" s="13" t="s">
        <v>131</v>
      </c>
      <c r="E131" s="655">
        <v>830675.58333333302</v>
      </c>
      <c r="F131" s="656">
        <f t="shared" si="6"/>
        <v>415337.79166666698</v>
      </c>
    </row>
    <row r="132" spans="1:6" ht="20.100000000000001" customHeight="1" x14ac:dyDescent="0.2">
      <c r="A132" s="2">
        <v>4</v>
      </c>
      <c r="B132" s="9" t="s">
        <v>257</v>
      </c>
      <c r="C132" s="10" t="s">
        <v>258</v>
      </c>
      <c r="D132" s="13" t="s">
        <v>176</v>
      </c>
      <c r="E132" s="655">
        <v>540498</v>
      </c>
      <c r="F132" s="656">
        <f t="shared" si="6"/>
        <v>270249</v>
      </c>
    </row>
    <row r="133" spans="1:6" ht="20.100000000000001" customHeight="1" x14ac:dyDescent="0.2">
      <c r="A133" s="2">
        <v>5</v>
      </c>
      <c r="B133" s="9" t="s">
        <v>259</v>
      </c>
      <c r="C133" s="10" t="s">
        <v>489</v>
      </c>
      <c r="D133" s="13" t="s">
        <v>197</v>
      </c>
      <c r="E133" s="655">
        <v>512746.5</v>
      </c>
      <c r="F133" s="656">
        <f t="shared" si="6"/>
        <v>256373.25</v>
      </c>
    </row>
    <row r="134" spans="1:6" ht="20.100000000000001" customHeight="1" x14ac:dyDescent="0.2">
      <c r="A134" s="2">
        <v>6</v>
      </c>
      <c r="B134" s="9" t="s">
        <v>260</v>
      </c>
      <c r="C134" s="10" t="s">
        <v>258</v>
      </c>
      <c r="D134" s="13" t="s">
        <v>46</v>
      </c>
      <c r="E134" s="655">
        <v>526622.25</v>
      </c>
      <c r="F134" s="656">
        <f t="shared" si="6"/>
        <v>263311.125</v>
      </c>
    </row>
    <row r="135" spans="1:6" ht="20.100000000000001" customHeight="1" x14ac:dyDescent="0.2">
      <c r="A135" s="2">
        <v>7</v>
      </c>
      <c r="B135" s="9" t="s">
        <v>263</v>
      </c>
      <c r="C135" s="10" t="s">
        <v>264</v>
      </c>
      <c r="D135" s="8" t="s">
        <v>84</v>
      </c>
      <c r="E135" s="655">
        <v>330481.66666666698</v>
      </c>
      <c r="F135" s="656">
        <f t="shared" si="6"/>
        <v>165240.83333333299</v>
      </c>
    </row>
    <row r="136" spans="1:6" ht="20.100000000000001" customHeight="1" x14ac:dyDescent="0.2">
      <c r="A136" s="2">
        <v>8</v>
      </c>
      <c r="B136" s="16" t="s">
        <v>265</v>
      </c>
      <c r="C136" s="10" t="s">
        <v>266</v>
      </c>
      <c r="D136" s="13" t="s">
        <v>105</v>
      </c>
      <c r="E136" s="655">
        <v>274459.75</v>
      </c>
      <c r="F136" s="656">
        <f t="shared" si="6"/>
        <v>137229.875</v>
      </c>
    </row>
    <row r="137" spans="1:6" ht="20.100000000000001" customHeight="1" x14ac:dyDescent="0.2">
      <c r="A137" s="2">
        <v>9</v>
      </c>
      <c r="B137" s="16" t="s">
        <v>267</v>
      </c>
      <c r="C137" s="10" t="s">
        <v>262</v>
      </c>
      <c r="D137" s="13" t="s">
        <v>105</v>
      </c>
      <c r="E137" s="655">
        <v>274459.75</v>
      </c>
      <c r="F137" s="656">
        <f t="shared" si="6"/>
        <v>137229.875</v>
      </c>
    </row>
    <row r="138" spans="1:6" ht="20.100000000000001" customHeight="1" x14ac:dyDescent="0.2">
      <c r="A138" s="2">
        <v>10</v>
      </c>
      <c r="B138" s="16" t="s">
        <v>268</v>
      </c>
      <c r="C138" s="10" t="s">
        <v>266</v>
      </c>
      <c r="D138" s="13" t="s">
        <v>108</v>
      </c>
      <c r="E138" s="655">
        <v>268287.58333333302</v>
      </c>
      <c r="F138" s="656">
        <f t="shared" si="6"/>
        <v>134143.79166666701</v>
      </c>
    </row>
    <row r="139" spans="1:6" ht="28.5" customHeight="1" x14ac:dyDescent="0.2">
      <c r="A139" s="2"/>
      <c r="B139" s="18" t="s">
        <v>111</v>
      </c>
      <c r="C139" s="24" t="s">
        <v>490</v>
      </c>
      <c r="D139" s="13"/>
      <c r="E139" s="662">
        <v>6123154.6666666698</v>
      </c>
      <c r="F139" s="663">
        <f>SUM(F129:F138)</f>
        <v>3061577.3333333302</v>
      </c>
    </row>
    <row r="140" spans="1:6" ht="20.100000000000001" customHeight="1" x14ac:dyDescent="0.2">
      <c r="A140" s="2"/>
      <c r="B140" s="20"/>
      <c r="C140" s="24"/>
      <c r="D140" s="13"/>
      <c r="E140" s="662"/>
      <c r="F140" s="663"/>
    </row>
    <row r="141" spans="1:6" ht="20.100000000000001" customHeight="1" x14ac:dyDescent="0.2">
      <c r="A141" s="2"/>
      <c r="B141" s="18" t="s">
        <v>270</v>
      </c>
      <c r="C141" s="10"/>
      <c r="D141" s="13"/>
      <c r="E141" s="655"/>
      <c r="F141" s="656"/>
    </row>
    <row r="142" spans="1:6" ht="20.100000000000001" customHeight="1" x14ac:dyDescent="0.2">
      <c r="A142" s="25">
        <v>1</v>
      </c>
      <c r="B142" s="9" t="s">
        <v>557</v>
      </c>
      <c r="C142" s="10" t="s">
        <v>558</v>
      </c>
      <c r="D142" s="13" t="s">
        <v>115</v>
      </c>
      <c r="E142" s="655">
        <v>1535720</v>
      </c>
      <c r="F142" s="656">
        <f>E142/2</f>
        <v>767860</v>
      </c>
    </row>
    <row r="143" spans="1:6" ht="20.100000000000001" customHeight="1" x14ac:dyDescent="0.2">
      <c r="A143" s="25">
        <v>2</v>
      </c>
      <c r="B143" s="12" t="s">
        <v>274</v>
      </c>
      <c r="C143" s="2" t="s">
        <v>275</v>
      </c>
      <c r="D143" s="14" t="s">
        <v>154</v>
      </c>
      <c r="E143" s="655">
        <v>902373.16666666698</v>
      </c>
      <c r="F143" s="656">
        <f t="shared" ref="F143:F174" si="7">E143/2</f>
        <v>451186.58333333302</v>
      </c>
    </row>
    <row r="144" spans="1:6" ht="20.100000000000001" customHeight="1" x14ac:dyDescent="0.2">
      <c r="A144" s="25">
        <v>3</v>
      </c>
      <c r="B144" s="9" t="s">
        <v>276</v>
      </c>
      <c r="C144" s="10" t="s">
        <v>277</v>
      </c>
      <c r="D144" s="13" t="s">
        <v>49</v>
      </c>
      <c r="E144" s="655">
        <v>662118.08333333302</v>
      </c>
      <c r="F144" s="656">
        <f t="shared" si="7"/>
        <v>331059.04166666698</v>
      </c>
    </row>
    <row r="145" spans="1:6" ht="20.100000000000001" customHeight="1" x14ac:dyDescent="0.2">
      <c r="A145" s="25">
        <v>4</v>
      </c>
      <c r="B145" s="9" t="s">
        <v>278</v>
      </c>
      <c r="C145" s="2" t="s">
        <v>279</v>
      </c>
      <c r="D145" s="13" t="s">
        <v>49</v>
      </c>
      <c r="E145" s="655">
        <v>662119.08333333302</v>
      </c>
      <c r="F145" s="656">
        <f t="shared" si="7"/>
        <v>331059.54166666698</v>
      </c>
    </row>
    <row r="146" spans="1:6" ht="20.100000000000001" customHeight="1" x14ac:dyDescent="0.2">
      <c r="A146" s="25">
        <v>5</v>
      </c>
      <c r="B146" s="9" t="s">
        <v>280</v>
      </c>
      <c r="C146" s="2" t="s">
        <v>279</v>
      </c>
      <c r="D146" s="13" t="s">
        <v>49</v>
      </c>
      <c r="E146" s="655">
        <v>662120.08333333302</v>
      </c>
      <c r="F146" s="656">
        <f t="shared" si="7"/>
        <v>331060.04166666698</v>
      </c>
    </row>
    <row r="147" spans="1:6" ht="20.100000000000001" customHeight="1" x14ac:dyDescent="0.2">
      <c r="A147" s="25">
        <v>6</v>
      </c>
      <c r="B147" s="9" t="s">
        <v>213</v>
      </c>
      <c r="C147" s="10" t="s">
        <v>214</v>
      </c>
      <c r="D147" s="13" t="s">
        <v>159</v>
      </c>
      <c r="E147" s="655">
        <v>460248.91666666698</v>
      </c>
      <c r="F147" s="656">
        <f t="shared" si="7"/>
        <v>230124.45833333299</v>
      </c>
    </row>
    <row r="148" spans="1:6" ht="20.100000000000001" customHeight="1" x14ac:dyDescent="0.2">
      <c r="A148" s="25">
        <v>7</v>
      </c>
      <c r="B148" s="9" t="s">
        <v>281</v>
      </c>
      <c r="C148" s="10" t="s">
        <v>214</v>
      </c>
      <c r="D148" s="13" t="s">
        <v>159</v>
      </c>
      <c r="E148" s="655">
        <v>460248.91666666698</v>
      </c>
      <c r="F148" s="656">
        <f t="shared" si="7"/>
        <v>230124.45833333299</v>
      </c>
    </row>
    <row r="149" spans="1:6" ht="20.100000000000001" customHeight="1" x14ac:dyDescent="0.2">
      <c r="A149" s="25">
        <v>8</v>
      </c>
      <c r="B149" s="9" t="s">
        <v>282</v>
      </c>
      <c r="C149" s="2" t="s">
        <v>491</v>
      </c>
      <c r="D149" s="13" t="s">
        <v>159</v>
      </c>
      <c r="E149" s="655">
        <v>460248.91666666698</v>
      </c>
      <c r="F149" s="656">
        <f t="shared" si="7"/>
        <v>230124.45833333299</v>
      </c>
    </row>
    <row r="150" spans="1:6" ht="20.100000000000001" customHeight="1" x14ac:dyDescent="0.2">
      <c r="A150" s="25">
        <v>9</v>
      </c>
      <c r="B150" s="9" t="s">
        <v>284</v>
      </c>
      <c r="C150" s="10" t="s">
        <v>285</v>
      </c>
      <c r="D150" s="13" t="s">
        <v>162</v>
      </c>
      <c r="E150" s="655">
        <v>437895.16666666698</v>
      </c>
      <c r="F150" s="656">
        <f t="shared" si="7"/>
        <v>218947.58333333299</v>
      </c>
    </row>
    <row r="151" spans="1:6" ht="20.100000000000001" customHeight="1" x14ac:dyDescent="0.2">
      <c r="A151" s="25">
        <v>10</v>
      </c>
      <c r="B151" s="9" t="s">
        <v>286</v>
      </c>
      <c r="C151" s="10" t="s">
        <v>287</v>
      </c>
      <c r="D151" s="13" t="s">
        <v>68</v>
      </c>
      <c r="E151" s="655">
        <v>425703.83333333302</v>
      </c>
      <c r="F151" s="656">
        <f t="shared" si="7"/>
        <v>212851.91666666701</v>
      </c>
    </row>
    <row r="152" spans="1:6" ht="20.100000000000001" customHeight="1" x14ac:dyDescent="0.2">
      <c r="A152" s="25">
        <v>11</v>
      </c>
      <c r="B152" s="9" t="s">
        <v>60</v>
      </c>
      <c r="C152" s="10" t="s">
        <v>565</v>
      </c>
      <c r="D152" s="13" t="s">
        <v>65</v>
      </c>
      <c r="E152" s="655">
        <v>450086.5</v>
      </c>
      <c r="F152" s="656">
        <f t="shared" si="7"/>
        <v>225043.25</v>
      </c>
    </row>
    <row r="153" spans="1:6" ht="20.100000000000001" customHeight="1" x14ac:dyDescent="0.2">
      <c r="A153" s="25">
        <v>12</v>
      </c>
      <c r="B153" s="16" t="s">
        <v>288</v>
      </c>
      <c r="C153" s="2" t="s">
        <v>289</v>
      </c>
      <c r="D153" s="13" t="s">
        <v>137</v>
      </c>
      <c r="E153" s="665">
        <v>413512.5</v>
      </c>
      <c r="F153" s="656">
        <f t="shared" si="7"/>
        <v>206756.25</v>
      </c>
    </row>
    <row r="154" spans="1:6" ht="20.100000000000001" customHeight="1" x14ac:dyDescent="0.2">
      <c r="A154" s="25">
        <v>13</v>
      </c>
      <c r="B154" s="9" t="s">
        <v>290</v>
      </c>
      <c r="C154" s="2" t="s">
        <v>289</v>
      </c>
      <c r="D154" s="13" t="s">
        <v>137</v>
      </c>
      <c r="E154" s="665">
        <v>413512.5</v>
      </c>
      <c r="F154" s="656">
        <f t="shared" si="7"/>
        <v>206756.25</v>
      </c>
    </row>
    <row r="155" spans="1:6" ht="20.100000000000001" customHeight="1" x14ac:dyDescent="0.2">
      <c r="A155" s="25">
        <v>14</v>
      </c>
      <c r="B155" s="9" t="s">
        <v>291</v>
      </c>
      <c r="C155" s="2" t="s">
        <v>289</v>
      </c>
      <c r="D155" s="13" t="s">
        <v>137</v>
      </c>
      <c r="E155" s="665">
        <v>413512.5</v>
      </c>
      <c r="F155" s="656">
        <f t="shared" si="7"/>
        <v>206756.25</v>
      </c>
    </row>
    <row r="156" spans="1:6" ht="20.100000000000001" customHeight="1" x14ac:dyDescent="0.2">
      <c r="A156" s="25">
        <v>15</v>
      </c>
      <c r="B156" s="9" t="s">
        <v>293</v>
      </c>
      <c r="C156" s="2" t="s">
        <v>289</v>
      </c>
      <c r="D156" s="13" t="s">
        <v>137</v>
      </c>
      <c r="E156" s="665">
        <v>413512.5</v>
      </c>
      <c r="F156" s="656">
        <f t="shared" si="7"/>
        <v>206756.25</v>
      </c>
    </row>
    <row r="157" spans="1:6" ht="20.100000000000001" customHeight="1" x14ac:dyDescent="0.2">
      <c r="A157" s="25">
        <v>16</v>
      </c>
      <c r="B157" s="9" t="s">
        <v>294</v>
      </c>
      <c r="C157" s="10" t="s">
        <v>295</v>
      </c>
      <c r="D157" s="13" t="s">
        <v>76</v>
      </c>
      <c r="E157" s="665">
        <v>360965.58333333302</v>
      </c>
      <c r="F157" s="656">
        <f t="shared" si="7"/>
        <v>180482.79166666701</v>
      </c>
    </row>
    <row r="158" spans="1:6" ht="20.100000000000001" customHeight="1" x14ac:dyDescent="0.2">
      <c r="A158" s="25">
        <v>17</v>
      </c>
      <c r="B158" s="9" t="s">
        <v>296</v>
      </c>
      <c r="C158" s="10" t="s">
        <v>297</v>
      </c>
      <c r="D158" s="8" t="s">
        <v>87</v>
      </c>
      <c r="E158" s="655">
        <v>323165.33333333302</v>
      </c>
      <c r="F158" s="656">
        <f t="shared" si="7"/>
        <v>161582.66666666701</v>
      </c>
    </row>
    <row r="159" spans="1:6" ht="20.100000000000001" customHeight="1" x14ac:dyDescent="0.2">
      <c r="A159" s="25">
        <v>18</v>
      </c>
      <c r="B159" s="9" t="s">
        <v>298</v>
      </c>
      <c r="C159" s="10" t="s">
        <v>299</v>
      </c>
      <c r="D159" s="13" t="s">
        <v>119</v>
      </c>
      <c r="E159" s="665">
        <v>368901.5</v>
      </c>
      <c r="F159" s="656">
        <f t="shared" si="7"/>
        <v>184450.75</v>
      </c>
    </row>
    <row r="160" spans="1:6" ht="20.100000000000001" customHeight="1" x14ac:dyDescent="0.2">
      <c r="A160" s="25">
        <v>19</v>
      </c>
      <c r="B160" s="9" t="s">
        <v>301</v>
      </c>
      <c r="C160" s="10" t="s">
        <v>302</v>
      </c>
      <c r="D160" s="13" t="s">
        <v>84</v>
      </c>
      <c r="E160" s="665">
        <v>330481.66666666698</v>
      </c>
      <c r="F160" s="656">
        <f t="shared" si="7"/>
        <v>165240.83333333299</v>
      </c>
    </row>
    <row r="161" spans="1:6" ht="20.100000000000001" customHeight="1" x14ac:dyDescent="0.2">
      <c r="A161" s="25">
        <v>20</v>
      </c>
      <c r="B161" s="9" t="s">
        <v>303</v>
      </c>
      <c r="C161" s="10" t="s">
        <v>304</v>
      </c>
      <c r="D161" s="13" t="s">
        <v>119</v>
      </c>
      <c r="E161" s="665">
        <v>368901.5</v>
      </c>
      <c r="F161" s="656">
        <f t="shared" si="7"/>
        <v>184450.75</v>
      </c>
    </row>
    <row r="162" spans="1:6" ht="20.100000000000001" customHeight="1" x14ac:dyDescent="0.2">
      <c r="A162" s="25">
        <v>21</v>
      </c>
      <c r="B162" s="9" t="s">
        <v>305</v>
      </c>
      <c r="C162" s="10" t="s">
        <v>306</v>
      </c>
      <c r="D162" s="13" t="s">
        <v>84</v>
      </c>
      <c r="E162" s="665">
        <v>330481.66666666698</v>
      </c>
      <c r="F162" s="656">
        <f t="shared" si="7"/>
        <v>165240.83333333299</v>
      </c>
    </row>
    <row r="163" spans="1:6" ht="20.100000000000001" customHeight="1" x14ac:dyDescent="0.2">
      <c r="A163" s="25">
        <v>22</v>
      </c>
      <c r="B163" s="16" t="s">
        <v>307</v>
      </c>
      <c r="C163" s="10" t="s">
        <v>308</v>
      </c>
      <c r="D163" s="13" t="s">
        <v>96</v>
      </c>
      <c r="E163" s="665">
        <v>315849</v>
      </c>
      <c r="F163" s="656">
        <f t="shared" si="7"/>
        <v>157924.5</v>
      </c>
    </row>
    <row r="164" spans="1:6" ht="20.100000000000001" customHeight="1" x14ac:dyDescent="0.2">
      <c r="A164" s="25">
        <v>23</v>
      </c>
      <c r="B164" s="16" t="s">
        <v>309</v>
      </c>
      <c r="C164" s="10" t="s">
        <v>308</v>
      </c>
      <c r="D164" s="13" t="s">
        <v>96</v>
      </c>
      <c r="E164" s="665">
        <v>315849</v>
      </c>
      <c r="F164" s="656">
        <f t="shared" si="7"/>
        <v>157924.5</v>
      </c>
    </row>
    <row r="165" spans="1:6" ht="20.100000000000001" customHeight="1" x14ac:dyDescent="0.2">
      <c r="A165" s="25">
        <v>24</v>
      </c>
      <c r="B165" s="16" t="s">
        <v>312</v>
      </c>
      <c r="C165" s="10" t="s">
        <v>313</v>
      </c>
      <c r="D165" s="13" t="s">
        <v>105</v>
      </c>
      <c r="E165" s="655">
        <v>274459.75</v>
      </c>
      <c r="F165" s="656">
        <f t="shared" si="7"/>
        <v>137229.875</v>
      </c>
    </row>
    <row r="166" spans="1:6" ht="20.100000000000001" customHeight="1" x14ac:dyDescent="0.2">
      <c r="A166" s="25">
        <v>25</v>
      </c>
      <c r="B166" s="16" t="s">
        <v>314</v>
      </c>
      <c r="C166" s="10" t="s">
        <v>315</v>
      </c>
      <c r="D166" s="13" t="s">
        <v>105</v>
      </c>
      <c r="E166" s="655">
        <v>274459.75</v>
      </c>
      <c r="F166" s="656">
        <f t="shared" si="7"/>
        <v>137229.875</v>
      </c>
    </row>
    <row r="167" spans="1:6" ht="20.100000000000001" customHeight="1" x14ac:dyDescent="0.2">
      <c r="A167" s="25">
        <v>26</v>
      </c>
      <c r="B167" s="16" t="s">
        <v>316</v>
      </c>
      <c r="C167" s="10" t="s">
        <v>317</v>
      </c>
      <c r="D167" s="13" t="s">
        <v>105</v>
      </c>
      <c r="E167" s="655">
        <v>274459.75</v>
      </c>
      <c r="F167" s="656">
        <f t="shared" si="7"/>
        <v>137229.875</v>
      </c>
    </row>
    <row r="168" spans="1:6" ht="20.100000000000001" customHeight="1" x14ac:dyDescent="0.2">
      <c r="A168" s="25">
        <v>27</v>
      </c>
      <c r="B168" s="16" t="s">
        <v>318</v>
      </c>
      <c r="C168" s="10" t="s">
        <v>319</v>
      </c>
      <c r="D168" s="13" t="s">
        <v>102</v>
      </c>
      <c r="E168" s="655">
        <v>280631.91666666698</v>
      </c>
      <c r="F168" s="656">
        <f t="shared" si="7"/>
        <v>140315.95833333299</v>
      </c>
    </row>
    <row r="169" spans="1:6" ht="20.100000000000001" customHeight="1" x14ac:dyDescent="0.2">
      <c r="A169" s="25">
        <v>28</v>
      </c>
      <c r="B169" s="16" t="s">
        <v>320</v>
      </c>
      <c r="C169" s="10" t="s">
        <v>315</v>
      </c>
      <c r="D169" s="13" t="s">
        <v>105</v>
      </c>
      <c r="E169" s="655">
        <v>274459.75</v>
      </c>
      <c r="F169" s="656">
        <f t="shared" si="7"/>
        <v>137229.875</v>
      </c>
    </row>
    <row r="170" spans="1:6" ht="20.100000000000001" customHeight="1" x14ac:dyDescent="0.2">
      <c r="A170" s="25">
        <v>29</v>
      </c>
      <c r="B170" s="16" t="s">
        <v>321</v>
      </c>
      <c r="C170" s="10" t="s">
        <v>322</v>
      </c>
      <c r="D170" s="13" t="s">
        <v>108</v>
      </c>
      <c r="E170" s="657">
        <v>268287.58333333302</v>
      </c>
      <c r="F170" s="656">
        <f t="shared" si="7"/>
        <v>134143.79166666701</v>
      </c>
    </row>
    <row r="171" spans="1:6" ht="20.100000000000001" customHeight="1" x14ac:dyDescent="0.2">
      <c r="A171" s="25">
        <v>30</v>
      </c>
      <c r="B171" s="16" t="s">
        <v>323</v>
      </c>
      <c r="C171" s="10" t="s">
        <v>322</v>
      </c>
      <c r="D171" s="13" t="s">
        <v>108</v>
      </c>
      <c r="E171" s="657">
        <v>268287.58333333302</v>
      </c>
      <c r="F171" s="656">
        <f t="shared" si="7"/>
        <v>134143.79166666701</v>
      </c>
    </row>
    <row r="172" spans="1:6" ht="20.100000000000001" customHeight="1" x14ac:dyDescent="0.2">
      <c r="A172" s="25">
        <v>31</v>
      </c>
      <c r="B172" s="9" t="s">
        <v>329</v>
      </c>
      <c r="C172" s="10" t="s">
        <v>330</v>
      </c>
      <c r="D172" s="13" t="s">
        <v>337</v>
      </c>
      <c r="E172" s="657">
        <v>202598.16666666701</v>
      </c>
      <c r="F172" s="656">
        <f t="shared" si="7"/>
        <v>101299.083333334</v>
      </c>
    </row>
    <row r="173" spans="1:6" ht="20.100000000000001" customHeight="1" x14ac:dyDescent="0.2">
      <c r="A173" s="25">
        <v>32</v>
      </c>
      <c r="B173" s="9" t="s">
        <v>332</v>
      </c>
      <c r="C173" s="10" t="s">
        <v>330</v>
      </c>
      <c r="D173" s="13" t="s">
        <v>337</v>
      </c>
      <c r="E173" s="657">
        <v>205598.16666666701</v>
      </c>
      <c r="F173" s="656">
        <f t="shared" si="7"/>
        <v>102799.083333334</v>
      </c>
    </row>
    <row r="174" spans="1:6" ht="20.100000000000001" customHeight="1" x14ac:dyDescent="0.2">
      <c r="A174" s="25">
        <v>33</v>
      </c>
      <c r="B174" s="9" t="s">
        <v>333</v>
      </c>
      <c r="C174" s="10" t="s">
        <v>330</v>
      </c>
      <c r="D174" s="13" t="s">
        <v>337</v>
      </c>
      <c r="E174" s="657">
        <v>202598.16666666701</v>
      </c>
      <c r="F174" s="656">
        <f t="shared" si="7"/>
        <v>101299.083333334</v>
      </c>
    </row>
    <row r="175" spans="1:6" ht="20.100000000000001" customHeight="1" x14ac:dyDescent="0.2">
      <c r="A175" s="25">
        <v>34</v>
      </c>
      <c r="B175" s="9" t="s">
        <v>334</v>
      </c>
      <c r="C175" s="10" t="s">
        <v>330</v>
      </c>
      <c r="D175" s="13" t="s">
        <v>337</v>
      </c>
      <c r="E175" s="657">
        <v>202598.16666666701</v>
      </c>
      <c r="F175" s="656">
        <f t="shared" ref="F175:F203" si="8">E175/2</f>
        <v>101299.083333334</v>
      </c>
    </row>
    <row r="176" spans="1:6" ht="20.100000000000001" customHeight="1" x14ac:dyDescent="0.2">
      <c r="A176" s="25">
        <v>35</v>
      </c>
      <c r="B176" s="9" t="s">
        <v>335</v>
      </c>
      <c r="C176" s="10" t="s">
        <v>330</v>
      </c>
      <c r="D176" s="13" t="s">
        <v>337</v>
      </c>
      <c r="E176" s="657">
        <v>202598.16666666701</v>
      </c>
      <c r="F176" s="656">
        <f t="shared" si="8"/>
        <v>101299.083333334</v>
      </c>
    </row>
    <row r="177" spans="1:6" ht="20.100000000000001" customHeight="1" x14ac:dyDescent="0.2">
      <c r="A177" s="25">
        <v>36</v>
      </c>
      <c r="B177" s="9" t="s">
        <v>336</v>
      </c>
      <c r="C177" s="10" t="s">
        <v>330</v>
      </c>
      <c r="D177" s="13" t="s">
        <v>348</v>
      </c>
      <c r="E177" s="657">
        <v>200336.83333333299</v>
      </c>
      <c r="F177" s="656">
        <f t="shared" si="8"/>
        <v>100168.416666666</v>
      </c>
    </row>
    <row r="178" spans="1:6" ht="20.100000000000001" customHeight="1" x14ac:dyDescent="0.2">
      <c r="A178" s="25">
        <v>37</v>
      </c>
      <c r="B178" s="9" t="s">
        <v>338</v>
      </c>
      <c r="C178" s="10" t="s">
        <v>330</v>
      </c>
      <c r="D178" s="13" t="s">
        <v>348</v>
      </c>
      <c r="E178" s="657">
        <v>197336.83333333299</v>
      </c>
      <c r="F178" s="656">
        <f t="shared" si="8"/>
        <v>98668.416666666497</v>
      </c>
    </row>
    <row r="179" spans="1:6" ht="20.100000000000001" customHeight="1" x14ac:dyDescent="0.2">
      <c r="A179" s="25">
        <v>38</v>
      </c>
      <c r="B179" s="12" t="s">
        <v>339</v>
      </c>
      <c r="C179" s="10" t="s">
        <v>330</v>
      </c>
      <c r="D179" s="13" t="s">
        <v>348</v>
      </c>
      <c r="E179" s="657">
        <v>200336.83333333299</v>
      </c>
      <c r="F179" s="656">
        <f t="shared" si="8"/>
        <v>100168.416666666</v>
      </c>
    </row>
    <row r="180" spans="1:6" ht="20.100000000000001" customHeight="1" x14ac:dyDescent="0.2">
      <c r="A180" s="25">
        <v>39</v>
      </c>
      <c r="B180" s="9" t="s">
        <v>340</v>
      </c>
      <c r="C180" s="10" t="s">
        <v>330</v>
      </c>
      <c r="D180" s="13" t="s">
        <v>348</v>
      </c>
      <c r="E180" s="657">
        <v>197336.83333333299</v>
      </c>
      <c r="F180" s="656">
        <f t="shared" si="8"/>
        <v>98668.416666666497</v>
      </c>
    </row>
    <row r="181" spans="1:6" ht="20.100000000000001" customHeight="1" x14ac:dyDescent="0.2">
      <c r="A181" s="25">
        <v>40</v>
      </c>
      <c r="B181" s="16" t="s">
        <v>341</v>
      </c>
      <c r="C181" s="10" t="s">
        <v>330</v>
      </c>
      <c r="D181" s="13" t="s">
        <v>348</v>
      </c>
      <c r="E181" s="657">
        <v>197336.83333333299</v>
      </c>
      <c r="F181" s="656">
        <f t="shared" si="8"/>
        <v>98668.416666666497</v>
      </c>
    </row>
    <row r="182" spans="1:6" ht="20.100000000000001" customHeight="1" x14ac:dyDescent="0.2">
      <c r="A182" s="25">
        <v>41</v>
      </c>
      <c r="B182" s="16" t="s">
        <v>342</v>
      </c>
      <c r="C182" s="10" t="s">
        <v>330</v>
      </c>
      <c r="D182" s="13" t="s">
        <v>348</v>
      </c>
      <c r="E182" s="657">
        <v>200336.83333333299</v>
      </c>
      <c r="F182" s="656">
        <f t="shared" si="8"/>
        <v>100168.416666666</v>
      </c>
    </row>
    <row r="183" spans="1:6" ht="20.100000000000001" customHeight="1" x14ac:dyDescent="0.2">
      <c r="A183" s="25">
        <v>42</v>
      </c>
      <c r="B183" s="9" t="s">
        <v>343</v>
      </c>
      <c r="C183" s="10" t="s">
        <v>344</v>
      </c>
      <c r="D183" s="13" t="s">
        <v>351</v>
      </c>
      <c r="E183" s="655">
        <v>189814.16666666701</v>
      </c>
      <c r="F183" s="656">
        <f t="shared" si="8"/>
        <v>94907.083333333503</v>
      </c>
    </row>
    <row r="184" spans="1:6" ht="20.100000000000001" customHeight="1" x14ac:dyDescent="0.2">
      <c r="A184" s="25">
        <v>43</v>
      </c>
      <c r="B184" s="9" t="s">
        <v>346</v>
      </c>
      <c r="C184" s="10" t="s">
        <v>344</v>
      </c>
      <c r="D184" s="13" t="s">
        <v>351</v>
      </c>
      <c r="E184" s="655">
        <v>189814.16666666701</v>
      </c>
      <c r="F184" s="656">
        <f t="shared" si="8"/>
        <v>94907.083333333503</v>
      </c>
    </row>
    <row r="185" spans="1:6" ht="20.100000000000001" customHeight="1" x14ac:dyDescent="0.2">
      <c r="A185" s="25">
        <v>44</v>
      </c>
      <c r="B185" s="16" t="s">
        <v>347</v>
      </c>
      <c r="C185" s="10" t="s">
        <v>344</v>
      </c>
      <c r="D185" s="13" t="s">
        <v>345</v>
      </c>
      <c r="E185" s="655">
        <v>195075.5</v>
      </c>
      <c r="F185" s="656">
        <f t="shared" si="8"/>
        <v>97537.75</v>
      </c>
    </row>
    <row r="186" spans="1:6" ht="20.100000000000001" customHeight="1" x14ac:dyDescent="0.2">
      <c r="A186" s="25">
        <v>45</v>
      </c>
      <c r="B186" s="9" t="s">
        <v>349</v>
      </c>
      <c r="C186" s="10" t="s">
        <v>344</v>
      </c>
      <c r="D186" s="13" t="s">
        <v>351</v>
      </c>
      <c r="E186" s="655">
        <v>189814.16666666701</v>
      </c>
      <c r="F186" s="656">
        <f t="shared" si="8"/>
        <v>94907.083333333503</v>
      </c>
    </row>
    <row r="187" spans="1:6" ht="20.100000000000001" customHeight="1" x14ac:dyDescent="0.2">
      <c r="A187" s="25">
        <v>46</v>
      </c>
      <c r="B187" s="9" t="s">
        <v>352</v>
      </c>
      <c r="C187" s="10" t="s">
        <v>353</v>
      </c>
      <c r="D187" s="13" t="s">
        <v>364</v>
      </c>
      <c r="E187" s="655">
        <v>118598</v>
      </c>
      <c r="F187" s="656">
        <f t="shared" si="8"/>
        <v>59299</v>
      </c>
    </row>
    <row r="188" spans="1:6" ht="20.100000000000001" customHeight="1" x14ac:dyDescent="0.2">
      <c r="A188" s="25">
        <v>47</v>
      </c>
      <c r="B188" s="9" t="s">
        <v>355</v>
      </c>
      <c r="C188" s="10" t="s">
        <v>353</v>
      </c>
      <c r="D188" s="13" t="s">
        <v>364</v>
      </c>
      <c r="E188" s="655">
        <v>115598</v>
      </c>
      <c r="F188" s="656">
        <f t="shared" si="8"/>
        <v>57799</v>
      </c>
    </row>
    <row r="189" spans="1:6" ht="20.100000000000001" customHeight="1" x14ac:dyDescent="0.2">
      <c r="A189" s="25">
        <v>48</v>
      </c>
      <c r="B189" s="9" t="s">
        <v>356</v>
      </c>
      <c r="C189" s="10" t="s">
        <v>353</v>
      </c>
      <c r="D189" s="13" t="s">
        <v>364</v>
      </c>
      <c r="E189" s="655">
        <v>118598</v>
      </c>
      <c r="F189" s="656">
        <f t="shared" si="8"/>
        <v>59299</v>
      </c>
    </row>
    <row r="190" spans="1:6" ht="20.100000000000001" customHeight="1" x14ac:dyDescent="0.2">
      <c r="A190" s="25">
        <v>49</v>
      </c>
      <c r="B190" s="9" t="s">
        <v>357</v>
      </c>
      <c r="C190" s="10" t="s">
        <v>353</v>
      </c>
      <c r="D190" s="13" t="s">
        <v>364</v>
      </c>
      <c r="E190" s="655">
        <v>115598</v>
      </c>
      <c r="F190" s="656">
        <f t="shared" si="8"/>
        <v>57799</v>
      </c>
    </row>
    <row r="191" spans="1:6" ht="20.100000000000001" customHeight="1" x14ac:dyDescent="0.2">
      <c r="A191" s="25">
        <v>50</v>
      </c>
      <c r="B191" s="9" t="s">
        <v>358</v>
      </c>
      <c r="C191" s="10" t="s">
        <v>353</v>
      </c>
      <c r="D191" s="13" t="s">
        <v>364</v>
      </c>
      <c r="E191" s="655">
        <v>118598</v>
      </c>
      <c r="F191" s="656">
        <f t="shared" si="8"/>
        <v>59299</v>
      </c>
    </row>
    <row r="192" spans="1:6" ht="20.100000000000001" customHeight="1" x14ac:dyDescent="0.2">
      <c r="A192" s="25">
        <v>51</v>
      </c>
      <c r="B192" s="16" t="s">
        <v>359</v>
      </c>
      <c r="C192" s="10" t="s">
        <v>353</v>
      </c>
      <c r="D192" s="13" t="s">
        <v>364</v>
      </c>
      <c r="E192" s="655">
        <v>115598</v>
      </c>
      <c r="F192" s="656">
        <f t="shared" si="8"/>
        <v>57799</v>
      </c>
    </row>
    <row r="193" spans="1:6" ht="20.100000000000001" customHeight="1" x14ac:dyDescent="0.2">
      <c r="A193" s="25">
        <v>52</v>
      </c>
      <c r="B193" s="16" t="s">
        <v>360</v>
      </c>
      <c r="C193" s="10" t="s">
        <v>353</v>
      </c>
      <c r="D193" s="13" t="s">
        <v>364</v>
      </c>
      <c r="E193" s="655">
        <v>118598</v>
      </c>
      <c r="F193" s="656">
        <f t="shared" si="8"/>
        <v>59299</v>
      </c>
    </row>
    <row r="194" spans="1:6" ht="20.100000000000001" customHeight="1" x14ac:dyDescent="0.2">
      <c r="A194" s="25">
        <v>53</v>
      </c>
      <c r="B194" s="9" t="s">
        <v>493</v>
      </c>
      <c r="C194" s="10" t="s">
        <v>350</v>
      </c>
      <c r="D194" s="13" t="s">
        <v>364</v>
      </c>
      <c r="E194" s="655">
        <v>118598</v>
      </c>
      <c r="F194" s="656">
        <f t="shared" si="8"/>
        <v>59299</v>
      </c>
    </row>
    <row r="195" spans="1:6" ht="20.100000000000001" customHeight="1" x14ac:dyDescent="0.2">
      <c r="A195" s="25">
        <v>54</v>
      </c>
      <c r="B195" s="9" t="s">
        <v>361</v>
      </c>
      <c r="C195" s="10" t="s">
        <v>350</v>
      </c>
      <c r="D195" s="13" t="s">
        <v>364</v>
      </c>
      <c r="E195" s="655">
        <v>118598</v>
      </c>
      <c r="F195" s="656">
        <f t="shared" si="8"/>
        <v>59299</v>
      </c>
    </row>
    <row r="196" spans="1:6" ht="20.100000000000001" customHeight="1" x14ac:dyDescent="0.2">
      <c r="A196" s="25">
        <v>55</v>
      </c>
      <c r="B196" s="16" t="s">
        <v>362</v>
      </c>
      <c r="C196" s="10" t="s">
        <v>363</v>
      </c>
      <c r="D196" s="13" t="s">
        <v>376</v>
      </c>
      <c r="E196" s="655">
        <v>116050.25</v>
      </c>
      <c r="F196" s="656">
        <f t="shared" si="8"/>
        <v>58025.125</v>
      </c>
    </row>
    <row r="197" spans="1:6" ht="20.100000000000001" customHeight="1" x14ac:dyDescent="0.2">
      <c r="A197" s="25">
        <v>56</v>
      </c>
      <c r="B197" s="16" t="s">
        <v>365</v>
      </c>
      <c r="C197" s="10" t="s">
        <v>363</v>
      </c>
      <c r="D197" s="13" t="s">
        <v>368</v>
      </c>
      <c r="E197" s="655">
        <v>322950.32258064498</v>
      </c>
      <c r="F197" s="656">
        <f t="shared" si="8"/>
        <v>161475.16129032199</v>
      </c>
    </row>
    <row r="198" spans="1:6" ht="20.100000000000001" customHeight="1" x14ac:dyDescent="0.2">
      <c r="A198" s="25">
        <v>57</v>
      </c>
      <c r="B198" s="16" t="s">
        <v>367</v>
      </c>
      <c r="C198" s="10" t="s">
        <v>344</v>
      </c>
      <c r="D198" s="13" t="s">
        <v>351</v>
      </c>
      <c r="E198" s="655">
        <v>174814.16666666701</v>
      </c>
      <c r="F198" s="656">
        <f t="shared" si="8"/>
        <v>87407.083333333503</v>
      </c>
    </row>
    <row r="199" spans="1:6" ht="20.100000000000001" customHeight="1" x14ac:dyDescent="0.2">
      <c r="A199" s="25">
        <v>58</v>
      </c>
      <c r="B199" s="16" t="s">
        <v>369</v>
      </c>
      <c r="C199" s="10" t="s">
        <v>370</v>
      </c>
      <c r="D199" s="13" t="s">
        <v>568</v>
      </c>
      <c r="E199" s="655">
        <v>95540.75</v>
      </c>
      <c r="F199" s="656">
        <f t="shared" si="8"/>
        <v>47770.375</v>
      </c>
    </row>
    <row r="200" spans="1:6" ht="20.100000000000001" customHeight="1" x14ac:dyDescent="0.2">
      <c r="A200" s="25">
        <v>59</v>
      </c>
      <c r="B200" s="16" t="s">
        <v>372</v>
      </c>
      <c r="C200" s="10" t="s">
        <v>370</v>
      </c>
      <c r="D200" s="13" t="s">
        <v>568</v>
      </c>
      <c r="E200" s="655">
        <v>95540.75</v>
      </c>
      <c r="F200" s="656">
        <f t="shared" si="8"/>
        <v>47770.375</v>
      </c>
    </row>
    <row r="201" spans="1:6" ht="20.100000000000001" customHeight="1" x14ac:dyDescent="0.2">
      <c r="A201" s="25">
        <v>60</v>
      </c>
      <c r="B201" s="16" t="s">
        <v>373</v>
      </c>
      <c r="C201" s="10" t="s">
        <v>370</v>
      </c>
      <c r="D201" s="13" t="s">
        <v>568</v>
      </c>
      <c r="E201" s="655">
        <v>95540.75</v>
      </c>
      <c r="F201" s="656">
        <f t="shared" si="8"/>
        <v>47770.375</v>
      </c>
    </row>
    <row r="202" spans="1:6" ht="20.100000000000001" customHeight="1" x14ac:dyDescent="0.2">
      <c r="A202" s="25">
        <v>61</v>
      </c>
      <c r="B202" s="16" t="s">
        <v>374</v>
      </c>
      <c r="C202" s="10" t="s">
        <v>375</v>
      </c>
      <c r="D202" s="13" t="s">
        <v>366</v>
      </c>
      <c r="E202" s="655">
        <v>108502.5</v>
      </c>
      <c r="F202" s="656">
        <f t="shared" si="8"/>
        <v>54251.25</v>
      </c>
    </row>
    <row r="203" spans="1:6" ht="20.100000000000001" customHeight="1" x14ac:dyDescent="0.2">
      <c r="A203" s="25">
        <v>62</v>
      </c>
      <c r="B203" s="16" t="s">
        <v>377</v>
      </c>
      <c r="C203" s="10" t="s">
        <v>375</v>
      </c>
      <c r="D203" s="13" t="s">
        <v>366</v>
      </c>
      <c r="E203" s="655">
        <v>108502.5</v>
      </c>
      <c r="F203" s="656">
        <f t="shared" si="8"/>
        <v>54251.25</v>
      </c>
    </row>
    <row r="204" spans="1:6" ht="30.75" customHeight="1" x14ac:dyDescent="0.5">
      <c r="A204" s="25"/>
      <c r="B204" s="6" t="s">
        <v>111</v>
      </c>
      <c r="C204" s="26" t="s">
        <v>724</v>
      </c>
      <c r="D204" s="27"/>
      <c r="E204" s="660">
        <v>18551927.822580699</v>
      </c>
      <c r="F204" s="661">
        <f>SUM(F142:F203)</f>
        <v>9275963.9112903308</v>
      </c>
    </row>
    <row r="205" spans="1:6" ht="47.1" customHeight="1" x14ac:dyDescent="0.2">
      <c r="A205" s="2"/>
      <c r="B205" s="28" t="s">
        <v>379</v>
      </c>
      <c r="C205" s="29">
        <f>C38+C45+C58+C63+C75+C84+C97+C104+C114+C126+C139+C204</f>
        <v>160</v>
      </c>
      <c r="D205" s="30"/>
      <c r="E205" s="670">
        <v>79274722.042018995</v>
      </c>
      <c r="F205" s="671">
        <f>F204+F139+F126+F120+F114+F104+F97+F84+F75+F63+F58+F45+F38</f>
        <v>40610914.229342803</v>
      </c>
    </row>
    <row r="206" spans="1:6" ht="38.25" customHeight="1" x14ac:dyDescent="0.2">
      <c r="B206" s="31"/>
      <c r="D206" s="32"/>
      <c r="E206" s="32"/>
      <c r="F206" s="32"/>
    </row>
    <row r="207" spans="1:6" ht="36.75" customHeight="1" x14ac:dyDescent="0.2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9"/>
  <sheetViews>
    <sheetView workbookViewId="0">
      <selection activeCell="E7" sqref="E7"/>
    </sheetView>
  </sheetViews>
  <sheetFormatPr defaultColWidth="8.76171875" defaultRowHeight="12.75" x14ac:dyDescent="0.15"/>
  <cols>
    <col min="1" max="1" width="3.640625" customWidth="1"/>
    <col min="2" max="2" width="31.1484375" customWidth="1"/>
    <col min="3" max="3" width="18.609375" customWidth="1"/>
  </cols>
  <sheetData>
    <row r="1" spans="1:4" ht="32.1" customHeight="1" x14ac:dyDescent="0.2">
      <c r="A1" s="961" t="s">
        <v>728</v>
      </c>
      <c r="B1" s="961"/>
      <c r="C1" s="961"/>
    </row>
    <row r="2" spans="1:4" ht="30" customHeight="1" x14ac:dyDescent="0.2">
      <c r="A2" s="44">
        <v>1</v>
      </c>
      <c r="B2" s="44" t="s">
        <v>640</v>
      </c>
      <c r="C2" s="126">
        <f>'Staff Bonus'!F205</f>
        <v>40610914.229342803</v>
      </c>
      <c r="D2" s="44"/>
    </row>
    <row r="3" spans="1:4" ht="30" customHeight="1" x14ac:dyDescent="0.2">
      <c r="A3" s="44">
        <v>2</v>
      </c>
      <c r="B3" s="44" t="s">
        <v>641</v>
      </c>
      <c r="C3" s="126">
        <f>'[9]NEW STAFF BONUS'!$F$57</f>
        <v>3962895.7466666698</v>
      </c>
      <c r="D3" s="44"/>
    </row>
    <row r="4" spans="1:4" ht="30" customHeight="1" x14ac:dyDescent="0.2">
      <c r="A4" s="44">
        <v>3</v>
      </c>
      <c r="B4" s="44" t="s">
        <v>642</v>
      </c>
      <c r="C4" s="126">
        <f>'[10]BONUS CONTRACT'!$F$21</f>
        <v>4618070.6766666695</v>
      </c>
      <c r="D4" s="44"/>
    </row>
    <row r="5" spans="1:4" ht="30" customHeight="1" x14ac:dyDescent="0.2">
      <c r="A5" s="44">
        <v>4</v>
      </c>
      <c r="B5" s="44" t="s">
        <v>643</v>
      </c>
      <c r="C5" s="126">
        <f>'[10]NEW CONTR BONUS'!$F$30</f>
        <v>4681559.7683333298</v>
      </c>
      <c r="D5" s="44"/>
    </row>
    <row r="6" spans="1:4" ht="30" customHeight="1" x14ac:dyDescent="0.2">
      <c r="A6" s="44">
        <v>5</v>
      </c>
      <c r="B6" s="44" t="s">
        <v>644</v>
      </c>
      <c r="C6" s="126">
        <f>'[10]CAS. SABB. NYSC BONUS'!$E$67</f>
        <v>4877192.3733333303</v>
      </c>
      <c r="D6" s="44"/>
    </row>
    <row r="7" spans="1:4" ht="30" customHeight="1" x14ac:dyDescent="0.2">
      <c r="A7" s="44">
        <v>6</v>
      </c>
      <c r="B7" s="44" t="s">
        <v>729</v>
      </c>
      <c r="C7" s="648">
        <f>'[10]CONSULTANCY BONUS'!$E$28</f>
        <v>2750000</v>
      </c>
      <c r="D7" s="44"/>
    </row>
    <row r="8" spans="1:4" ht="30" customHeight="1" x14ac:dyDescent="0.2">
      <c r="A8" s="44"/>
      <c r="B8" s="224" t="s">
        <v>647</v>
      </c>
      <c r="C8" s="649">
        <f>SUM(C2:C7)</f>
        <v>61500632.794342801</v>
      </c>
      <c r="D8" s="44"/>
    </row>
    <row r="9" spans="1:4" ht="18" x14ac:dyDescent="0.2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E196"/>
  <sheetViews>
    <sheetView topLeftCell="A4" workbookViewId="0">
      <selection activeCell="B55" sqref="B55"/>
    </sheetView>
  </sheetViews>
  <sheetFormatPr defaultColWidth="9.16796875" defaultRowHeight="12.75" x14ac:dyDescent="0.15"/>
  <cols>
    <col min="1" max="1" width="6.875" style="259" customWidth="1"/>
    <col min="2" max="2" width="39.1054687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259" customWidth="1"/>
    <col min="27" max="27" width="16.31640625" style="259" customWidth="1"/>
    <col min="28" max="28" width="14.6953125" style="259" customWidth="1"/>
    <col min="29" max="29" width="27.375" style="259" customWidth="1"/>
    <col min="30" max="16384" width="9.16796875" style="259"/>
  </cols>
  <sheetData>
    <row r="1" spans="1:31" ht="13.5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t="13.5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t="13.5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" x14ac:dyDescent="0.2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1.5" x14ac:dyDescent="0.2">
      <c r="A6" s="421">
        <v>3</v>
      </c>
      <c r="B6" s="9" t="s">
        <v>23</v>
      </c>
      <c r="C6" s="422">
        <v>967493.08349999995</v>
      </c>
      <c r="D6" s="423">
        <v>12</v>
      </c>
      <c r="E6" s="424">
        <f t="shared" ref="E6:E36" si="0">C6*D6</f>
        <v>11609917.002</v>
      </c>
      <c r="F6" s="424"/>
      <c r="G6" s="424"/>
      <c r="H6" s="424"/>
      <c r="I6" s="424">
        <f t="shared" ref="I6:I36" si="1">E6-F6-G6-H6</f>
        <v>11609917.002</v>
      </c>
      <c r="J6" s="424">
        <v>200000</v>
      </c>
      <c r="K6" s="424">
        <v>0.2</v>
      </c>
      <c r="L6" s="424">
        <f t="shared" ref="L6:L36" si="2">I6*K6</f>
        <v>2321983.4004000002</v>
      </c>
      <c r="M6" s="424">
        <f t="shared" ref="M6:M36" si="3">J6+L6</f>
        <v>2521983.4004000002</v>
      </c>
      <c r="N6" s="424">
        <f t="shared" ref="N6:N36" si="4">F6+G6+H6+M6</f>
        <v>2521983.4004000002</v>
      </c>
      <c r="O6" s="424">
        <f t="shared" ref="O6:O36" si="5">E6-N6</f>
        <v>9087933.6016000006</v>
      </c>
      <c r="P6" s="424">
        <f t="shared" ref="P6:P36" si="6">IF(O6&lt;300000,0.07*O6,21000)</f>
        <v>21000</v>
      </c>
      <c r="Q6" s="424">
        <f t="shared" ref="Q6:Q36" si="7">IF((O6-300000)&lt;0,0,IF((O6-300000)&lt;300000,0.11*(O6-300000),33000))</f>
        <v>33000</v>
      </c>
      <c r="R6" s="424">
        <f t="shared" ref="R6:R36" si="8">IF((O6-600000)&lt;0,0,IF((O6-600000)&lt;500000,0.15*(O6-600000),75000))</f>
        <v>75000</v>
      </c>
      <c r="S6" s="424">
        <f t="shared" ref="S6:S36" si="9">IF((O6-1100000)&lt;0,0,IF((O6-1100000)&lt;500000,0.19*(O6-1100000),95000))</f>
        <v>95000</v>
      </c>
      <c r="T6" s="424">
        <f t="shared" ref="T6:T36" si="10">IF((O6-1600000)&lt;0,0,IF((O6-1600000)&lt;1600000,0.21*(O6-1600000),336000))</f>
        <v>336000</v>
      </c>
      <c r="U6" s="424">
        <f t="shared" ref="U6:U15" si="11">24%*(O6-3200000)</f>
        <v>1413104.0643839999</v>
      </c>
      <c r="V6" s="424">
        <f t="shared" ref="V6:V36" si="12">P6+Q6+R6+S6+T6+U6</f>
        <v>1973104.0643839999</v>
      </c>
      <c r="W6" s="431">
        <v>12</v>
      </c>
      <c r="X6" s="424">
        <f t="shared" ref="X6:X36" si="13">V6/W6</f>
        <v>164425.33869866701</v>
      </c>
      <c r="Y6" s="424"/>
      <c r="Z6" s="424">
        <f t="shared" ref="Z6:Z36" si="14">X6</f>
        <v>164425.33869866701</v>
      </c>
      <c r="AA6" s="436">
        <v>201165.83594666701</v>
      </c>
      <c r="AB6" s="436">
        <f t="shared" ref="AB6:AB32" si="15">Z6-AA6</f>
        <v>-36740.497248000298</v>
      </c>
      <c r="AC6" s="436"/>
      <c r="AD6" s="436"/>
      <c r="AE6" s="436"/>
    </row>
    <row r="7" spans="1:31" ht="18" x14ac:dyDescent="0.15">
      <c r="A7" s="421">
        <v>4</v>
      </c>
      <c r="B7" s="9" t="s">
        <v>26</v>
      </c>
      <c r="C7" s="422">
        <v>476186.58333333302</v>
      </c>
      <c r="D7" s="423">
        <v>12</v>
      </c>
      <c r="E7" s="424">
        <f t="shared" si="0"/>
        <v>5714239</v>
      </c>
      <c r="F7" s="424"/>
      <c r="G7" s="424">
        <v>731878.24</v>
      </c>
      <c r="H7" s="424"/>
      <c r="I7" s="424">
        <f t="shared" si="1"/>
        <v>4982360.76</v>
      </c>
      <c r="J7" s="424">
        <v>200000</v>
      </c>
      <c r="K7" s="424">
        <v>0.2</v>
      </c>
      <c r="L7" s="424">
        <f t="shared" si="2"/>
        <v>996472.15199999895</v>
      </c>
      <c r="M7" s="424">
        <f t="shared" si="3"/>
        <v>1196472.152</v>
      </c>
      <c r="N7" s="424">
        <f t="shared" si="4"/>
        <v>1928350.392</v>
      </c>
      <c r="O7" s="424">
        <f t="shared" si="5"/>
        <v>3785888.608</v>
      </c>
      <c r="P7" s="424">
        <f t="shared" si="6"/>
        <v>21000</v>
      </c>
      <c r="Q7" s="424">
        <f t="shared" si="7"/>
        <v>33000</v>
      </c>
      <c r="R7" s="424">
        <f t="shared" si="8"/>
        <v>75000</v>
      </c>
      <c r="S7" s="424">
        <f t="shared" si="9"/>
        <v>95000</v>
      </c>
      <c r="T7" s="424">
        <f t="shared" si="10"/>
        <v>336000</v>
      </c>
      <c r="U7" s="424">
        <f t="shared" si="11"/>
        <v>140613.26591999899</v>
      </c>
      <c r="V7" s="424">
        <f t="shared" si="12"/>
        <v>700613.26591999899</v>
      </c>
      <c r="W7" s="431">
        <v>12</v>
      </c>
      <c r="X7" s="424">
        <f t="shared" si="13"/>
        <v>58384.438826666599</v>
      </c>
      <c r="Y7" s="424"/>
      <c r="Z7" s="424">
        <f t="shared" si="14"/>
        <v>58384.438826666599</v>
      </c>
      <c r="AA7" s="436">
        <v>82627.951418666693</v>
      </c>
      <c r="AB7" s="436">
        <f t="shared" si="15"/>
        <v>-24243.512592000101</v>
      </c>
      <c r="AC7" s="436"/>
      <c r="AD7" s="436"/>
      <c r="AE7" s="436"/>
    </row>
    <row r="8" spans="1:31" ht="18" x14ac:dyDescent="0.15">
      <c r="A8" s="421">
        <v>5</v>
      </c>
      <c r="B8" s="12" t="s">
        <v>29</v>
      </c>
      <c r="C8" s="422">
        <v>576186.58333333302</v>
      </c>
      <c r="D8" s="423">
        <v>12</v>
      </c>
      <c r="E8" s="424">
        <f t="shared" si="0"/>
        <v>6914239</v>
      </c>
      <c r="F8" s="424"/>
      <c r="G8" s="424">
        <v>0</v>
      </c>
      <c r="H8" s="424"/>
      <c r="I8" s="424">
        <f t="shared" si="1"/>
        <v>6914239</v>
      </c>
      <c r="J8" s="424">
        <v>200000</v>
      </c>
      <c r="K8" s="424">
        <v>0.2</v>
      </c>
      <c r="L8" s="424">
        <f t="shared" si="2"/>
        <v>1382847.8</v>
      </c>
      <c r="M8" s="424">
        <f t="shared" si="3"/>
        <v>1582847.8</v>
      </c>
      <c r="N8" s="424">
        <f t="shared" si="4"/>
        <v>1582847.8</v>
      </c>
      <c r="O8" s="424">
        <f t="shared" si="5"/>
        <v>5331391.2</v>
      </c>
      <c r="P8" s="424">
        <f t="shared" si="6"/>
        <v>21000</v>
      </c>
      <c r="Q8" s="424">
        <f t="shared" si="7"/>
        <v>33000</v>
      </c>
      <c r="R8" s="424">
        <f t="shared" si="8"/>
        <v>75000</v>
      </c>
      <c r="S8" s="424">
        <f t="shared" si="9"/>
        <v>95000</v>
      </c>
      <c r="T8" s="424">
        <f t="shared" si="10"/>
        <v>336000</v>
      </c>
      <c r="U8" s="424">
        <f t="shared" si="11"/>
        <v>511533.88799999899</v>
      </c>
      <c r="V8" s="424">
        <f t="shared" si="12"/>
        <v>1071533.888</v>
      </c>
      <c r="W8" s="431">
        <v>12</v>
      </c>
      <c r="X8" s="424">
        <f t="shared" si="13"/>
        <v>89294.490666666607</v>
      </c>
      <c r="Y8" s="424"/>
      <c r="Z8" s="424">
        <f t="shared" si="14"/>
        <v>89294.490666666607</v>
      </c>
      <c r="AA8" s="436">
        <v>121027.951418667</v>
      </c>
      <c r="AB8" s="436">
        <f t="shared" si="15"/>
        <v>-31733.460752000399</v>
      </c>
      <c r="AC8" s="436"/>
      <c r="AD8" s="436"/>
      <c r="AE8" s="436"/>
    </row>
    <row r="9" spans="1:31" ht="18" x14ac:dyDescent="0.15">
      <c r="A9" s="421">
        <v>6</v>
      </c>
      <c r="B9" s="9" t="s">
        <v>31</v>
      </c>
      <c r="C9" s="422">
        <v>471186.58333333302</v>
      </c>
      <c r="D9" s="423">
        <v>12</v>
      </c>
      <c r="E9" s="424">
        <f t="shared" si="0"/>
        <v>5654239</v>
      </c>
      <c r="F9" s="424">
        <f>'[8]JANUARY 2024'!$V$10*12</f>
        <v>12795.950999999999</v>
      </c>
      <c r="G9" s="424">
        <v>731878.24</v>
      </c>
      <c r="H9" s="424"/>
      <c r="I9" s="424">
        <f t="shared" si="1"/>
        <v>4909564.8090000004</v>
      </c>
      <c r="J9" s="424">
        <v>200000</v>
      </c>
      <c r="K9" s="424">
        <v>0.2</v>
      </c>
      <c r="L9" s="424">
        <f t="shared" si="2"/>
        <v>981912.961799999</v>
      </c>
      <c r="M9" s="424">
        <f t="shared" si="3"/>
        <v>1181912.9617999999</v>
      </c>
      <c r="N9" s="424">
        <f t="shared" si="4"/>
        <v>1926587.1528</v>
      </c>
      <c r="O9" s="424">
        <f t="shared" si="5"/>
        <v>3727651.8472000002</v>
      </c>
      <c r="P9" s="424">
        <f t="shared" si="6"/>
        <v>21000</v>
      </c>
      <c r="Q9" s="424">
        <f t="shared" si="7"/>
        <v>33000</v>
      </c>
      <c r="R9" s="424">
        <f t="shared" si="8"/>
        <v>75000</v>
      </c>
      <c r="S9" s="424">
        <f t="shared" si="9"/>
        <v>95000</v>
      </c>
      <c r="T9" s="424">
        <f t="shared" si="10"/>
        <v>336000</v>
      </c>
      <c r="U9" s="424">
        <f t="shared" si="11"/>
        <v>126636.443327999</v>
      </c>
      <c r="V9" s="424">
        <f t="shared" si="12"/>
        <v>686636.44332799898</v>
      </c>
      <c r="W9" s="431">
        <v>12</v>
      </c>
      <c r="X9" s="424">
        <f t="shared" si="13"/>
        <v>57219.703610666598</v>
      </c>
      <c r="Y9" s="424"/>
      <c r="Z9" s="424">
        <f t="shared" si="14"/>
        <v>57219.703610666598</v>
      </c>
      <c r="AA9" s="436">
        <v>99703.216202666707</v>
      </c>
      <c r="AB9" s="436">
        <f t="shared" si="15"/>
        <v>-42483.512592000101</v>
      </c>
      <c r="AC9" s="436"/>
      <c r="AD9" s="436"/>
      <c r="AE9" s="436"/>
    </row>
    <row r="10" spans="1:31" ht="18" x14ac:dyDescent="0.15">
      <c r="A10" s="421">
        <v>7</v>
      </c>
      <c r="B10" s="12" t="s">
        <v>271</v>
      </c>
      <c r="C10" s="422">
        <v>551186.58333333302</v>
      </c>
      <c r="D10" s="423">
        <v>12</v>
      </c>
      <c r="E10" s="424">
        <f t="shared" si="0"/>
        <v>6614239</v>
      </c>
      <c r="F10" s="424">
        <f>'[8]JANUARY 2024'!$V$10*12</f>
        <v>12795.950999999999</v>
      </c>
      <c r="G10" s="424">
        <v>731878.24</v>
      </c>
      <c r="H10" s="424"/>
      <c r="I10" s="424">
        <f t="shared" si="1"/>
        <v>5869564.8090000004</v>
      </c>
      <c r="J10" s="424">
        <v>200000</v>
      </c>
      <c r="K10" s="424">
        <v>0.2</v>
      </c>
      <c r="L10" s="424">
        <f t="shared" si="2"/>
        <v>1173912.9617999999</v>
      </c>
      <c r="M10" s="424">
        <f t="shared" si="3"/>
        <v>1373912.9617999999</v>
      </c>
      <c r="N10" s="424">
        <f t="shared" si="4"/>
        <v>2118587.1527999998</v>
      </c>
      <c r="O10" s="424">
        <f t="shared" si="5"/>
        <v>4495651.8471999997</v>
      </c>
      <c r="P10" s="424">
        <f t="shared" si="6"/>
        <v>21000</v>
      </c>
      <c r="Q10" s="424">
        <f t="shared" si="7"/>
        <v>33000</v>
      </c>
      <c r="R10" s="424">
        <f t="shared" si="8"/>
        <v>75000</v>
      </c>
      <c r="S10" s="424">
        <f t="shared" si="9"/>
        <v>95000</v>
      </c>
      <c r="T10" s="424">
        <f t="shared" si="10"/>
        <v>336000</v>
      </c>
      <c r="U10" s="424">
        <f t="shared" si="11"/>
        <v>310956.44332799898</v>
      </c>
      <c r="V10" s="424">
        <f t="shared" si="12"/>
        <v>870956.44332799898</v>
      </c>
      <c r="W10" s="431">
        <v>12</v>
      </c>
      <c r="X10" s="424">
        <f t="shared" si="13"/>
        <v>72579.703610666606</v>
      </c>
      <c r="Y10" s="424"/>
      <c r="Z10" s="424">
        <f t="shared" si="14"/>
        <v>72579.703610666606</v>
      </c>
      <c r="AA10" s="436">
        <v>111223.216202667</v>
      </c>
      <c r="AB10" s="436">
        <f t="shared" si="15"/>
        <v>-38643.512592000399</v>
      </c>
      <c r="AC10" s="436"/>
      <c r="AD10" s="436"/>
      <c r="AE10" s="436"/>
    </row>
    <row r="11" spans="1:31" ht="18" x14ac:dyDescent="0.15">
      <c r="A11" s="421">
        <v>8</v>
      </c>
      <c r="B11" s="9" t="s">
        <v>33</v>
      </c>
      <c r="C11" s="422">
        <v>375337.79166666698</v>
      </c>
      <c r="D11" s="423">
        <v>12</v>
      </c>
      <c r="E11" s="424">
        <f t="shared" si="0"/>
        <v>4504053.5</v>
      </c>
      <c r="F11" s="424"/>
      <c r="G11" s="424">
        <v>0</v>
      </c>
      <c r="H11" s="424"/>
      <c r="I11" s="424">
        <f t="shared" si="1"/>
        <v>4504053.5</v>
      </c>
      <c r="J11" s="424">
        <v>200000</v>
      </c>
      <c r="K11" s="424">
        <v>0.2</v>
      </c>
      <c r="L11" s="424">
        <f t="shared" si="2"/>
        <v>900810.700000001</v>
      </c>
      <c r="M11" s="424">
        <f t="shared" si="3"/>
        <v>1100810.7</v>
      </c>
      <c r="N11" s="424">
        <f t="shared" si="4"/>
        <v>1100810.7</v>
      </c>
      <c r="O11" s="424">
        <f t="shared" si="5"/>
        <v>3403242.8</v>
      </c>
      <c r="P11" s="424">
        <f t="shared" si="6"/>
        <v>21000</v>
      </c>
      <c r="Q11" s="424">
        <f t="shared" si="7"/>
        <v>33000</v>
      </c>
      <c r="R11" s="424">
        <f t="shared" si="8"/>
        <v>75000</v>
      </c>
      <c r="S11" s="424">
        <f t="shared" si="9"/>
        <v>95000</v>
      </c>
      <c r="T11" s="424">
        <f t="shared" si="10"/>
        <v>336000</v>
      </c>
      <c r="U11" s="424">
        <f t="shared" si="11"/>
        <v>48778.272000000703</v>
      </c>
      <c r="V11" s="424">
        <f t="shared" si="12"/>
        <v>608778.27200000104</v>
      </c>
      <c r="W11" s="431">
        <v>12</v>
      </c>
      <c r="X11" s="424">
        <f t="shared" si="13"/>
        <v>50731.5226666667</v>
      </c>
      <c r="Y11" s="424"/>
      <c r="Z11" s="424">
        <f t="shared" si="14"/>
        <v>50731.5226666667</v>
      </c>
      <c r="AA11" s="436">
        <v>101827.951418667</v>
      </c>
      <c r="AB11" s="436">
        <f t="shared" si="15"/>
        <v>-51096.428752000298</v>
      </c>
      <c r="AC11" s="436"/>
      <c r="AD11" s="436"/>
      <c r="AE11" s="436"/>
    </row>
    <row r="12" spans="1:31" ht="18" x14ac:dyDescent="0.15">
      <c r="A12" s="421">
        <v>9</v>
      </c>
      <c r="B12" s="9" t="s">
        <v>36</v>
      </c>
      <c r="C12" s="422">
        <v>471059.04166666698</v>
      </c>
      <c r="D12" s="423">
        <v>12</v>
      </c>
      <c r="E12" s="424">
        <f t="shared" si="0"/>
        <v>5652708.5</v>
      </c>
      <c r="F12" s="424">
        <f>'[8]JANUARY 2024'!$V$13*12</f>
        <v>10052.25</v>
      </c>
      <c r="G12" s="424">
        <v>595848.56000000006</v>
      </c>
      <c r="H12" s="424"/>
      <c r="I12" s="424">
        <f t="shared" si="1"/>
        <v>5046807.6900000004</v>
      </c>
      <c r="J12" s="424">
        <v>200000</v>
      </c>
      <c r="K12" s="424">
        <v>0.2</v>
      </c>
      <c r="L12" s="424">
        <f t="shared" si="2"/>
        <v>1009361.5379999999</v>
      </c>
      <c r="M12" s="424">
        <f t="shared" si="3"/>
        <v>1209361.5379999999</v>
      </c>
      <c r="N12" s="424">
        <f t="shared" si="4"/>
        <v>1815262.348</v>
      </c>
      <c r="O12" s="424">
        <f t="shared" si="5"/>
        <v>3837446.1519999998</v>
      </c>
      <c r="P12" s="424">
        <f t="shared" si="6"/>
        <v>21000</v>
      </c>
      <c r="Q12" s="424">
        <f t="shared" si="7"/>
        <v>33000</v>
      </c>
      <c r="R12" s="424">
        <f t="shared" si="8"/>
        <v>75000</v>
      </c>
      <c r="S12" s="424">
        <f t="shared" si="9"/>
        <v>95000</v>
      </c>
      <c r="T12" s="424">
        <f t="shared" si="10"/>
        <v>336000</v>
      </c>
      <c r="U12" s="424">
        <f t="shared" si="11"/>
        <v>152987.07648000101</v>
      </c>
      <c r="V12" s="424">
        <f t="shared" si="12"/>
        <v>712987.07648000098</v>
      </c>
      <c r="W12" s="431">
        <v>12</v>
      </c>
      <c r="X12" s="424">
        <f t="shared" si="13"/>
        <v>59415.589706666702</v>
      </c>
      <c r="Y12" s="424"/>
      <c r="Z12" s="424">
        <f t="shared" si="14"/>
        <v>59415.589706666702</v>
      </c>
      <c r="AA12" s="436">
        <v>74036.103146666705</v>
      </c>
      <c r="AB12" s="436">
        <f t="shared" si="15"/>
        <v>-14620.513440000001</v>
      </c>
      <c r="AC12" s="436"/>
      <c r="AD12" s="436"/>
      <c r="AE12" s="436"/>
    </row>
    <row r="13" spans="1:31" ht="18" x14ac:dyDescent="0.15">
      <c r="A13" s="421">
        <v>10</v>
      </c>
      <c r="B13" s="9" t="s">
        <v>39</v>
      </c>
      <c r="C13" s="422">
        <v>277186.875</v>
      </c>
      <c r="D13" s="423">
        <v>12</v>
      </c>
      <c r="E13" s="424">
        <f t="shared" si="0"/>
        <v>3326242.5</v>
      </c>
      <c r="F13" s="424">
        <f>'[8]JANUARY 2024'!$V$14*12</f>
        <v>9305.9519999999993</v>
      </c>
      <c r="G13" s="424">
        <v>558833.36</v>
      </c>
      <c r="H13" s="424"/>
      <c r="I13" s="424">
        <f t="shared" si="1"/>
        <v>2758103.1880000001</v>
      </c>
      <c r="J13" s="424">
        <v>200000</v>
      </c>
      <c r="K13" s="424">
        <v>0.2</v>
      </c>
      <c r="L13" s="424">
        <f t="shared" si="2"/>
        <v>551620.63760000002</v>
      </c>
      <c r="M13" s="424">
        <f t="shared" si="3"/>
        <v>751620.63760000002</v>
      </c>
      <c r="N13" s="424">
        <f t="shared" si="4"/>
        <v>1319759.9495999999</v>
      </c>
      <c r="O13" s="424">
        <f t="shared" si="5"/>
        <v>2006482.5504000001</v>
      </c>
      <c r="P13" s="424">
        <f t="shared" si="6"/>
        <v>21000</v>
      </c>
      <c r="Q13" s="424">
        <f t="shared" si="7"/>
        <v>33000</v>
      </c>
      <c r="R13" s="424">
        <f t="shared" si="8"/>
        <v>75000</v>
      </c>
      <c r="S13" s="424">
        <f t="shared" si="9"/>
        <v>95000</v>
      </c>
      <c r="T13" s="424">
        <f t="shared" si="10"/>
        <v>85361.335584</v>
      </c>
      <c r="U13" s="424"/>
      <c r="V13" s="424">
        <f t="shared" si="12"/>
        <v>309361.33558399999</v>
      </c>
      <c r="W13" s="431">
        <v>12</v>
      </c>
      <c r="X13" s="424">
        <f t="shared" si="13"/>
        <v>25780.111298666699</v>
      </c>
      <c r="Y13" s="424"/>
      <c r="Z13" s="424">
        <f t="shared" si="14"/>
        <v>25780.111298666699</v>
      </c>
      <c r="AA13" s="436">
        <v>94625.782058666693</v>
      </c>
      <c r="AB13" s="436">
        <f t="shared" si="15"/>
        <v>-68845.670759999994</v>
      </c>
      <c r="AC13" s="436"/>
      <c r="AD13" s="436"/>
      <c r="AE13" s="436"/>
    </row>
    <row r="14" spans="1:31" ht="18" x14ac:dyDescent="0.15">
      <c r="A14" s="421">
        <v>11</v>
      </c>
      <c r="B14" s="12" t="s">
        <v>42</v>
      </c>
      <c r="C14" s="422">
        <v>446059.04166666698</v>
      </c>
      <c r="D14" s="423">
        <v>12</v>
      </c>
      <c r="E14" s="424">
        <f t="shared" si="0"/>
        <v>5352708.5</v>
      </c>
      <c r="F14" s="424"/>
      <c r="G14" s="424">
        <v>464998.8</v>
      </c>
      <c r="H14" s="424"/>
      <c r="I14" s="424">
        <f t="shared" si="1"/>
        <v>4887709.7</v>
      </c>
      <c r="J14" s="424">
        <v>200000</v>
      </c>
      <c r="K14" s="424">
        <v>0.2</v>
      </c>
      <c r="L14" s="424">
        <f t="shared" si="2"/>
        <v>977541.94000000099</v>
      </c>
      <c r="M14" s="424">
        <f t="shared" si="3"/>
        <v>1177541.94</v>
      </c>
      <c r="N14" s="424">
        <f t="shared" si="4"/>
        <v>1642540.74</v>
      </c>
      <c r="O14" s="424">
        <f t="shared" si="5"/>
        <v>3710167.76</v>
      </c>
      <c r="P14" s="424">
        <f t="shared" si="6"/>
        <v>21000</v>
      </c>
      <c r="Q14" s="424">
        <f t="shared" si="7"/>
        <v>33000</v>
      </c>
      <c r="R14" s="424">
        <f t="shared" si="8"/>
        <v>75000</v>
      </c>
      <c r="S14" s="424">
        <f t="shared" si="9"/>
        <v>95000</v>
      </c>
      <c r="T14" s="424">
        <f t="shared" si="10"/>
        <v>336000</v>
      </c>
      <c r="U14" s="424">
        <f t="shared" si="11"/>
        <v>122440.262400001</v>
      </c>
      <c r="V14" s="424">
        <f t="shared" si="12"/>
        <v>682440.26240000105</v>
      </c>
      <c r="W14" s="431">
        <v>12</v>
      </c>
      <c r="X14" s="424">
        <f t="shared" si="13"/>
        <v>56870.021866666699</v>
      </c>
      <c r="Y14" s="424"/>
      <c r="Z14" s="424">
        <f t="shared" si="14"/>
        <v>56870.021866666699</v>
      </c>
      <c r="AA14" s="436">
        <v>44846.6165886667</v>
      </c>
      <c r="AB14" s="436">
        <f t="shared" si="15"/>
        <v>12023.405278</v>
      </c>
      <c r="AC14" s="436"/>
      <c r="AD14" s="436"/>
      <c r="AE14" s="436"/>
    </row>
    <row r="15" spans="1:31" ht="18" x14ac:dyDescent="0.15">
      <c r="A15" s="421">
        <v>12</v>
      </c>
      <c r="B15" s="9" t="s">
        <v>44</v>
      </c>
      <c r="C15" s="422">
        <v>416373.25</v>
      </c>
      <c r="D15" s="423">
        <v>12</v>
      </c>
      <c r="E15" s="424">
        <f t="shared" si="0"/>
        <v>4996479</v>
      </c>
      <c r="F15" s="424"/>
      <c r="G15" s="425">
        <v>451678.08</v>
      </c>
      <c r="H15" s="424"/>
      <c r="I15" s="424">
        <f t="shared" si="1"/>
        <v>4544800.92</v>
      </c>
      <c r="J15" s="424">
        <v>200000</v>
      </c>
      <c r="K15" s="424">
        <v>0.2</v>
      </c>
      <c r="L15" s="424">
        <f t="shared" si="2"/>
        <v>908960.18400000001</v>
      </c>
      <c r="M15" s="424">
        <f t="shared" si="3"/>
        <v>1108960.1839999999</v>
      </c>
      <c r="N15" s="424">
        <f t="shared" si="4"/>
        <v>1560638.264</v>
      </c>
      <c r="O15" s="424">
        <f t="shared" si="5"/>
        <v>3435840.736</v>
      </c>
      <c r="P15" s="424">
        <f t="shared" si="6"/>
        <v>21000</v>
      </c>
      <c r="Q15" s="424">
        <f t="shared" si="7"/>
        <v>33000</v>
      </c>
      <c r="R15" s="424">
        <f t="shared" si="8"/>
        <v>75000</v>
      </c>
      <c r="S15" s="424">
        <f t="shared" si="9"/>
        <v>95000</v>
      </c>
      <c r="T15" s="424">
        <f t="shared" si="10"/>
        <v>336000</v>
      </c>
      <c r="U15" s="424">
        <f t="shared" si="11"/>
        <v>56601.776639999996</v>
      </c>
      <c r="V15" s="424">
        <f t="shared" si="12"/>
        <v>616601.77664000005</v>
      </c>
      <c r="W15" s="431">
        <v>12</v>
      </c>
      <c r="X15" s="424">
        <f t="shared" si="13"/>
        <v>51383.481386666703</v>
      </c>
      <c r="Y15" s="424"/>
      <c r="Z15" s="424">
        <f t="shared" si="14"/>
        <v>51383.481386666703</v>
      </c>
      <c r="AA15" s="436">
        <v>46666.666666666701</v>
      </c>
      <c r="AB15" s="436">
        <f t="shared" si="15"/>
        <v>4716.8147199999703</v>
      </c>
      <c r="AC15" s="436"/>
      <c r="AD15" s="436"/>
      <c r="AE15" s="436"/>
    </row>
    <row r="16" spans="1:31" ht="18" x14ac:dyDescent="0.15">
      <c r="A16" s="421">
        <v>13</v>
      </c>
      <c r="B16" s="9" t="s">
        <v>47</v>
      </c>
      <c r="C16" s="422">
        <v>331059.04166666698</v>
      </c>
      <c r="D16" s="423">
        <v>12</v>
      </c>
      <c r="E16" s="424">
        <f t="shared" si="0"/>
        <v>3972708.5</v>
      </c>
      <c r="F16" s="424"/>
      <c r="G16" s="424">
        <v>425036.64</v>
      </c>
      <c r="H16" s="424"/>
      <c r="I16" s="424">
        <f t="shared" si="1"/>
        <v>3547671.86</v>
      </c>
      <c r="J16" s="424">
        <v>200000</v>
      </c>
      <c r="K16" s="424">
        <v>0.2</v>
      </c>
      <c r="L16" s="424">
        <f t="shared" si="2"/>
        <v>709534.37200000102</v>
      </c>
      <c r="M16" s="424">
        <f t="shared" si="3"/>
        <v>909534.37200000102</v>
      </c>
      <c r="N16" s="424">
        <f t="shared" si="4"/>
        <v>1334571.0120000001</v>
      </c>
      <c r="O16" s="424">
        <f t="shared" si="5"/>
        <v>2638137.4879999999</v>
      </c>
      <c r="P16" s="424">
        <f t="shared" si="6"/>
        <v>21000</v>
      </c>
      <c r="Q16" s="424">
        <f t="shared" si="7"/>
        <v>33000</v>
      </c>
      <c r="R16" s="424">
        <f t="shared" si="8"/>
        <v>75000</v>
      </c>
      <c r="S16" s="424">
        <f t="shared" si="9"/>
        <v>95000</v>
      </c>
      <c r="T16" s="424">
        <f t="shared" si="10"/>
        <v>218008.87248000101</v>
      </c>
      <c r="U16" s="424"/>
      <c r="V16" s="424">
        <f t="shared" si="12"/>
        <v>442008.87248000101</v>
      </c>
      <c r="W16" s="431">
        <v>12</v>
      </c>
      <c r="X16" s="424">
        <f t="shared" si="13"/>
        <v>36834.072706666702</v>
      </c>
      <c r="Y16" s="424"/>
      <c r="Z16" s="424">
        <f t="shared" si="14"/>
        <v>36834.072706666702</v>
      </c>
      <c r="AA16" s="436">
        <v>46666.666666666701</v>
      </c>
      <c r="AB16" s="436">
        <f t="shared" si="15"/>
        <v>-9832.5939599999892</v>
      </c>
      <c r="AC16" s="436"/>
      <c r="AD16" s="436"/>
      <c r="AE16" s="436"/>
    </row>
    <row r="17" spans="1:31" ht="18" x14ac:dyDescent="0.15">
      <c r="A17" s="421">
        <v>14</v>
      </c>
      <c r="B17" s="9" t="s">
        <v>50</v>
      </c>
      <c r="C17" s="422">
        <v>274457.95833333302</v>
      </c>
      <c r="D17" s="423">
        <v>12</v>
      </c>
      <c r="E17" s="424">
        <f t="shared" si="0"/>
        <v>3293495.5</v>
      </c>
      <c r="F17" s="424"/>
      <c r="G17" s="424">
        <v>424132.72</v>
      </c>
      <c r="H17" s="424"/>
      <c r="I17" s="424">
        <f t="shared" si="1"/>
        <v>2869362.78</v>
      </c>
      <c r="J17" s="424">
        <v>200000</v>
      </c>
      <c r="K17" s="424">
        <v>0.2</v>
      </c>
      <c r="L17" s="424">
        <f t="shared" si="2"/>
        <v>573872.55599999905</v>
      </c>
      <c r="M17" s="424">
        <f t="shared" si="3"/>
        <v>773872.55599999905</v>
      </c>
      <c r="N17" s="424">
        <f t="shared" si="4"/>
        <v>1198005.2760000001</v>
      </c>
      <c r="O17" s="424">
        <f t="shared" si="5"/>
        <v>2095490.2239999999</v>
      </c>
      <c r="P17" s="424">
        <f t="shared" si="6"/>
        <v>21000</v>
      </c>
      <c r="Q17" s="424">
        <f t="shared" si="7"/>
        <v>33000</v>
      </c>
      <c r="R17" s="424">
        <f t="shared" si="8"/>
        <v>75000</v>
      </c>
      <c r="S17" s="424">
        <f t="shared" si="9"/>
        <v>95000</v>
      </c>
      <c r="T17" s="424">
        <f t="shared" si="10"/>
        <v>104052.947039999</v>
      </c>
      <c r="U17" s="424"/>
      <c r="V17" s="424">
        <f t="shared" si="12"/>
        <v>328052.94703999901</v>
      </c>
      <c r="W17" s="431">
        <v>12</v>
      </c>
      <c r="X17" s="424">
        <f t="shared" si="13"/>
        <v>27337.745586666599</v>
      </c>
      <c r="Y17" s="424"/>
      <c r="Z17" s="424">
        <f t="shared" si="14"/>
        <v>27337.745586666599</v>
      </c>
      <c r="AA17" s="436">
        <v>42046.063686666697</v>
      </c>
      <c r="AB17" s="436">
        <f t="shared" si="15"/>
        <v>-14708.3181000001</v>
      </c>
      <c r="AC17" s="436"/>
      <c r="AD17" s="436"/>
      <c r="AE17" s="436"/>
    </row>
    <row r="18" spans="1:31" ht="18" x14ac:dyDescent="0.15">
      <c r="A18" s="421">
        <v>15</v>
      </c>
      <c r="B18" s="16" t="s">
        <v>53</v>
      </c>
      <c r="C18" s="422">
        <v>368013.45833333302</v>
      </c>
      <c r="D18" s="423">
        <v>12</v>
      </c>
      <c r="E18" s="424">
        <f t="shared" si="0"/>
        <v>4416161.5</v>
      </c>
      <c r="F18" s="424"/>
      <c r="G18" s="424">
        <v>411759.28</v>
      </c>
      <c r="H18" s="424"/>
      <c r="I18" s="424">
        <f t="shared" si="1"/>
        <v>4004402.22</v>
      </c>
      <c r="J18" s="424">
        <v>200000</v>
      </c>
      <c r="K18" s="424">
        <v>0.2</v>
      </c>
      <c r="L18" s="424">
        <f t="shared" si="2"/>
        <v>800880.44399999897</v>
      </c>
      <c r="M18" s="424">
        <f t="shared" si="3"/>
        <v>1000880.444</v>
      </c>
      <c r="N18" s="424">
        <f t="shared" si="4"/>
        <v>1412639.7239999999</v>
      </c>
      <c r="O18" s="424">
        <f t="shared" si="5"/>
        <v>3003521.7760000001</v>
      </c>
      <c r="P18" s="424">
        <f t="shared" si="6"/>
        <v>21000</v>
      </c>
      <c r="Q18" s="424">
        <f t="shared" si="7"/>
        <v>33000</v>
      </c>
      <c r="R18" s="424">
        <f t="shared" si="8"/>
        <v>75000</v>
      </c>
      <c r="S18" s="424">
        <f t="shared" si="9"/>
        <v>95000</v>
      </c>
      <c r="T18" s="424">
        <f t="shared" si="10"/>
        <v>294739.57295999897</v>
      </c>
      <c r="U18" s="424"/>
      <c r="V18" s="424">
        <f t="shared" si="12"/>
        <v>518739.57295999897</v>
      </c>
      <c r="W18" s="431">
        <v>12</v>
      </c>
      <c r="X18" s="424">
        <f t="shared" si="13"/>
        <v>43228.297746666598</v>
      </c>
      <c r="Y18" s="424"/>
      <c r="Z18" s="424">
        <f t="shared" si="14"/>
        <v>43228.297746666598</v>
      </c>
      <c r="AA18" s="436">
        <v>46666.666666666701</v>
      </c>
      <c r="AB18" s="436">
        <f t="shared" si="15"/>
        <v>-3438.3689200000899</v>
      </c>
      <c r="AC18" s="436"/>
      <c r="AD18" s="436"/>
      <c r="AE18" s="436"/>
    </row>
    <row r="19" spans="1:31" ht="18" x14ac:dyDescent="0.15">
      <c r="A19" s="421">
        <v>16</v>
      </c>
      <c r="B19" s="16" t="s">
        <v>56</v>
      </c>
      <c r="C19" s="422">
        <v>230124.45833333299</v>
      </c>
      <c r="D19" s="423">
        <v>12</v>
      </c>
      <c r="E19" s="424">
        <f t="shared" si="0"/>
        <v>2761493.5</v>
      </c>
      <c r="F19" s="424">
        <f>618.53*12</f>
        <v>7422.36</v>
      </c>
      <c r="G19" s="424">
        <v>399385.84</v>
      </c>
      <c r="H19" s="424"/>
      <c r="I19" s="424">
        <f t="shared" si="1"/>
        <v>2354685.2999999998</v>
      </c>
      <c r="J19" s="424">
        <v>200000</v>
      </c>
      <c r="K19" s="424">
        <v>0.2</v>
      </c>
      <c r="L19" s="424">
        <f t="shared" si="2"/>
        <v>470937.05999999901</v>
      </c>
      <c r="M19" s="424">
        <f t="shared" si="3"/>
        <v>670937.05999999901</v>
      </c>
      <c r="N19" s="424">
        <f t="shared" si="4"/>
        <v>1077745.26</v>
      </c>
      <c r="O19" s="424">
        <f t="shared" si="5"/>
        <v>1683748.24</v>
      </c>
      <c r="P19" s="424">
        <f t="shared" si="6"/>
        <v>21000</v>
      </c>
      <c r="Q19" s="424">
        <f t="shared" si="7"/>
        <v>33000</v>
      </c>
      <c r="R19" s="424">
        <f t="shared" si="8"/>
        <v>75000</v>
      </c>
      <c r="S19" s="424">
        <f t="shared" si="9"/>
        <v>95000</v>
      </c>
      <c r="T19" s="424">
        <f t="shared" si="10"/>
        <v>17587.1303999993</v>
      </c>
      <c r="U19" s="424"/>
      <c r="V19" s="424">
        <f t="shared" si="12"/>
        <v>241587.13039999901</v>
      </c>
      <c r="W19" s="431">
        <v>12</v>
      </c>
      <c r="X19" s="424">
        <f t="shared" si="13"/>
        <v>20132.260866666598</v>
      </c>
      <c r="Y19" s="424"/>
      <c r="Z19" s="424">
        <f t="shared" si="14"/>
        <v>20132.260866666598</v>
      </c>
      <c r="AA19" s="436">
        <v>46666.666666666701</v>
      </c>
      <c r="AB19" s="436">
        <f t="shared" si="15"/>
        <v>-26534.405800000099</v>
      </c>
      <c r="AC19" s="436"/>
      <c r="AD19" s="436"/>
      <c r="AE19" s="436"/>
    </row>
    <row r="20" spans="1:31" ht="18" x14ac:dyDescent="0.15">
      <c r="A20" s="421">
        <v>17</v>
      </c>
      <c r="B20" s="16" t="s">
        <v>59</v>
      </c>
      <c r="C20" s="422">
        <v>255124.45833333299</v>
      </c>
      <c r="D20" s="423">
        <v>12</v>
      </c>
      <c r="E20" s="424">
        <f t="shared" si="0"/>
        <v>3061493.5</v>
      </c>
      <c r="F20" s="424"/>
      <c r="G20" s="424">
        <v>362779.36</v>
      </c>
      <c r="H20" s="424"/>
      <c r="I20" s="424">
        <f t="shared" si="1"/>
        <v>2698714.14</v>
      </c>
      <c r="J20" s="424">
        <v>200000</v>
      </c>
      <c r="K20" s="424">
        <v>0.2</v>
      </c>
      <c r="L20" s="424">
        <f t="shared" si="2"/>
        <v>539742.82799999905</v>
      </c>
      <c r="M20" s="424">
        <f t="shared" si="3"/>
        <v>739742.82799999905</v>
      </c>
      <c r="N20" s="424">
        <f t="shared" si="4"/>
        <v>1102522.1880000001</v>
      </c>
      <c r="O20" s="424">
        <f t="shared" si="5"/>
        <v>1958971.3119999999</v>
      </c>
      <c r="P20" s="424">
        <f t="shared" si="6"/>
        <v>21000</v>
      </c>
      <c r="Q20" s="424">
        <f t="shared" si="7"/>
        <v>33000</v>
      </c>
      <c r="R20" s="424">
        <f t="shared" si="8"/>
        <v>75000</v>
      </c>
      <c r="S20" s="424">
        <f t="shared" si="9"/>
        <v>95000</v>
      </c>
      <c r="T20" s="424">
        <f t="shared" si="10"/>
        <v>75383.975519999294</v>
      </c>
      <c r="U20" s="424"/>
      <c r="V20" s="424">
        <f t="shared" si="12"/>
        <v>299383.97551999899</v>
      </c>
      <c r="W20" s="431">
        <v>12</v>
      </c>
      <c r="X20" s="424">
        <f t="shared" si="13"/>
        <v>24948.664626666599</v>
      </c>
      <c r="Y20" s="424"/>
      <c r="Z20" s="424">
        <f t="shared" si="14"/>
        <v>24948.664626666599</v>
      </c>
      <c r="AA20" s="436">
        <v>52497.770378666602</v>
      </c>
      <c r="AB20" s="436">
        <f t="shared" si="15"/>
        <v>-27549.105751999999</v>
      </c>
      <c r="AC20" s="436"/>
      <c r="AD20" s="436"/>
      <c r="AE20" s="436"/>
    </row>
    <row r="21" spans="1:31" ht="18" x14ac:dyDescent="0.15">
      <c r="A21" s="421">
        <v>18</v>
      </c>
      <c r="B21" s="9" t="s">
        <v>63</v>
      </c>
      <c r="C21" s="422">
        <v>293947.58333333302</v>
      </c>
      <c r="D21" s="423">
        <v>12</v>
      </c>
      <c r="E21" s="424">
        <f t="shared" si="0"/>
        <v>3527371</v>
      </c>
      <c r="F21" s="424"/>
      <c r="G21" s="424">
        <v>339372</v>
      </c>
      <c r="H21" s="424"/>
      <c r="I21" s="424">
        <f t="shared" si="1"/>
        <v>3187999</v>
      </c>
      <c r="J21" s="424">
        <v>200000</v>
      </c>
      <c r="K21" s="424">
        <v>0.2</v>
      </c>
      <c r="L21" s="424">
        <f t="shared" si="2"/>
        <v>637599.799999999</v>
      </c>
      <c r="M21" s="424">
        <f t="shared" si="3"/>
        <v>837599.799999999</v>
      </c>
      <c r="N21" s="424">
        <f t="shared" si="4"/>
        <v>1176971.8</v>
      </c>
      <c r="O21" s="424">
        <f t="shared" si="5"/>
        <v>2350399.2000000002</v>
      </c>
      <c r="P21" s="424">
        <f t="shared" si="6"/>
        <v>21000</v>
      </c>
      <c r="Q21" s="424">
        <f t="shared" si="7"/>
        <v>33000</v>
      </c>
      <c r="R21" s="424">
        <f t="shared" si="8"/>
        <v>75000</v>
      </c>
      <c r="S21" s="424">
        <f t="shared" si="9"/>
        <v>95000</v>
      </c>
      <c r="T21" s="424">
        <f t="shared" si="10"/>
        <v>157583.83199999901</v>
      </c>
      <c r="U21" s="424"/>
      <c r="V21" s="424">
        <f t="shared" si="12"/>
        <v>381583.83199999901</v>
      </c>
      <c r="W21" s="431">
        <v>12</v>
      </c>
      <c r="X21" s="424">
        <f t="shared" si="13"/>
        <v>31798.6526666666</v>
      </c>
      <c r="Y21" s="424"/>
      <c r="Z21" s="424">
        <f t="shared" si="14"/>
        <v>31798.6526666666</v>
      </c>
      <c r="AA21" s="436">
        <v>46666.666666666701</v>
      </c>
      <c r="AB21" s="436">
        <f t="shared" si="15"/>
        <v>-14868.014000000099</v>
      </c>
      <c r="AC21" s="436"/>
      <c r="AD21" s="436"/>
      <c r="AE21" s="436"/>
    </row>
    <row r="22" spans="1:31" ht="18" x14ac:dyDescent="0.15">
      <c r="A22" s="421">
        <v>19</v>
      </c>
      <c r="B22" s="12" t="s">
        <v>66</v>
      </c>
      <c r="C22" s="422">
        <v>326756.25</v>
      </c>
      <c r="D22" s="423">
        <v>12</v>
      </c>
      <c r="E22" s="424">
        <f t="shared" si="0"/>
        <v>3921075</v>
      </c>
      <c r="F22" s="424"/>
      <c r="G22" s="424">
        <v>339372</v>
      </c>
      <c r="H22" s="424"/>
      <c r="I22" s="424">
        <f t="shared" si="1"/>
        <v>3581703</v>
      </c>
      <c r="J22" s="424">
        <v>200000</v>
      </c>
      <c r="K22" s="424">
        <v>0.2</v>
      </c>
      <c r="L22" s="424">
        <f t="shared" si="2"/>
        <v>716340.6</v>
      </c>
      <c r="M22" s="424">
        <f t="shared" si="3"/>
        <v>916340.6</v>
      </c>
      <c r="N22" s="424">
        <f t="shared" si="4"/>
        <v>1255712.6000000001</v>
      </c>
      <c r="O22" s="424">
        <f t="shared" si="5"/>
        <v>2665362.4</v>
      </c>
      <c r="P22" s="424">
        <f t="shared" si="6"/>
        <v>21000</v>
      </c>
      <c r="Q22" s="424">
        <f t="shared" si="7"/>
        <v>33000</v>
      </c>
      <c r="R22" s="424">
        <f t="shared" si="8"/>
        <v>75000</v>
      </c>
      <c r="S22" s="424">
        <f t="shared" si="9"/>
        <v>95000</v>
      </c>
      <c r="T22" s="424">
        <f t="shared" si="10"/>
        <v>223726.10399999999</v>
      </c>
      <c r="U22" s="424"/>
      <c r="V22" s="424">
        <f t="shared" si="12"/>
        <v>447726.10399999999</v>
      </c>
      <c r="W22" s="431">
        <v>12</v>
      </c>
      <c r="X22" s="424">
        <f t="shared" si="13"/>
        <v>37310.508666666698</v>
      </c>
      <c r="Y22" s="424"/>
      <c r="Z22" s="424">
        <f t="shared" si="14"/>
        <v>37310.508666666698</v>
      </c>
      <c r="AA22" s="436">
        <v>46666.666666666701</v>
      </c>
      <c r="AB22" s="436">
        <f t="shared" si="15"/>
        <v>-9356.1580000000395</v>
      </c>
      <c r="AC22" s="436"/>
      <c r="AD22" s="436"/>
      <c r="AE22" s="436"/>
    </row>
    <row r="23" spans="1:31" ht="18" x14ac:dyDescent="0.15">
      <c r="A23" s="421">
        <v>20</v>
      </c>
      <c r="B23" s="9" t="s">
        <v>69</v>
      </c>
      <c r="C23" s="422">
        <v>231756.25</v>
      </c>
      <c r="D23" s="423">
        <v>12</v>
      </c>
      <c r="E23" s="424">
        <f t="shared" si="0"/>
        <v>2781075</v>
      </c>
      <c r="F23" s="424"/>
      <c r="G23" s="424">
        <v>281308.48</v>
      </c>
      <c r="H23" s="424"/>
      <c r="I23" s="424">
        <f t="shared" si="1"/>
        <v>2499766.52</v>
      </c>
      <c r="J23" s="424">
        <v>200000</v>
      </c>
      <c r="K23" s="424">
        <v>0.2</v>
      </c>
      <c r="L23" s="424">
        <f t="shared" si="2"/>
        <v>499953.304</v>
      </c>
      <c r="M23" s="424">
        <f t="shared" si="3"/>
        <v>699953.304</v>
      </c>
      <c r="N23" s="424">
        <f t="shared" si="4"/>
        <v>981261.78399999999</v>
      </c>
      <c r="O23" s="424">
        <f t="shared" si="5"/>
        <v>1799813.216</v>
      </c>
      <c r="P23" s="424">
        <f t="shared" si="6"/>
        <v>21000</v>
      </c>
      <c r="Q23" s="424">
        <f t="shared" si="7"/>
        <v>33000</v>
      </c>
      <c r="R23" s="424">
        <f t="shared" si="8"/>
        <v>75000</v>
      </c>
      <c r="S23" s="424">
        <f t="shared" si="9"/>
        <v>95000</v>
      </c>
      <c r="T23" s="424">
        <f t="shared" si="10"/>
        <v>41960.77536</v>
      </c>
      <c r="U23" s="424"/>
      <c r="V23" s="424">
        <f t="shared" si="12"/>
        <v>265960.77536000003</v>
      </c>
      <c r="W23" s="431">
        <v>12</v>
      </c>
      <c r="X23" s="424">
        <f t="shared" si="13"/>
        <v>22163.397946666701</v>
      </c>
      <c r="Y23" s="424"/>
      <c r="Z23" s="424">
        <f t="shared" si="14"/>
        <v>22163.397946666701</v>
      </c>
      <c r="AA23" s="436">
        <v>42371.815728666697</v>
      </c>
      <c r="AB23" s="436">
        <f t="shared" si="15"/>
        <v>-20208.417782</v>
      </c>
      <c r="AC23" s="436"/>
      <c r="AD23" s="436"/>
      <c r="AE23" s="436"/>
    </row>
    <row r="24" spans="1:31" ht="18" x14ac:dyDescent="0.15">
      <c r="A24" s="421">
        <v>21</v>
      </c>
      <c r="B24" s="12" t="s">
        <v>71</v>
      </c>
      <c r="C24" s="422">
        <v>276514.83333333302</v>
      </c>
      <c r="D24" s="423">
        <v>12</v>
      </c>
      <c r="E24" s="424">
        <f t="shared" si="0"/>
        <v>3318178</v>
      </c>
      <c r="F24" s="424"/>
      <c r="G24" s="424">
        <v>259662.4</v>
      </c>
      <c r="H24" s="424"/>
      <c r="I24" s="424">
        <f t="shared" si="1"/>
        <v>3058515.6</v>
      </c>
      <c r="J24" s="424">
        <v>200000</v>
      </c>
      <c r="K24" s="424">
        <v>0.2</v>
      </c>
      <c r="L24" s="424">
        <f t="shared" si="2"/>
        <v>611703.11999999895</v>
      </c>
      <c r="M24" s="424">
        <f t="shared" si="3"/>
        <v>811703.11999999895</v>
      </c>
      <c r="N24" s="424">
        <f t="shared" si="4"/>
        <v>1071365.52</v>
      </c>
      <c r="O24" s="424">
        <f t="shared" si="5"/>
        <v>2246812.48</v>
      </c>
      <c r="P24" s="424">
        <f t="shared" si="6"/>
        <v>21000</v>
      </c>
      <c r="Q24" s="424">
        <f t="shared" si="7"/>
        <v>33000</v>
      </c>
      <c r="R24" s="424">
        <f t="shared" si="8"/>
        <v>75000</v>
      </c>
      <c r="S24" s="424">
        <f t="shared" si="9"/>
        <v>95000</v>
      </c>
      <c r="T24" s="424">
        <f t="shared" si="10"/>
        <v>135830.62079999899</v>
      </c>
      <c r="U24" s="424"/>
      <c r="V24" s="424">
        <f t="shared" si="12"/>
        <v>359830.62079999899</v>
      </c>
      <c r="W24" s="431">
        <v>12</v>
      </c>
      <c r="X24" s="424">
        <f t="shared" si="13"/>
        <v>29985.8850666666</v>
      </c>
      <c r="Y24" s="424"/>
      <c r="Z24" s="424">
        <f t="shared" si="14"/>
        <v>29985.8850666666</v>
      </c>
      <c r="AA24" s="436">
        <v>23036.012346666699</v>
      </c>
      <c r="AB24" s="436">
        <f t="shared" si="15"/>
        <v>6949.8727199999103</v>
      </c>
      <c r="AC24" s="436"/>
      <c r="AD24" s="436"/>
      <c r="AE24" s="436"/>
    </row>
    <row r="25" spans="1:31" ht="18" x14ac:dyDescent="0.15">
      <c r="A25" s="421">
        <v>22</v>
      </c>
      <c r="B25" s="12" t="s">
        <v>74</v>
      </c>
      <c r="C25" s="422">
        <v>176514.83333333299</v>
      </c>
      <c r="D25" s="423">
        <v>12</v>
      </c>
      <c r="E25" s="424">
        <f t="shared" si="0"/>
        <v>2118178</v>
      </c>
      <c r="F25" s="424"/>
      <c r="G25" s="424">
        <v>259662.4</v>
      </c>
      <c r="H25" s="424"/>
      <c r="I25" s="424">
        <f t="shared" si="1"/>
        <v>1858515.6</v>
      </c>
      <c r="J25" s="424">
        <v>200000</v>
      </c>
      <c r="K25" s="424">
        <v>0.2</v>
      </c>
      <c r="L25" s="424">
        <f t="shared" si="2"/>
        <v>371703.11999999901</v>
      </c>
      <c r="M25" s="424">
        <f t="shared" si="3"/>
        <v>571703.11999999895</v>
      </c>
      <c r="N25" s="424">
        <f t="shared" si="4"/>
        <v>831365.51999999897</v>
      </c>
      <c r="O25" s="424">
        <f t="shared" si="5"/>
        <v>1286812.48</v>
      </c>
      <c r="P25" s="424">
        <f t="shared" si="6"/>
        <v>21000</v>
      </c>
      <c r="Q25" s="424">
        <f t="shared" si="7"/>
        <v>33000</v>
      </c>
      <c r="R25" s="424">
        <f t="shared" si="8"/>
        <v>75000</v>
      </c>
      <c r="S25" s="424">
        <f t="shared" si="9"/>
        <v>35494.371199999398</v>
      </c>
      <c r="T25" s="424">
        <f t="shared" si="10"/>
        <v>0</v>
      </c>
      <c r="U25" s="424"/>
      <c r="V25" s="424">
        <f t="shared" si="12"/>
        <v>164494.371199999</v>
      </c>
      <c r="W25" s="431">
        <v>12</v>
      </c>
      <c r="X25" s="424">
        <f t="shared" si="13"/>
        <v>13707.8642666666</v>
      </c>
      <c r="Y25" s="424"/>
      <c r="Z25" s="424">
        <f t="shared" si="14"/>
        <v>13707.8642666666</v>
      </c>
      <c r="AA25" s="436">
        <v>23036.012346666699</v>
      </c>
      <c r="AB25" s="436">
        <f t="shared" si="15"/>
        <v>-9328.1480800000809</v>
      </c>
      <c r="AC25" s="436"/>
      <c r="AD25" s="436"/>
      <c r="AE25" s="436"/>
    </row>
    <row r="26" spans="1:31" ht="18" x14ac:dyDescent="0.2">
      <c r="A26" s="421">
        <v>23</v>
      </c>
      <c r="B26" s="2" t="s">
        <v>77</v>
      </c>
      <c r="C26" s="422">
        <v>165240.83333333299</v>
      </c>
      <c r="D26" s="423">
        <v>12</v>
      </c>
      <c r="E26" s="424">
        <f t="shared" si="0"/>
        <v>1982890</v>
      </c>
      <c r="F26" s="424"/>
      <c r="G26" s="424">
        <v>259662.4</v>
      </c>
      <c r="H26" s="424"/>
      <c r="I26" s="424">
        <f t="shared" si="1"/>
        <v>1723227.6</v>
      </c>
      <c r="J26" s="424">
        <v>200000</v>
      </c>
      <c r="K26" s="424">
        <v>0.2</v>
      </c>
      <c r="L26" s="424">
        <f t="shared" si="2"/>
        <v>344645.51999999903</v>
      </c>
      <c r="M26" s="424">
        <f t="shared" si="3"/>
        <v>544645.51999999897</v>
      </c>
      <c r="N26" s="424">
        <f t="shared" si="4"/>
        <v>804307.91999999899</v>
      </c>
      <c r="O26" s="424">
        <f t="shared" si="5"/>
        <v>1178582.08</v>
      </c>
      <c r="P26" s="424">
        <f t="shared" si="6"/>
        <v>21000</v>
      </c>
      <c r="Q26" s="424">
        <f t="shared" si="7"/>
        <v>33000</v>
      </c>
      <c r="R26" s="424">
        <f t="shared" si="8"/>
        <v>75000</v>
      </c>
      <c r="S26" s="424">
        <f t="shared" si="9"/>
        <v>14930.595199999399</v>
      </c>
      <c r="T26" s="424">
        <f t="shared" si="10"/>
        <v>0</v>
      </c>
      <c r="U26" s="424"/>
      <c r="V26" s="424">
        <f t="shared" si="12"/>
        <v>143930.59519999899</v>
      </c>
      <c r="W26" s="431">
        <v>12</v>
      </c>
      <c r="X26" s="424">
        <f t="shared" si="13"/>
        <v>11994.216266666601</v>
      </c>
      <c r="Y26" s="424"/>
      <c r="Z26" s="424">
        <f t="shared" si="14"/>
        <v>11994.216266666601</v>
      </c>
      <c r="AA26" s="436">
        <v>29756.012346666699</v>
      </c>
      <c r="AB26" s="436">
        <f t="shared" si="15"/>
        <v>-17761.796080000098</v>
      </c>
      <c r="AC26" s="436"/>
      <c r="AD26" s="436"/>
      <c r="AE26" s="436"/>
    </row>
    <row r="27" spans="1:31" ht="18" x14ac:dyDescent="0.15">
      <c r="A27" s="421">
        <v>24</v>
      </c>
      <c r="B27" s="16" t="s">
        <v>80</v>
      </c>
      <c r="C27" s="422">
        <v>165240.83333333299</v>
      </c>
      <c r="D27" s="423">
        <v>12</v>
      </c>
      <c r="E27" s="424">
        <f t="shared" si="0"/>
        <v>1982890</v>
      </c>
      <c r="F27" s="424"/>
      <c r="G27" s="424">
        <v>252638.72</v>
      </c>
      <c r="H27" s="424"/>
      <c r="I27" s="424">
        <f t="shared" si="1"/>
        <v>1730251.28</v>
      </c>
      <c r="J27" s="424">
        <v>200000</v>
      </c>
      <c r="K27" s="424">
        <v>0.2</v>
      </c>
      <c r="L27" s="424">
        <f t="shared" si="2"/>
        <v>346050.255999999</v>
      </c>
      <c r="M27" s="424">
        <f t="shared" si="3"/>
        <v>546050.255999999</v>
      </c>
      <c r="N27" s="424">
        <f t="shared" si="4"/>
        <v>798688.97599999898</v>
      </c>
      <c r="O27" s="424">
        <f t="shared" si="5"/>
        <v>1184201.024</v>
      </c>
      <c r="P27" s="424">
        <f t="shared" si="6"/>
        <v>21000</v>
      </c>
      <c r="Q27" s="424">
        <f t="shared" si="7"/>
        <v>33000</v>
      </c>
      <c r="R27" s="424">
        <f t="shared" si="8"/>
        <v>75000</v>
      </c>
      <c r="S27" s="424">
        <f t="shared" si="9"/>
        <v>15998.1945599994</v>
      </c>
      <c r="T27" s="424">
        <f t="shared" si="10"/>
        <v>0</v>
      </c>
      <c r="U27" s="424"/>
      <c r="V27" s="424">
        <f t="shared" si="12"/>
        <v>144998.19455999901</v>
      </c>
      <c r="W27" s="431">
        <v>12</v>
      </c>
      <c r="X27" s="424">
        <f t="shared" si="13"/>
        <v>12083.1828799999</v>
      </c>
      <c r="Y27" s="424"/>
      <c r="Z27" s="424">
        <f t="shared" si="14"/>
        <v>12083.1828799999</v>
      </c>
      <c r="AA27" s="436">
        <v>22338.4826046667</v>
      </c>
      <c r="AB27" s="436">
        <f t="shared" si="15"/>
        <v>-10255.2997246668</v>
      </c>
      <c r="AC27" s="436"/>
      <c r="AD27" s="436"/>
      <c r="AE27" s="436"/>
    </row>
    <row r="28" spans="1:31" ht="18" x14ac:dyDescent="0.15">
      <c r="A28" s="421">
        <v>25</v>
      </c>
      <c r="B28" s="9" t="s">
        <v>81</v>
      </c>
      <c r="C28" s="422">
        <v>185240.83333333299</v>
      </c>
      <c r="D28" s="423">
        <v>12</v>
      </c>
      <c r="E28" s="424">
        <f t="shared" si="0"/>
        <v>2222890</v>
      </c>
      <c r="F28" s="424"/>
      <c r="G28" s="424">
        <v>245615.04</v>
      </c>
      <c r="H28" s="424"/>
      <c r="I28" s="424">
        <f t="shared" si="1"/>
        <v>1977274.96</v>
      </c>
      <c r="J28" s="424">
        <v>200000</v>
      </c>
      <c r="K28" s="424">
        <v>0.2</v>
      </c>
      <c r="L28" s="424">
        <f t="shared" si="2"/>
        <v>395454.99199999898</v>
      </c>
      <c r="M28" s="424">
        <f t="shared" si="3"/>
        <v>595454.99199999904</v>
      </c>
      <c r="N28" s="424">
        <f t="shared" si="4"/>
        <v>841070.03199999896</v>
      </c>
      <c r="O28" s="424">
        <f t="shared" si="5"/>
        <v>1381819.9680000001</v>
      </c>
      <c r="P28" s="424">
        <f t="shared" si="6"/>
        <v>21000</v>
      </c>
      <c r="Q28" s="424">
        <f t="shared" si="7"/>
        <v>33000</v>
      </c>
      <c r="R28" s="424">
        <f t="shared" si="8"/>
        <v>75000</v>
      </c>
      <c r="S28" s="424">
        <f t="shared" si="9"/>
        <v>53545.7939199994</v>
      </c>
      <c r="T28" s="424">
        <f t="shared" si="10"/>
        <v>0</v>
      </c>
      <c r="U28" s="424"/>
      <c r="V28" s="424">
        <f t="shared" si="12"/>
        <v>182545.79391999901</v>
      </c>
      <c r="W28" s="431">
        <v>12</v>
      </c>
      <c r="X28" s="424">
        <f t="shared" si="13"/>
        <v>15212.1494933333</v>
      </c>
      <c r="Y28" s="424"/>
      <c r="Z28" s="424">
        <f t="shared" si="14"/>
        <v>15212.1494933333</v>
      </c>
      <c r="AA28" s="436">
        <v>21640.952862666702</v>
      </c>
      <c r="AB28" s="436">
        <f t="shared" si="15"/>
        <v>-6428.8033693334201</v>
      </c>
      <c r="AC28" s="436"/>
      <c r="AD28" s="436"/>
      <c r="AE28" s="436"/>
    </row>
    <row r="29" spans="1:31" ht="18" x14ac:dyDescent="0.15">
      <c r="A29" s="421">
        <v>26</v>
      </c>
      <c r="B29" s="16" t="s">
        <v>82</v>
      </c>
      <c r="C29" s="422">
        <v>161582.66666666701</v>
      </c>
      <c r="D29" s="423">
        <v>12</v>
      </c>
      <c r="E29" s="424">
        <f t="shared" si="0"/>
        <v>1938992</v>
      </c>
      <c r="F29" s="424"/>
      <c r="G29" s="424">
        <v>245615.04</v>
      </c>
      <c r="H29" s="424"/>
      <c r="I29" s="424">
        <f t="shared" si="1"/>
        <v>1693376.96</v>
      </c>
      <c r="J29" s="424">
        <v>200000</v>
      </c>
      <c r="K29" s="424">
        <v>0.2</v>
      </c>
      <c r="L29" s="424">
        <f t="shared" si="2"/>
        <v>338675.39200000098</v>
      </c>
      <c r="M29" s="424">
        <f t="shared" si="3"/>
        <v>538675.39200000104</v>
      </c>
      <c r="N29" s="424">
        <f t="shared" si="4"/>
        <v>784290.43200000096</v>
      </c>
      <c r="O29" s="424">
        <f t="shared" si="5"/>
        <v>1154701.568</v>
      </c>
      <c r="P29" s="424">
        <f t="shared" si="6"/>
        <v>21000</v>
      </c>
      <c r="Q29" s="424">
        <f t="shared" si="7"/>
        <v>33000</v>
      </c>
      <c r="R29" s="424">
        <f t="shared" si="8"/>
        <v>75000</v>
      </c>
      <c r="S29" s="424">
        <f t="shared" si="9"/>
        <v>10393.297920000599</v>
      </c>
      <c r="T29" s="424">
        <f t="shared" si="10"/>
        <v>0</v>
      </c>
      <c r="U29" s="424"/>
      <c r="V29" s="424">
        <f t="shared" si="12"/>
        <v>139393.297920001</v>
      </c>
      <c r="W29" s="431">
        <v>12</v>
      </c>
      <c r="X29" s="424">
        <f t="shared" si="13"/>
        <v>11616.1081600001</v>
      </c>
      <c r="Y29" s="424"/>
      <c r="Z29" s="424">
        <f t="shared" si="14"/>
        <v>11616.1081600001</v>
      </c>
      <c r="AA29" s="436">
        <v>21640.952862666702</v>
      </c>
      <c r="AB29" s="436">
        <f t="shared" si="15"/>
        <v>-10024.8447026666</v>
      </c>
      <c r="AC29" s="436"/>
      <c r="AD29" s="436"/>
      <c r="AE29" s="436"/>
    </row>
    <row r="30" spans="1:31" ht="18" x14ac:dyDescent="0.15">
      <c r="A30" s="421">
        <v>27</v>
      </c>
      <c r="B30" s="16" t="s">
        <v>85</v>
      </c>
      <c r="C30" s="422">
        <v>157924.5</v>
      </c>
      <c r="D30" s="423">
        <v>12</v>
      </c>
      <c r="E30" s="424">
        <f t="shared" si="0"/>
        <v>1895094</v>
      </c>
      <c r="F30" s="424"/>
      <c r="G30" s="424">
        <v>259662.4</v>
      </c>
      <c r="H30" s="424"/>
      <c r="I30" s="424">
        <f t="shared" si="1"/>
        <v>1635431.6</v>
      </c>
      <c r="J30" s="424">
        <v>200000</v>
      </c>
      <c r="K30" s="424">
        <v>0.2</v>
      </c>
      <c r="L30" s="424">
        <f t="shared" si="2"/>
        <v>327086.32</v>
      </c>
      <c r="M30" s="424">
        <f t="shared" si="3"/>
        <v>527086.31999999995</v>
      </c>
      <c r="N30" s="424">
        <f t="shared" si="4"/>
        <v>786748.72</v>
      </c>
      <c r="O30" s="424">
        <f t="shared" si="5"/>
        <v>1108345.28</v>
      </c>
      <c r="P30" s="424">
        <f t="shared" si="6"/>
        <v>21000</v>
      </c>
      <c r="Q30" s="424">
        <f t="shared" si="7"/>
        <v>33000</v>
      </c>
      <c r="R30" s="424">
        <f t="shared" si="8"/>
        <v>75000</v>
      </c>
      <c r="S30" s="424">
        <f t="shared" si="9"/>
        <v>1585.60319999996</v>
      </c>
      <c r="T30" s="424">
        <f t="shared" si="10"/>
        <v>0</v>
      </c>
      <c r="U30" s="424"/>
      <c r="V30" s="424">
        <f t="shared" si="12"/>
        <v>130585.6032</v>
      </c>
      <c r="W30" s="431">
        <v>12</v>
      </c>
      <c r="X30" s="424">
        <f t="shared" si="13"/>
        <v>10882.133599999999</v>
      </c>
      <c r="Y30" s="424"/>
      <c r="Z30" s="424">
        <f t="shared" si="14"/>
        <v>10882.133599999999</v>
      </c>
      <c r="AA30" s="436">
        <v>22338.4826046667</v>
      </c>
      <c r="AB30" s="436">
        <f t="shared" si="15"/>
        <v>-11456.349004666699</v>
      </c>
      <c r="AC30" s="436"/>
      <c r="AD30" s="436"/>
      <c r="AE30" s="436"/>
    </row>
    <row r="31" spans="1:31" ht="31.5" x14ac:dyDescent="0.2">
      <c r="A31" s="421">
        <v>28</v>
      </c>
      <c r="B31" s="16" t="s">
        <v>88</v>
      </c>
      <c r="C31" s="422">
        <v>157924.5</v>
      </c>
      <c r="D31" s="423">
        <v>12</v>
      </c>
      <c r="E31" s="424">
        <f t="shared" si="0"/>
        <v>1895094</v>
      </c>
      <c r="F31" s="424"/>
      <c r="G31" s="425">
        <v>221406.64</v>
      </c>
      <c r="H31" s="424"/>
      <c r="I31" s="424">
        <f t="shared" si="1"/>
        <v>1673687.36</v>
      </c>
      <c r="J31" s="424">
        <v>200000</v>
      </c>
      <c r="K31" s="424">
        <v>0.2</v>
      </c>
      <c r="L31" s="424">
        <f t="shared" si="2"/>
        <v>334737.47200000001</v>
      </c>
      <c r="M31" s="424">
        <f t="shared" si="3"/>
        <v>534737.47199999995</v>
      </c>
      <c r="N31" s="424">
        <f t="shared" si="4"/>
        <v>756144.11199999996</v>
      </c>
      <c r="O31" s="424">
        <f t="shared" si="5"/>
        <v>1138949.888</v>
      </c>
      <c r="P31" s="424">
        <f t="shared" si="6"/>
        <v>21000</v>
      </c>
      <c r="Q31" s="424">
        <f t="shared" si="7"/>
        <v>33000</v>
      </c>
      <c r="R31" s="424">
        <f t="shared" si="8"/>
        <v>75000</v>
      </c>
      <c r="S31" s="424">
        <f t="shared" si="9"/>
        <v>7400.47871999996</v>
      </c>
      <c r="T31" s="424">
        <f t="shared" si="10"/>
        <v>0</v>
      </c>
      <c r="U31" s="424"/>
      <c r="V31" s="424">
        <f t="shared" si="12"/>
        <v>136400.47872000001</v>
      </c>
      <c r="W31" s="431">
        <v>12</v>
      </c>
      <c r="X31" s="424">
        <f t="shared" si="13"/>
        <v>11366.706560000001</v>
      </c>
      <c r="Y31" s="424"/>
      <c r="Z31" s="424">
        <f t="shared" si="14"/>
        <v>11366.706560000001</v>
      </c>
      <c r="AA31" s="436">
        <v>17572.885002666699</v>
      </c>
      <c r="AB31" s="436">
        <f t="shared" si="15"/>
        <v>-6206.1784426667</v>
      </c>
      <c r="AC31" s="436"/>
      <c r="AD31" s="436"/>
      <c r="AE31" s="436"/>
    </row>
    <row r="32" spans="1:31" ht="18" x14ac:dyDescent="0.15">
      <c r="A32" s="421">
        <v>29</v>
      </c>
      <c r="B32" s="16" t="s">
        <v>89</v>
      </c>
      <c r="C32" s="422">
        <v>165240.83333333299</v>
      </c>
      <c r="D32" s="423">
        <v>12</v>
      </c>
      <c r="E32" s="424">
        <f t="shared" si="0"/>
        <v>1982890</v>
      </c>
      <c r="F32" s="424"/>
      <c r="G32" s="425">
        <f>17956.78*12</f>
        <v>215481.36</v>
      </c>
      <c r="H32" s="424"/>
      <c r="I32" s="424">
        <f t="shared" si="1"/>
        <v>1767408.6399999999</v>
      </c>
      <c r="J32" s="424">
        <v>200000</v>
      </c>
      <c r="K32" s="424">
        <v>0.2</v>
      </c>
      <c r="L32" s="424">
        <f t="shared" si="2"/>
        <v>353481.72799999901</v>
      </c>
      <c r="M32" s="424">
        <f t="shared" si="3"/>
        <v>553481.72799999896</v>
      </c>
      <c r="N32" s="424">
        <f t="shared" si="4"/>
        <v>768963.08799999906</v>
      </c>
      <c r="O32" s="424">
        <f t="shared" si="5"/>
        <v>1213926.912</v>
      </c>
      <c r="P32" s="424">
        <f t="shared" si="6"/>
        <v>21000</v>
      </c>
      <c r="Q32" s="424">
        <f t="shared" si="7"/>
        <v>33000</v>
      </c>
      <c r="R32" s="424">
        <f t="shared" si="8"/>
        <v>75000</v>
      </c>
      <c r="S32" s="424">
        <f t="shared" si="9"/>
        <v>21646.113279999401</v>
      </c>
      <c r="T32" s="424">
        <f t="shared" si="10"/>
        <v>0</v>
      </c>
      <c r="U32" s="424"/>
      <c r="V32" s="424">
        <f t="shared" si="12"/>
        <v>150646.113279999</v>
      </c>
      <c r="W32" s="431">
        <v>12</v>
      </c>
      <c r="X32" s="424">
        <f t="shared" si="13"/>
        <v>12553.842773333299</v>
      </c>
      <c r="Y32" s="424"/>
      <c r="Z32" s="424">
        <f t="shared" si="14"/>
        <v>12553.842773333299</v>
      </c>
      <c r="AA32" s="436">
        <v>16512.682190666699</v>
      </c>
      <c r="AB32" s="436">
        <f t="shared" si="15"/>
        <v>-3958.83941733342</v>
      </c>
      <c r="AC32" s="436"/>
      <c r="AD32" s="436"/>
      <c r="AE32" s="436"/>
    </row>
    <row r="33" spans="1:31" ht="31.5" x14ac:dyDescent="0.2">
      <c r="A33" s="421"/>
      <c r="B33" s="16" t="s">
        <v>91</v>
      </c>
      <c r="C33" s="422">
        <v>157924.5</v>
      </c>
      <c r="D33" s="423">
        <v>12</v>
      </c>
      <c r="E33" s="424">
        <f t="shared" si="0"/>
        <v>1895094</v>
      </c>
      <c r="F33" s="424"/>
      <c r="G33" s="425">
        <f>17956.78*12</f>
        <v>215481.36</v>
      </c>
      <c r="H33" s="424"/>
      <c r="I33" s="424">
        <f t="shared" si="1"/>
        <v>1679612.64</v>
      </c>
      <c r="J33" s="424">
        <v>200000</v>
      </c>
      <c r="K33" s="424">
        <v>0.2</v>
      </c>
      <c r="L33" s="424">
        <f t="shared" si="2"/>
        <v>335922.52799999999</v>
      </c>
      <c r="M33" s="424">
        <f t="shared" si="3"/>
        <v>535922.52800000005</v>
      </c>
      <c r="N33" s="424">
        <f t="shared" si="4"/>
        <v>751403.88800000004</v>
      </c>
      <c r="O33" s="424">
        <f t="shared" si="5"/>
        <v>1143690.112</v>
      </c>
      <c r="P33" s="424">
        <f t="shared" si="6"/>
        <v>21000</v>
      </c>
      <c r="Q33" s="424">
        <f t="shared" si="7"/>
        <v>33000</v>
      </c>
      <c r="R33" s="424">
        <f t="shared" si="8"/>
        <v>75000</v>
      </c>
      <c r="S33" s="424">
        <f t="shared" si="9"/>
        <v>8301.1212799999903</v>
      </c>
      <c r="T33" s="424">
        <f t="shared" si="10"/>
        <v>0</v>
      </c>
      <c r="U33" s="424"/>
      <c r="V33" s="424">
        <f t="shared" si="12"/>
        <v>137301.12127999999</v>
      </c>
      <c r="W33" s="431">
        <v>12</v>
      </c>
      <c r="X33" s="424">
        <f t="shared" si="13"/>
        <v>11441.760106666699</v>
      </c>
      <c r="Y33" s="424"/>
      <c r="Z33" s="424">
        <f t="shared" si="14"/>
        <v>11441.760106666699</v>
      </c>
      <c r="AA33" s="436"/>
      <c r="AB33" s="436"/>
      <c r="AC33" s="436"/>
      <c r="AD33" s="436"/>
      <c r="AE33" s="436"/>
    </row>
    <row r="34" spans="1:31" ht="18" x14ac:dyDescent="0.15">
      <c r="A34" s="421"/>
      <c r="B34" s="16" t="s">
        <v>92</v>
      </c>
      <c r="C34" s="422">
        <v>157924.5</v>
      </c>
      <c r="D34" s="423">
        <v>12</v>
      </c>
      <c r="E34" s="424">
        <f t="shared" si="0"/>
        <v>1895094</v>
      </c>
      <c r="F34" s="424"/>
      <c r="G34" s="425">
        <f>17956.78*12</f>
        <v>215481.36</v>
      </c>
      <c r="H34" s="424"/>
      <c r="I34" s="424">
        <f t="shared" si="1"/>
        <v>1679612.64</v>
      </c>
      <c r="J34" s="424">
        <v>200000</v>
      </c>
      <c r="K34" s="424">
        <v>0.2</v>
      </c>
      <c r="L34" s="424">
        <f t="shared" si="2"/>
        <v>335922.52799999999</v>
      </c>
      <c r="M34" s="424">
        <f t="shared" si="3"/>
        <v>535922.52800000005</v>
      </c>
      <c r="N34" s="424">
        <f t="shared" si="4"/>
        <v>751403.88800000004</v>
      </c>
      <c r="O34" s="424">
        <f t="shared" si="5"/>
        <v>1143690.112</v>
      </c>
      <c r="P34" s="424">
        <f t="shared" si="6"/>
        <v>21000</v>
      </c>
      <c r="Q34" s="424">
        <f t="shared" si="7"/>
        <v>33000</v>
      </c>
      <c r="R34" s="424">
        <f t="shared" si="8"/>
        <v>75000</v>
      </c>
      <c r="S34" s="424">
        <f t="shared" si="9"/>
        <v>8301.1212799999903</v>
      </c>
      <c r="T34" s="424">
        <f t="shared" si="10"/>
        <v>0</v>
      </c>
      <c r="U34" s="424"/>
      <c r="V34" s="424">
        <f t="shared" si="12"/>
        <v>137301.12127999999</v>
      </c>
      <c r="W34" s="431">
        <v>12</v>
      </c>
      <c r="X34" s="424">
        <f t="shared" si="13"/>
        <v>11441.760106666699</v>
      </c>
      <c r="Y34" s="424"/>
      <c r="Z34" s="424">
        <f t="shared" si="14"/>
        <v>11441.760106666699</v>
      </c>
      <c r="AA34" s="436"/>
      <c r="AB34" s="436"/>
      <c r="AC34" s="436"/>
      <c r="AD34" s="436"/>
      <c r="AE34" s="436"/>
    </row>
    <row r="35" spans="1:31" ht="18" x14ac:dyDescent="0.15">
      <c r="A35" s="421">
        <v>31</v>
      </c>
      <c r="B35" s="16" t="s">
        <v>100</v>
      </c>
      <c r="C35" s="424">
        <v>137229.875</v>
      </c>
      <c r="D35" s="423">
        <v>12</v>
      </c>
      <c r="E35" s="424">
        <f t="shared" si="0"/>
        <v>1646758.5</v>
      </c>
      <c r="F35" s="427"/>
      <c r="G35" s="425">
        <f>17956.78*12</f>
        <v>215481.36</v>
      </c>
      <c r="H35" s="427"/>
      <c r="I35" s="424">
        <f t="shared" si="1"/>
        <v>1431277.14</v>
      </c>
      <c r="J35" s="424">
        <v>200000</v>
      </c>
      <c r="K35" s="424">
        <v>0.2</v>
      </c>
      <c r="L35" s="424">
        <f t="shared" si="2"/>
        <v>286255.42800000001</v>
      </c>
      <c r="M35" s="424">
        <f t="shared" si="3"/>
        <v>486255.42800000001</v>
      </c>
      <c r="N35" s="424">
        <f t="shared" si="4"/>
        <v>701736.78799999994</v>
      </c>
      <c r="O35" s="424">
        <f t="shared" si="5"/>
        <v>945021.71200000006</v>
      </c>
      <c r="P35" s="424">
        <f t="shared" si="6"/>
        <v>21000</v>
      </c>
      <c r="Q35" s="424">
        <f t="shared" si="7"/>
        <v>33000</v>
      </c>
      <c r="R35" s="424">
        <f t="shared" si="8"/>
        <v>51753.256800000003</v>
      </c>
      <c r="S35" s="424">
        <f t="shared" si="9"/>
        <v>0</v>
      </c>
      <c r="T35" s="424">
        <f t="shared" si="10"/>
        <v>0</v>
      </c>
      <c r="U35" s="424"/>
      <c r="V35" s="424">
        <f t="shared" si="12"/>
        <v>105753.2568</v>
      </c>
      <c r="W35" s="431">
        <v>12</v>
      </c>
      <c r="X35" s="424">
        <f t="shared" si="13"/>
        <v>8812.7713999999996</v>
      </c>
      <c r="Y35" s="427"/>
      <c r="Z35" s="424">
        <f t="shared" si="14"/>
        <v>8812.7713999999996</v>
      </c>
      <c r="AA35" s="436"/>
      <c r="AB35" s="436"/>
      <c r="AC35" s="436"/>
      <c r="AD35" s="436"/>
      <c r="AE35" s="436"/>
    </row>
    <row r="36" spans="1:31" ht="31.5" x14ac:dyDescent="0.2">
      <c r="A36" s="421">
        <v>32</v>
      </c>
      <c r="B36" s="16" t="s">
        <v>103</v>
      </c>
      <c r="C36" s="424">
        <v>134143.79166666701</v>
      </c>
      <c r="D36" s="423">
        <v>12</v>
      </c>
      <c r="E36" s="424">
        <f t="shared" si="0"/>
        <v>1609725.5</v>
      </c>
      <c r="F36" s="427"/>
      <c r="G36" s="425">
        <f>17956.78*12</f>
        <v>215481.36</v>
      </c>
      <c r="H36" s="427"/>
      <c r="I36" s="424">
        <f t="shared" si="1"/>
        <v>1394244.14</v>
      </c>
      <c r="J36" s="424">
        <v>200000</v>
      </c>
      <c r="K36" s="424">
        <v>0.2</v>
      </c>
      <c r="L36" s="424">
        <f t="shared" si="2"/>
        <v>278848.82800000103</v>
      </c>
      <c r="M36" s="424">
        <f t="shared" si="3"/>
        <v>478848.82800000103</v>
      </c>
      <c r="N36" s="424">
        <f t="shared" si="4"/>
        <v>694330.18800000101</v>
      </c>
      <c r="O36" s="424">
        <f t="shared" si="5"/>
        <v>915395.31200000294</v>
      </c>
      <c r="P36" s="424">
        <f t="shared" si="6"/>
        <v>21000</v>
      </c>
      <c r="Q36" s="424">
        <f t="shared" si="7"/>
        <v>33000</v>
      </c>
      <c r="R36" s="424">
        <f t="shared" si="8"/>
        <v>47309.296800000498</v>
      </c>
      <c r="S36" s="424">
        <f t="shared" si="9"/>
        <v>0</v>
      </c>
      <c r="T36" s="424">
        <f t="shared" si="10"/>
        <v>0</v>
      </c>
      <c r="U36" s="424"/>
      <c r="V36" s="424">
        <f t="shared" si="12"/>
        <v>101309.296800001</v>
      </c>
      <c r="W36" s="431">
        <v>12</v>
      </c>
      <c r="X36" s="424">
        <f t="shared" si="13"/>
        <v>8442.4414000000397</v>
      </c>
      <c r="Y36" s="427"/>
      <c r="Z36" s="424">
        <f t="shared" si="14"/>
        <v>8442.4414000000397</v>
      </c>
      <c r="AA36" s="436"/>
      <c r="AB36" s="436"/>
      <c r="AC36" s="436"/>
      <c r="AD36" s="436"/>
      <c r="AE36" s="436"/>
    </row>
    <row r="37" spans="1:31" ht="18" x14ac:dyDescent="0.2">
      <c r="A37" s="421"/>
      <c r="B37" s="16"/>
      <c r="C37" s="424"/>
      <c r="D37" s="423"/>
      <c r="E37" s="424"/>
      <c r="F37" s="427"/>
      <c r="G37" s="427"/>
      <c r="H37" s="427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31"/>
      <c r="X37" s="424"/>
      <c r="Y37" s="427"/>
      <c r="Z37" s="424"/>
      <c r="AA37" s="436"/>
      <c r="AB37" s="436"/>
      <c r="AC37" s="436"/>
      <c r="AD37" s="436"/>
      <c r="AE37" s="436"/>
    </row>
    <row r="38" spans="1:31" ht="18" x14ac:dyDescent="0.2">
      <c r="A38" s="421"/>
      <c r="B38" s="16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" x14ac:dyDescent="0.15">
      <c r="A39" s="421"/>
      <c r="B39" s="16" t="s">
        <v>113</v>
      </c>
      <c r="C39" s="430">
        <v>767860</v>
      </c>
      <c r="D39" s="424">
        <v>12</v>
      </c>
      <c r="E39" s="424">
        <f t="shared" ref="E39:E42" si="16">C39*D39</f>
        <v>9214320</v>
      </c>
      <c r="F39" s="424"/>
      <c r="G39" s="425">
        <v>1378291.2</v>
      </c>
      <c r="H39" s="424"/>
      <c r="I39" s="424">
        <f t="shared" ref="I39:I42" si="17">E39-F39-G39-H39</f>
        <v>7836028.7999999998</v>
      </c>
      <c r="J39" s="424">
        <v>200000</v>
      </c>
      <c r="K39" s="424">
        <v>0.2</v>
      </c>
      <c r="L39" s="424">
        <f t="shared" ref="L39:L42" si="18">I39*K39</f>
        <v>1567205.76</v>
      </c>
      <c r="M39" s="424">
        <f t="shared" ref="M39:M42" si="19">J39+L39</f>
        <v>1767205.76</v>
      </c>
      <c r="N39" s="424">
        <f t="shared" ref="N39:N42" si="20">F39+G39+H39+M39</f>
        <v>3145496.96</v>
      </c>
      <c r="O39" s="424">
        <f t="shared" ref="O39:O42" si="21">E39-N39</f>
        <v>6068823.04</v>
      </c>
      <c r="P39" s="424">
        <f t="shared" ref="P39:P42" si="22">IF(O39&lt;300000,0.07*O39,21000)</f>
        <v>21000</v>
      </c>
      <c r="Q39" s="424">
        <f t="shared" ref="Q39:Q42" si="23">IF((O39-300000)&lt;0,0,IF((O39-300000)&lt;300000,0.11*(O39-300000),33000))</f>
        <v>33000</v>
      </c>
      <c r="R39" s="424">
        <f t="shared" ref="R39:R42" si="24">IF((O39-600000)&lt;0,0,IF((O39-600000)&lt;500000,0.15*(O39-600000),75000))</f>
        <v>75000</v>
      </c>
      <c r="S39" s="424">
        <f t="shared" ref="S39:S42" si="25">IF((O39-1100000)&lt;0,0,IF((O39-1100000)&lt;500000,0.19*(O39-1100000),95000))</f>
        <v>95000</v>
      </c>
      <c r="T39" s="424">
        <f t="shared" ref="T39:T42" si="26">IF((O39-1600000)&lt;0,0,IF((O39-1600000)&lt;1600000,0.21*(O39-1600000),336000))</f>
        <v>336000</v>
      </c>
      <c r="U39" s="424">
        <f>24%*(O39-3200000)</f>
        <v>688517.52960000001</v>
      </c>
      <c r="V39" s="424">
        <f t="shared" ref="V39:V42" si="27">P39+Q39+R39+S39+T39+U39</f>
        <v>1248517.5296</v>
      </c>
      <c r="W39" s="424">
        <v>12</v>
      </c>
      <c r="X39" s="424">
        <f t="shared" ref="X39:X42" si="28">V39/W39</f>
        <v>104043.12746666701</v>
      </c>
      <c r="Y39" s="424"/>
      <c r="Z39" s="424">
        <f t="shared" ref="Z39:Z42" si="29">X39</f>
        <v>104043.12746666701</v>
      </c>
      <c r="AA39" s="424">
        <v>161106.806858667</v>
      </c>
      <c r="AB39" s="424">
        <f t="shared" ref="AB39:AB42" si="30">Z39-AA39</f>
        <v>-57063.679392000297</v>
      </c>
      <c r="AC39" s="436"/>
      <c r="AD39" s="436"/>
      <c r="AE39" s="436"/>
    </row>
    <row r="40" spans="1:31" ht="18" x14ac:dyDescent="0.15">
      <c r="A40" s="421"/>
      <c r="B40" s="16" t="s">
        <v>116</v>
      </c>
      <c r="C40" s="430">
        <v>176514.83333333299</v>
      </c>
      <c r="D40" s="423">
        <v>12</v>
      </c>
      <c r="E40" s="424">
        <f t="shared" si="16"/>
        <v>2118178</v>
      </c>
      <c r="F40" s="424"/>
      <c r="G40" s="425">
        <v>281308.48</v>
      </c>
      <c r="H40" s="424"/>
      <c r="I40" s="424">
        <f t="shared" si="17"/>
        <v>1836869.52</v>
      </c>
      <c r="J40" s="424">
        <v>200000</v>
      </c>
      <c r="K40" s="424">
        <v>0.2</v>
      </c>
      <c r="L40" s="424">
        <f t="shared" si="18"/>
        <v>367373.90399999899</v>
      </c>
      <c r="M40" s="424">
        <f t="shared" si="19"/>
        <v>567373.90399999905</v>
      </c>
      <c r="N40" s="424">
        <f t="shared" si="20"/>
        <v>848682.38399999903</v>
      </c>
      <c r="O40" s="424">
        <f t="shared" si="21"/>
        <v>1269495.6159999999</v>
      </c>
      <c r="P40" s="424">
        <f t="shared" si="22"/>
        <v>21000</v>
      </c>
      <c r="Q40" s="424">
        <f t="shared" si="23"/>
        <v>33000</v>
      </c>
      <c r="R40" s="424">
        <f t="shared" si="24"/>
        <v>75000</v>
      </c>
      <c r="S40" s="424">
        <f t="shared" si="25"/>
        <v>32204.1670399994</v>
      </c>
      <c r="T40" s="424">
        <f t="shared" si="26"/>
        <v>0</v>
      </c>
      <c r="U40" s="424"/>
      <c r="V40" s="424">
        <f t="shared" si="27"/>
        <v>161204.16703999901</v>
      </c>
      <c r="W40" s="424">
        <v>12</v>
      </c>
      <c r="X40" s="424">
        <f t="shared" si="28"/>
        <v>13433.6805866666</v>
      </c>
      <c r="Y40" s="424"/>
      <c r="Z40" s="424">
        <f t="shared" si="29"/>
        <v>13433.6805866666</v>
      </c>
      <c r="AA40" s="436">
        <v>17042.713866666702</v>
      </c>
      <c r="AB40" s="424">
        <f t="shared" si="30"/>
        <v>-3609.0332800000901</v>
      </c>
      <c r="AC40" s="436"/>
      <c r="AD40" s="436"/>
      <c r="AE40" s="436"/>
    </row>
    <row r="41" spans="1:31" ht="18" x14ac:dyDescent="0.15">
      <c r="A41" s="421">
        <v>33</v>
      </c>
      <c r="B41" s="9" t="s">
        <v>118</v>
      </c>
      <c r="C41" s="430">
        <v>180482.79166666701</v>
      </c>
      <c r="D41" s="423">
        <v>12</v>
      </c>
      <c r="E41" s="424">
        <f t="shared" si="16"/>
        <v>2165793.5</v>
      </c>
      <c r="F41" s="424"/>
      <c r="G41" s="425">
        <v>288926.96000000002</v>
      </c>
      <c r="H41" s="424"/>
      <c r="I41" s="424">
        <f t="shared" si="17"/>
        <v>1876866.54</v>
      </c>
      <c r="J41" s="424">
        <v>200000</v>
      </c>
      <c r="K41" s="424">
        <v>0.2</v>
      </c>
      <c r="L41" s="424">
        <f t="shared" si="18"/>
        <v>375373.30800000101</v>
      </c>
      <c r="M41" s="424">
        <f t="shared" si="19"/>
        <v>575373.30800000101</v>
      </c>
      <c r="N41" s="424">
        <f t="shared" si="20"/>
        <v>864300.26800000097</v>
      </c>
      <c r="O41" s="424">
        <f t="shared" si="21"/>
        <v>1301493.2320000001</v>
      </c>
      <c r="P41" s="424">
        <f t="shared" si="22"/>
        <v>21000</v>
      </c>
      <c r="Q41" s="424">
        <f t="shared" si="23"/>
        <v>33000</v>
      </c>
      <c r="R41" s="424">
        <f t="shared" si="24"/>
        <v>75000</v>
      </c>
      <c r="S41" s="424">
        <f t="shared" si="25"/>
        <v>38283.714080000602</v>
      </c>
      <c r="T41" s="424">
        <f t="shared" si="26"/>
        <v>0</v>
      </c>
      <c r="U41" s="424"/>
      <c r="V41" s="424">
        <f t="shared" si="27"/>
        <v>167283.71408000099</v>
      </c>
      <c r="W41" s="424">
        <v>12</v>
      </c>
      <c r="X41" s="424">
        <f t="shared" si="28"/>
        <v>13940.309506666699</v>
      </c>
      <c r="Y41" s="424"/>
      <c r="Z41" s="424">
        <f t="shared" si="29"/>
        <v>13940.309506666699</v>
      </c>
      <c r="AA41" s="436">
        <v>26339.0784066667</v>
      </c>
      <c r="AB41" s="424">
        <f t="shared" si="30"/>
        <v>-12398.768899999999</v>
      </c>
      <c r="AC41" s="436"/>
      <c r="AD41" s="436"/>
      <c r="AE41" s="436"/>
    </row>
    <row r="42" spans="1:31" ht="18" x14ac:dyDescent="0.15">
      <c r="A42" s="421">
        <v>33</v>
      </c>
      <c r="B42" s="9" t="s">
        <v>121</v>
      </c>
      <c r="C42" s="430">
        <v>157924.5</v>
      </c>
      <c r="D42" s="423">
        <v>12</v>
      </c>
      <c r="E42" s="424">
        <f t="shared" si="16"/>
        <v>1895094</v>
      </c>
      <c r="F42" s="424"/>
      <c r="G42" s="425">
        <v>288926.96000000002</v>
      </c>
      <c r="H42" s="424"/>
      <c r="I42" s="424">
        <f t="shared" si="17"/>
        <v>1606167.04</v>
      </c>
      <c r="J42" s="424">
        <v>200000</v>
      </c>
      <c r="K42" s="424">
        <v>0.2</v>
      </c>
      <c r="L42" s="424">
        <f t="shared" si="18"/>
        <v>321233.408</v>
      </c>
      <c r="M42" s="424">
        <f t="shared" si="19"/>
        <v>521233.408</v>
      </c>
      <c r="N42" s="424">
        <f t="shared" si="20"/>
        <v>810160.36800000002</v>
      </c>
      <c r="O42" s="424">
        <f t="shared" si="21"/>
        <v>1084933.632</v>
      </c>
      <c r="P42" s="424">
        <f t="shared" si="22"/>
        <v>21000</v>
      </c>
      <c r="Q42" s="424">
        <f t="shared" si="23"/>
        <v>33000</v>
      </c>
      <c r="R42" s="424">
        <f t="shared" si="24"/>
        <v>72740.044800000003</v>
      </c>
      <c r="S42" s="424">
        <f t="shared" si="25"/>
        <v>0</v>
      </c>
      <c r="T42" s="424">
        <f t="shared" si="26"/>
        <v>0</v>
      </c>
      <c r="U42" s="424"/>
      <c r="V42" s="424">
        <f t="shared" si="27"/>
        <v>126740.0448</v>
      </c>
      <c r="W42" s="424">
        <v>12</v>
      </c>
      <c r="X42" s="424">
        <f t="shared" si="28"/>
        <v>10561.670400000001</v>
      </c>
      <c r="Y42" s="424"/>
      <c r="Z42" s="424">
        <f t="shared" si="29"/>
        <v>10561.670400000001</v>
      </c>
      <c r="AA42" s="436">
        <v>26339.0784066667</v>
      </c>
      <c r="AB42" s="424">
        <f t="shared" si="30"/>
        <v>-15777.408006666699</v>
      </c>
      <c r="AC42" s="436"/>
      <c r="AD42" s="436"/>
      <c r="AE42" s="436"/>
    </row>
    <row r="43" spans="1:31" ht="18" x14ac:dyDescent="0.2">
      <c r="A43" s="421"/>
      <c r="B43" s="12"/>
      <c r="C43" s="430"/>
      <c r="D43" s="423"/>
      <c r="E43" s="424"/>
      <c r="F43" s="427"/>
      <c r="G43" s="427"/>
      <c r="H43" s="427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31"/>
      <c r="X43" s="424"/>
      <c r="Y43" s="427"/>
      <c r="Z43" s="424"/>
      <c r="AA43" s="436"/>
      <c r="AB43" s="436"/>
      <c r="AC43" s="436"/>
      <c r="AD43" s="436"/>
      <c r="AE43" s="436"/>
    </row>
    <row r="44" spans="1:31" ht="18" x14ac:dyDescent="0.15">
      <c r="A44" s="421"/>
      <c r="B44" s="21" t="s">
        <v>125</v>
      </c>
      <c r="C44" s="424"/>
      <c r="D44" s="423"/>
      <c r="E44" s="424"/>
      <c r="F44" s="427"/>
      <c r="G44" s="427"/>
      <c r="H44" s="427"/>
      <c r="I44" s="424"/>
      <c r="J44" s="424"/>
      <c r="K44" s="424"/>
      <c r="L44" s="424"/>
      <c r="M44" s="424"/>
      <c r="N44" s="424"/>
      <c r="O44" s="424"/>
      <c r="P44" s="424"/>
      <c r="Q44" s="424"/>
      <c r="R44" s="424"/>
      <c r="S44" s="424"/>
      <c r="T44" s="424"/>
      <c r="U44" s="424"/>
      <c r="V44" s="424"/>
      <c r="W44" s="431"/>
      <c r="X44" s="424"/>
      <c r="Y44" s="427"/>
      <c r="Z44" s="424"/>
      <c r="AA44" s="436"/>
      <c r="AB44" s="436"/>
      <c r="AC44" s="436"/>
      <c r="AD44" s="436"/>
      <c r="AE44" s="436"/>
    </row>
    <row r="45" spans="1:31" ht="31.5" x14ac:dyDescent="0.2">
      <c r="A45" s="421">
        <v>35</v>
      </c>
      <c r="B45" s="9" t="s">
        <v>536</v>
      </c>
      <c r="C45" s="422">
        <v>1635720</v>
      </c>
      <c r="D45" s="423">
        <v>12</v>
      </c>
      <c r="E45" s="424">
        <f t="shared" ref="E45:E54" si="31">C45*D45</f>
        <v>19628640</v>
      </c>
      <c r="F45" s="424"/>
      <c r="G45" s="425">
        <v>1378291.2</v>
      </c>
      <c r="H45" s="424"/>
      <c r="I45" s="424">
        <f t="shared" ref="I45:I54" si="32">E45-F45-G45-H45</f>
        <v>18250348.800000001</v>
      </c>
      <c r="J45" s="424">
        <v>200000</v>
      </c>
      <c r="K45" s="424">
        <v>0.2</v>
      </c>
      <c r="L45" s="424">
        <f t="shared" ref="L45:L54" si="33">I45*K45</f>
        <v>3650069.76</v>
      </c>
      <c r="M45" s="424">
        <f t="shared" ref="M45:M54" si="34">J45+L45</f>
        <v>3850069.76</v>
      </c>
      <c r="N45" s="424">
        <f t="shared" ref="N45:N54" si="35">F45+G45+H45+M45</f>
        <v>5228360.96</v>
      </c>
      <c r="O45" s="424">
        <f t="shared" ref="O45:O54" si="36">E45-N45</f>
        <v>14400279.039999999</v>
      </c>
      <c r="P45" s="424">
        <f t="shared" ref="P45:P54" si="37">IF(O45&lt;300000,0.07*O45,21000)</f>
        <v>21000</v>
      </c>
      <c r="Q45" s="424">
        <f t="shared" ref="Q45:Q54" si="38">IF((O45-300000)&lt;0,0,IF((O45-300000)&lt;300000,0.11*(O45-300000),33000))</f>
        <v>33000</v>
      </c>
      <c r="R45" s="424">
        <f t="shared" ref="R45:R54" si="39">IF((O45-600000)&lt;0,0,IF((O45-600000)&lt;500000,0.15*(O45-600000),75000))</f>
        <v>75000</v>
      </c>
      <c r="S45" s="424">
        <f t="shared" ref="S45:S54" si="40">IF((O45-1100000)&lt;0,0,IF((O45-1100000)&lt;500000,0.19*(O45-1100000),95000))</f>
        <v>95000</v>
      </c>
      <c r="T45" s="424">
        <f t="shared" ref="T45:T54" si="41">IF((O45-1600000)&lt;0,0,IF((O45-1600000)&lt;1600000,0.21*(O45-1600000),336000))</f>
        <v>336000</v>
      </c>
      <c r="U45" s="424">
        <f>0.24*(O45-3200000)</f>
        <v>2688066.9696</v>
      </c>
      <c r="V45" s="424">
        <f t="shared" ref="V45:V54" si="42">P45+Q45+R45+S45+T45+U45</f>
        <v>3248066.9696</v>
      </c>
      <c r="W45" s="431">
        <v>12</v>
      </c>
      <c r="X45" s="424">
        <f t="shared" ref="X45:X54" si="43">V45/W45</f>
        <v>270672.24746666697</v>
      </c>
      <c r="Y45" s="424"/>
      <c r="Z45" s="424">
        <f t="shared" ref="Z45:Z54" si="44">X45</f>
        <v>270672.24746666697</v>
      </c>
      <c r="AA45" s="436">
        <v>180306.806858667</v>
      </c>
      <c r="AB45" s="436">
        <f t="shared" ref="AB45:AB54" si="45">Z45-AA45</f>
        <v>90365.440607999597</v>
      </c>
      <c r="AC45" s="436"/>
      <c r="AD45" s="436"/>
      <c r="AE45" s="436"/>
    </row>
    <row r="46" spans="1:31" ht="18" x14ac:dyDescent="0.15">
      <c r="A46" s="421">
        <v>36</v>
      </c>
      <c r="B46" s="9" t="s">
        <v>538</v>
      </c>
      <c r="C46" s="424">
        <v>780675.58333333302</v>
      </c>
      <c r="D46" s="423">
        <v>12</v>
      </c>
      <c r="E46" s="424">
        <f t="shared" si="31"/>
        <v>9368107</v>
      </c>
      <c r="F46" s="427"/>
      <c r="G46" s="425">
        <v>595848.56000000006</v>
      </c>
      <c r="H46" s="427"/>
      <c r="I46" s="424">
        <f t="shared" si="32"/>
        <v>8772258.4399999995</v>
      </c>
      <c r="J46" s="424">
        <v>200000</v>
      </c>
      <c r="K46" s="424">
        <v>0.2</v>
      </c>
      <c r="L46" s="424">
        <f t="shared" si="33"/>
        <v>1754451.6880000001</v>
      </c>
      <c r="M46" s="424">
        <f t="shared" si="34"/>
        <v>1954451.6880000001</v>
      </c>
      <c r="N46" s="424">
        <f t="shared" si="35"/>
        <v>2550300.2480000001</v>
      </c>
      <c r="O46" s="424">
        <f t="shared" si="36"/>
        <v>6817806.7520000003</v>
      </c>
      <c r="P46" s="424">
        <f t="shared" si="37"/>
        <v>21000</v>
      </c>
      <c r="Q46" s="424">
        <f t="shared" si="38"/>
        <v>33000</v>
      </c>
      <c r="R46" s="424">
        <f t="shared" si="39"/>
        <v>75000</v>
      </c>
      <c r="S46" s="424">
        <f t="shared" si="40"/>
        <v>95000</v>
      </c>
      <c r="T46" s="424">
        <f t="shared" si="41"/>
        <v>336000</v>
      </c>
      <c r="U46" s="424">
        <f t="shared" ref="U46:U52" si="46">24%*(O46-3200000)</f>
        <v>868273.62047999899</v>
      </c>
      <c r="V46" s="424">
        <f t="shared" si="42"/>
        <v>1428273.62048</v>
      </c>
      <c r="W46" s="431">
        <v>12</v>
      </c>
      <c r="X46" s="424">
        <f t="shared" si="43"/>
        <v>119022.801706667</v>
      </c>
      <c r="Y46" s="427"/>
      <c r="Z46" s="424">
        <f t="shared" si="44"/>
        <v>119022.801706667</v>
      </c>
      <c r="AA46" s="436">
        <v>79956.9391466667</v>
      </c>
      <c r="AB46" s="436">
        <f t="shared" si="45"/>
        <v>39065.8625599999</v>
      </c>
      <c r="AC46" s="436"/>
      <c r="AD46" s="436"/>
      <c r="AE46" s="436"/>
    </row>
    <row r="47" spans="1:31" ht="18" x14ac:dyDescent="0.15">
      <c r="A47" s="421">
        <v>37</v>
      </c>
      <c r="B47" s="9" t="s">
        <v>126</v>
      </c>
      <c r="C47" s="424">
        <v>919203.58333333302</v>
      </c>
      <c r="D47" s="423">
        <v>12</v>
      </c>
      <c r="E47" s="424">
        <f t="shared" si="31"/>
        <v>11030443</v>
      </c>
      <c r="F47" s="427"/>
      <c r="G47" s="425">
        <v>709635.44</v>
      </c>
      <c r="H47" s="427"/>
      <c r="I47" s="424">
        <f t="shared" si="32"/>
        <v>10320807.560000001</v>
      </c>
      <c r="J47" s="424">
        <v>200000</v>
      </c>
      <c r="K47" s="424">
        <v>0.2</v>
      </c>
      <c r="L47" s="424">
        <f t="shared" si="33"/>
        <v>2064161.5120000001</v>
      </c>
      <c r="M47" s="424">
        <f t="shared" si="34"/>
        <v>2264161.5120000001</v>
      </c>
      <c r="N47" s="424">
        <f t="shared" si="35"/>
        <v>2973796.952</v>
      </c>
      <c r="O47" s="424">
        <f t="shared" si="36"/>
        <v>8056646.0480000004</v>
      </c>
      <c r="P47" s="424">
        <f t="shared" si="37"/>
        <v>21000</v>
      </c>
      <c r="Q47" s="424">
        <f t="shared" si="38"/>
        <v>33000</v>
      </c>
      <c r="R47" s="424">
        <f t="shared" si="39"/>
        <v>75000</v>
      </c>
      <c r="S47" s="424">
        <f t="shared" si="40"/>
        <v>95000</v>
      </c>
      <c r="T47" s="424">
        <f t="shared" si="41"/>
        <v>336000</v>
      </c>
      <c r="U47" s="424">
        <f t="shared" si="46"/>
        <v>1165595.05152</v>
      </c>
      <c r="V47" s="424">
        <f t="shared" si="42"/>
        <v>1725595.05152</v>
      </c>
      <c r="W47" s="431">
        <v>12</v>
      </c>
      <c r="X47" s="424">
        <f t="shared" si="43"/>
        <v>143799.58762666699</v>
      </c>
      <c r="Y47" s="427"/>
      <c r="Z47" s="424">
        <f t="shared" si="44"/>
        <v>143799.58762666699</v>
      </c>
      <c r="AA47" s="436">
        <v>97273.513850666699</v>
      </c>
      <c r="AB47" s="436">
        <f t="shared" si="45"/>
        <v>46526.073775999903</v>
      </c>
      <c r="AC47" s="436"/>
      <c r="AD47" s="436"/>
      <c r="AE47" s="436"/>
    </row>
    <row r="48" spans="1:31" ht="18" x14ac:dyDescent="0.15">
      <c r="A48" s="421">
        <v>38</v>
      </c>
      <c r="B48" s="9" t="s">
        <v>129</v>
      </c>
      <c r="C48" s="424">
        <v>780675.58333333302</v>
      </c>
      <c r="D48" s="423">
        <v>12</v>
      </c>
      <c r="E48" s="424">
        <f t="shared" si="31"/>
        <v>9368107</v>
      </c>
      <c r="F48" s="427"/>
      <c r="G48" s="425">
        <v>595848.56000000006</v>
      </c>
      <c r="H48" s="427"/>
      <c r="I48" s="424">
        <f t="shared" si="32"/>
        <v>8772258.4399999995</v>
      </c>
      <c r="J48" s="424">
        <v>200000</v>
      </c>
      <c r="K48" s="424">
        <v>0.2</v>
      </c>
      <c r="L48" s="424">
        <f t="shared" si="33"/>
        <v>1754451.6880000001</v>
      </c>
      <c r="M48" s="424">
        <f t="shared" si="34"/>
        <v>1954451.6880000001</v>
      </c>
      <c r="N48" s="424">
        <f t="shared" si="35"/>
        <v>2550300.2480000001</v>
      </c>
      <c r="O48" s="424">
        <f t="shared" si="36"/>
        <v>6817806.7520000003</v>
      </c>
      <c r="P48" s="424">
        <f t="shared" si="37"/>
        <v>21000</v>
      </c>
      <c r="Q48" s="424">
        <f t="shared" si="38"/>
        <v>33000</v>
      </c>
      <c r="R48" s="424">
        <f t="shared" si="39"/>
        <v>75000</v>
      </c>
      <c r="S48" s="424">
        <f t="shared" si="40"/>
        <v>95000</v>
      </c>
      <c r="T48" s="424">
        <f t="shared" si="41"/>
        <v>336000</v>
      </c>
      <c r="U48" s="424">
        <f t="shared" si="46"/>
        <v>868273.62047999899</v>
      </c>
      <c r="V48" s="424">
        <f t="shared" si="42"/>
        <v>1428273.62048</v>
      </c>
      <c r="W48" s="431">
        <v>12</v>
      </c>
      <c r="X48" s="424">
        <f t="shared" si="43"/>
        <v>119022.801706667</v>
      </c>
      <c r="Y48" s="427"/>
      <c r="Z48" s="424">
        <f t="shared" si="44"/>
        <v>119022.801706667</v>
      </c>
      <c r="AA48" s="436">
        <v>79956.9391466667</v>
      </c>
      <c r="AB48" s="436">
        <f t="shared" si="45"/>
        <v>39065.8625599999</v>
      </c>
      <c r="AC48" s="436"/>
      <c r="AD48" s="436"/>
      <c r="AE48" s="436"/>
    </row>
    <row r="49" spans="1:31" ht="18" x14ac:dyDescent="0.15">
      <c r="A49" s="421">
        <v>39</v>
      </c>
      <c r="B49" s="9" t="s">
        <v>132</v>
      </c>
      <c r="C49" s="424">
        <v>780675.58333333302</v>
      </c>
      <c r="D49" s="423">
        <v>12</v>
      </c>
      <c r="E49" s="424">
        <f t="shared" si="31"/>
        <v>9368107</v>
      </c>
      <c r="F49" s="424">
        <f>'[8]JANUARY 2024'!$V$47*12</f>
        <v>10052.25</v>
      </c>
      <c r="G49" s="425">
        <v>595848.56000000006</v>
      </c>
      <c r="H49" s="427"/>
      <c r="I49" s="424">
        <f t="shared" si="32"/>
        <v>8762206.1899999995</v>
      </c>
      <c r="J49" s="424">
        <v>200000</v>
      </c>
      <c r="K49" s="424">
        <v>0.2</v>
      </c>
      <c r="L49" s="424">
        <f t="shared" si="33"/>
        <v>1752441.2379999999</v>
      </c>
      <c r="M49" s="424">
        <f t="shared" si="34"/>
        <v>1952441.2379999999</v>
      </c>
      <c r="N49" s="424">
        <f t="shared" si="35"/>
        <v>2558342.048</v>
      </c>
      <c r="O49" s="424">
        <f t="shared" si="36"/>
        <v>6809764.9519999996</v>
      </c>
      <c r="P49" s="424">
        <f t="shared" si="37"/>
        <v>21000</v>
      </c>
      <c r="Q49" s="424">
        <f t="shared" si="38"/>
        <v>33000</v>
      </c>
      <c r="R49" s="424">
        <f t="shared" si="39"/>
        <v>75000</v>
      </c>
      <c r="S49" s="424">
        <f t="shared" si="40"/>
        <v>95000</v>
      </c>
      <c r="T49" s="424">
        <f t="shared" si="41"/>
        <v>336000</v>
      </c>
      <c r="U49" s="424">
        <f t="shared" si="46"/>
        <v>866343.58847999899</v>
      </c>
      <c r="V49" s="424">
        <f t="shared" si="42"/>
        <v>1426343.5884799999</v>
      </c>
      <c r="W49" s="431">
        <v>12</v>
      </c>
      <c r="X49" s="424">
        <f t="shared" si="43"/>
        <v>118861.965706667</v>
      </c>
      <c r="Y49" s="427"/>
      <c r="Z49" s="424">
        <f t="shared" si="44"/>
        <v>118861.965706667</v>
      </c>
      <c r="AA49" s="436">
        <v>79796.103146666603</v>
      </c>
      <c r="AB49" s="436">
        <f t="shared" si="45"/>
        <v>39065.862560000001</v>
      </c>
      <c r="AC49" s="436"/>
      <c r="AD49" s="436"/>
      <c r="AE49" s="436"/>
    </row>
    <row r="50" spans="1:31" ht="18" x14ac:dyDescent="0.15">
      <c r="A50" s="421">
        <v>40</v>
      </c>
      <c r="B50" s="9" t="s">
        <v>133</v>
      </c>
      <c r="C50" s="424">
        <v>742118.08333333302</v>
      </c>
      <c r="D50" s="423">
        <v>12</v>
      </c>
      <c r="E50" s="424">
        <f t="shared" si="31"/>
        <v>8905417</v>
      </c>
      <c r="F50" s="424"/>
      <c r="G50" s="425">
        <v>558833.36</v>
      </c>
      <c r="H50" s="427"/>
      <c r="I50" s="424">
        <f t="shared" si="32"/>
        <v>8346583.6399999997</v>
      </c>
      <c r="J50" s="424">
        <v>200000</v>
      </c>
      <c r="K50" s="424">
        <v>0.2</v>
      </c>
      <c r="L50" s="424">
        <f t="shared" si="33"/>
        <v>1669316.7279999999</v>
      </c>
      <c r="M50" s="424">
        <f t="shared" si="34"/>
        <v>1869316.7279999999</v>
      </c>
      <c r="N50" s="424">
        <f t="shared" si="35"/>
        <v>2428150.088</v>
      </c>
      <c r="O50" s="424">
        <f t="shared" si="36"/>
        <v>6477266.9119999995</v>
      </c>
      <c r="P50" s="424">
        <f t="shared" si="37"/>
        <v>21000</v>
      </c>
      <c r="Q50" s="424">
        <f t="shared" si="38"/>
        <v>33000</v>
      </c>
      <c r="R50" s="424">
        <f t="shared" si="39"/>
        <v>75000</v>
      </c>
      <c r="S50" s="424">
        <f t="shared" si="40"/>
        <v>95000</v>
      </c>
      <c r="T50" s="424">
        <f t="shared" si="41"/>
        <v>336000</v>
      </c>
      <c r="U50" s="424">
        <f t="shared" si="46"/>
        <v>786544.05887999898</v>
      </c>
      <c r="V50" s="424">
        <f t="shared" si="42"/>
        <v>1346544.0588799999</v>
      </c>
      <c r="W50" s="431">
        <v>12</v>
      </c>
      <c r="X50" s="424">
        <f t="shared" si="43"/>
        <v>112212.004906667</v>
      </c>
      <c r="Y50" s="427"/>
      <c r="Z50" s="424">
        <f t="shared" si="44"/>
        <v>112212.004906667</v>
      </c>
      <c r="AA50" s="436">
        <v>75572.915690666705</v>
      </c>
      <c r="AB50" s="436">
        <f t="shared" si="45"/>
        <v>36639.089215999898</v>
      </c>
      <c r="AC50" s="436"/>
      <c r="AD50" s="436"/>
      <c r="AE50" s="436"/>
    </row>
    <row r="51" spans="1:31" ht="18" x14ac:dyDescent="0.15">
      <c r="A51" s="421">
        <v>41</v>
      </c>
      <c r="B51" s="12" t="s">
        <v>134</v>
      </c>
      <c r="C51" s="424">
        <v>610498</v>
      </c>
      <c r="D51" s="423">
        <v>12</v>
      </c>
      <c r="E51" s="424">
        <f t="shared" si="31"/>
        <v>7325976</v>
      </c>
      <c r="F51" s="424"/>
      <c r="G51" s="425">
        <v>451678.08</v>
      </c>
      <c r="H51" s="427"/>
      <c r="I51" s="424">
        <f t="shared" si="32"/>
        <v>6874297.9199999999</v>
      </c>
      <c r="J51" s="424">
        <v>200000</v>
      </c>
      <c r="K51" s="424">
        <v>0.2</v>
      </c>
      <c r="L51" s="424">
        <f t="shared" si="33"/>
        <v>1374859.584</v>
      </c>
      <c r="M51" s="424">
        <f t="shared" si="34"/>
        <v>1574859.584</v>
      </c>
      <c r="N51" s="424">
        <f t="shared" si="35"/>
        <v>2026537.6640000001</v>
      </c>
      <c r="O51" s="424">
        <f t="shared" si="36"/>
        <v>5299438.3360000001</v>
      </c>
      <c r="P51" s="424">
        <f t="shared" si="37"/>
        <v>21000</v>
      </c>
      <c r="Q51" s="424">
        <f t="shared" si="38"/>
        <v>33000</v>
      </c>
      <c r="R51" s="424">
        <f t="shared" si="39"/>
        <v>75000</v>
      </c>
      <c r="S51" s="424">
        <f t="shared" si="40"/>
        <v>95000</v>
      </c>
      <c r="T51" s="424">
        <f t="shared" si="41"/>
        <v>336000</v>
      </c>
      <c r="U51" s="424">
        <f t="shared" si="46"/>
        <v>503865.20064</v>
      </c>
      <c r="V51" s="424">
        <f t="shared" si="42"/>
        <v>1063865.2006399999</v>
      </c>
      <c r="W51" s="431">
        <v>12</v>
      </c>
      <c r="X51" s="424">
        <f t="shared" si="43"/>
        <v>88655.4333866667</v>
      </c>
      <c r="Y51" s="427"/>
      <c r="Z51" s="424">
        <f t="shared" si="44"/>
        <v>88655.4333866667</v>
      </c>
      <c r="AA51" s="436">
        <v>58026.609434666701</v>
      </c>
      <c r="AB51" s="436">
        <f t="shared" si="45"/>
        <v>30628.823951999999</v>
      </c>
      <c r="AC51" s="436"/>
      <c r="AD51" s="436"/>
      <c r="AE51" s="436"/>
    </row>
    <row r="52" spans="1:31" ht="18" x14ac:dyDescent="0.15">
      <c r="A52" s="421">
        <v>42</v>
      </c>
      <c r="B52" s="9" t="s">
        <v>138</v>
      </c>
      <c r="C52" s="424">
        <v>400965.58333333302</v>
      </c>
      <c r="D52" s="423">
        <v>12</v>
      </c>
      <c r="E52" s="424">
        <f t="shared" si="31"/>
        <v>4811587</v>
      </c>
      <c r="F52" s="424"/>
      <c r="G52" s="425">
        <v>288926.96000000002</v>
      </c>
      <c r="H52" s="427"/>
      <c r="I52" s="424">
        <f t="shared" si="32"/>
        <v>4522660.04</v>
      </c>
      <c r="J52" s="424">
        <v>200000</v>
      </c>
      <c r="K52" s="424">
        <v>0.2</v>
      </c>
      <c r="L52" s="424">
        <f t="shared" si="33"/>
        <v>904532.00799999898</v>
      </c>
      <c r="M52" s="424">
        <f t="shared" si="34"/>
        <v>1104532.0079999999</v>
      </c>
      <c r="N52" s="424">
        <f t="shared" si="35"/>
        <v>1393458.9680000001</v>
      </c>
      <c r="O52" s="424">
        <f t="shared" si="36"/>
        <v>3418128.0320000001</v>
      </c>
      <c r="P52" s="424">
        <f t="shared" si="37"/>
        <v>21000</v>
      </c>
      <c r="Q52" s="424">
        <f t="shared" si="38"/>
        <v>33000</v>
      </c>
      <c r="R52" s="424">
        <f t="shared" si="39"/>
        <v>75000</v>
      </c>
      <c r="S52" s="424">
        <f t="shared" si="40"/>
        <v>95000</v>
      </c>
      <c r="T52" s="424">
        <f t="shared" si="41"/>
        <v>336000</v>
      </c>
      <c r="U52" s="424">
        <f t="shared" si="46"/>
        <v>52350.727679999203</v>
      </c>
      <c r="V52" s="424">
        <f t="shared" si="42"/>
        <v>612350.72767999896</v>
      </c>
      <c r="W52" s="431">
        <v>12</v>
      </c>
      <c r="X52" s="424">
        <f t="shared" si="43"/>
        <v>51029.227306666602</v>
      </c>
      <c r="Y52" s="427"/>
      <c r="Z52" s="424">
        <f t="shared" si="44"/>
        <v>51029.227306666602</v>
      </c>
      <c r="AA52" s="436">
        <v>33059.078406666697</v>
      </c>
      <c r="AB52" s="436">
        <f t="shared" si="45"/>
        <v>17970.148899999898</v>
      </c>
      <c r="AC52" s="436"/>
      <c r="AD52" s="436"/>
      <c r="AE52" s="436"/>
    </row>
    <row r="53" spans="1:31" ht="18" x14ac:dyDescent="0.15">
      <c r="A53" s="421">
        <v>43</v>
      </c>
      <c r="B53" s="9" t="s">
        <v>142</v>
      </c>
      <c r="C53" s="424">
        <v>363165.33333333302</v>
      </c>
      <c r="D53" s="423">
        <v>12</v>
      </c>
      <c r="E53" s="424">
        <f t="shared" si="31"/>
        <v>4357984</v>
      </c>
      <c r="F53" s="424"/>
      <c r="G53" s="425">
        <v>252638.72</v>
      </c>
      <c r="H53" s="427"/>
      <c r="I53" s="424">
        <f t="shared" si="32"/>
        <v>4105345.28</v>
      </c>
      <c r="J53" s="424">
        <v>200000</v>
      </c>
      <c r="K53" s="424">
        <v>0.2</v>
      </c>
      <c r="L53" s="424">
        <f t="shared" si="33"/>
        <v>821069.05599999905</v>
      </c>
      <c r="M53" s="424">
        <f t="shared" si="34"/>
        <v>1021069.056</v>
      </c>
      <c r="N53" s="424">
        <f t="shared" si="35"/>
        <v>1273707.7760000001</v>
      </c>
      <c r="O53" s="424">
        <f t="shared" si="36"/>
        <v>3084276.2239999999</v>
      </c>
      <c r="P53" s="424">
        <f t="shared" si="37"/>
        <v>21000</v>
      </c>
      <c r="Q53" s="424">
        <f t="shared" si="38"/>
        <v>33000</v>
      </c>
      <c r="R53" s="424">
        <f t="shared" si="39"/>
        <v>75000</v>
      </c>
      <c r="S53" s="424">
        <f t="shared" si="40"/>
        <v>95000</v>
      </c>
      <c r="T53" s="424">
        <f t="shared" si="41"/>
        <v>311698.00703999901</v>
      </c>
      <c r="U53" s="424"/>
      <c r="V53" s="424">
        <f t="shared" si="42"/>
        <v>535698.00703999901</v>
      </c>
      <c r="W53" s="431">
        <v>12</v>
      </c>
      <c r="X53" s="424">
        <f t="shared" si="43"/>
        <v>44641.500586666603</v>
      </c>
      <c r="Y53" s="427"/>
      <c r="Z53" s="424">
        <f t="shared" si="44"/>
        <v>44641.500586666603</v>
      </c>
      <c r="AA53" s="436">
        <v>29058.4826046667</v>
      </c>
      <c r="AB53" s="436">
        <f t="shared" si="45"/>
        <v>15583.017981999899</v>
      </c>
      <c r="AC53" s="436"/>
      <c r="AD53" s="436"/>
      <c r="AE53" s="436"/>
    </row>
    <row r="54" spans="1:31" ht="18" x14ac:dyDescent="0.15">
      <c r="A54" s="421">
        <v>44</v>
      </c>
      <c r="B54" s="9" t="s">
        <v>143</v>
      </c>
      <c r="C54" s="424">
        <v>363165.33333333302</v>
      </c>
      <c r="D54" s="423">
        <v>12</v>
      </c>
      <c r="E54" s="424">
        <f t="shared" si="31"/>
        <v>4357984</v>
      </c>
      <c r="F54" s="424"/>
      <c r="G54" s="425">
        <v>252638.72</v>
      </c>
      <c r="H54" s="427"/>
      <c r="I54" s="424">
        <f t="shared" si="32"/>
        <v>4105345.28</v>
      </c>
      <c r="J54" s="424">
        <v>200000</v>
      </c>
      <c r="K54" s="424">
        <v>0.2</v>
      </c>
      <c r="L54" s="424">
        <f t="shared" si="33"/>
        <v>821069.05599999905</v>
      </c>
      <c r="M54" s="424">
        <f t="shared" si="34"/>
        <v>1021069.056</v>
      </c>
      <c r="N54" s="424">
        <f t="shared" si="35"/>
        <v>1273707.7760000001</v>
      </c>
      <c r="O54" s="424">
        <f t="shared" si="36"/>
        <v>3084276.2239999999</v>
      </c>
      <c r="P54" s="424">
        <f t="shared" si="37"/>
        <v>21000</v>
      </c>
      <c r="Q54" s="424">
        <f t="shared" si="38"/>
        <v>33000</v>
      </c>
      <c r="R54" s="424">
        <f t="shared" si="39"/>
        <v>75000</v>
      </c>
      <c r="S54" s="424">
        <f t="shared" si="40"/>
        <v>95000</v>
      </c>
      <c r="T54" s="424">
        <f t="shared" si="41"/>
        <v>311698.00703999901</v>
      </c>
      <c r="U54" s="424"/>
      <c r="V54" s="424">
        <f t="shared" si="42"/>
        <v>535698.00703999901</v>
      </c>
      <c r="W54" s="431">
        <v>12</v>
      </c>
      <c r="X54" s="424">
        <f t="shared" si="43"/>
        <v>44641.500586666603</v>
      </c>
      <c r="Y54" s="427"/>
      <c r="Z54" s="424">
        <f t="shared" si="44"/>
        <v>44641.500586666603</v>
      </c>
      <c r="AA54" s="436">
        <v>28360.952862666702</v>
      </c>
      <c r="AB54" s="436">
        <f t="shared" si="45"/>
        <v>16280.5477239999</v>
      </c>
      <c r="AC54" s="436"/>
      <c r="AD54" s="436"/>
      <c r="AE54" s="436"/>
    </row>
    <row r="55" spans="1:31" ht="18" x14ac:dyDescent="0.2">
      <c r="A55" s="421"/>
      <c r="B55" s="20"/>
      <c r="C55" s="429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18" x14ac:dyDescent="0.2">
      <c r="A56" s="421"/>
      <c r="B56" s="20"/>
      <c r="C56" s="429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" x14ac:dyDescent="0.15">
      <c r="A57" s="421"/>
      <c r="B57" s="18" t="s">
        <v>145</v>
      </c>
      <c r="C57" s="424"/>
      <c r="D57" s="423"/>
      <c r="E57" s="424"/>
      <c r="F57" s="424"/>
      <c r="G57" s="427"/>
      <c r="H57" s="427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31"/>
      <c r="X57" s="424"/>
      <c r="Y57" s="427"/>
      <c r="Z57" s="424"/>
      <c r="AA57" s="436"/>
      <c r="AB57" s="436"/>
      <c r="AC57" s="436"/>
      <c r="AD57" s="436"/>
      <c r="AE57" s="436"/>
    </row>
    <row r="58" spans="1:31" ht="18" x14ac:dyDescent="0.15">
      <c r="A58" s="421">
        <v>47</v>
      </c>
      <c r="B58" s="9" t="s">
        <v>146</v>
      </c>
      <c r="C58" s="424">
        <v>1635720</v>
      </c>
      <c r="D58" s="423">
        <v>12</v>
      </c>
      <c r="E58" s="424">
        <f t="shared" ref="E58:E71" si="47">C58*D58</f>
        <v>19628640</v>
      </c>
      <c r="F58" s="424"/>
      <c r="G58" s="425">
        <v>1378291.2</v>
      </c>
      <c r="H58" s="427"/>
      <c r="I58" s="424">
        <f t="shared" ref="I58:I71" si="48">E58-F58-G58-H58</f>
        <v>18250348.800000001</v>
      </c>
      <c r="J58" s="424">
        <v>200000</v>
      </c>
      <c r="K58" s="424">
        <v>0.2</v>
      </c>
      <c r="L58" s="424">
        <f t="shared" ref="L58:L71" si="49">I58*K58</f>
        <v>3650069.76</v>
      </c>
      <c r="M58" s="424">
        <f t="shared" ref="M58:M71" si="50">J58+L58</f>
        <v>3850069.76</v>
      </c>
      <c r="N58" s="424">
        <f t="shared" ref="N58:N71" si="51">F58+G58+H58+M58</f>
        <v>5228360.96</v>
      </c>
      <c r="O58" s="424">
        <f t="shared" ref="O58:O71" si="52">E58-N58</f>
        <v>14400279.039999999</v>
      </c>
      <c r="P58" s="424">
        <f t="shared" ref="P58:P71" si="53">IF(O58&lt;300000,0.07*O58,21000)</f>
        <v>21000</v>
      </c>
      <c r="Q58" s="424">
        <f t="shared" ref="Q58:Q71" si="54">IF((O58-300000)&lt;0,0,IF((O58-300000)&lt;300000,0.11*(O58-300000),33000))</f>
        <v>33000</v>
      </c>
      <c r="R58" s="424">
        <f t="shared" ref="R58:R71" si="55">IF((O58-600000)&lt;0,0,IF((O58-600000)&lt;500000,0.15*(O58-600000),75000))</f>
        <v>75000</v>
      </c>
      <c r="S58" s="424">
        <f t="shared" ref="S58:S71" si="56">IF((O58-1100000)&lt;0,0,IF((O58-1100000)&lt;500000,0.19*(O58-1100000),95000))</f>
        <v>95000</v>
      </c>
      <c r="T58" s="424">
        <f t="shared" ref="T58:T71" si="57">IF((O58-1600000)&lt;0,0,IF((O58-1600000)&lt;1600000,0.21*(O58-1600000),336000))</f>
        <v>336000</v>
      </c>
      <c r="U58" s="424">
        <f t="shared" ref="U58:U71" si="58">24%*(O58-3200000)</f>
        <v>2688066.9696</v>
      </c>
      <c r="V58" s="424">
        <f t="shared" ref="V58:V71" si="59">P58+Q58+R58+S58+T58+U58</f>
        <v>3248066.9696</v>
      </c>
      <c r="W58" s="431">
        <v>12</v>
      </c>
      <c r="X58" s="424">
        <f t="shared" ref="X58:X71" si="60">V58/W58</f>
        <v>270672.24746666697</v>
      </c>
      <c r="Y58" s="427"/>
      <c r="Z58" s="424">
        <f t="shared" ref="Z58:Z71" si="61">X58</f>
        <v>270672.24746666697</v>
      </c>
      <c r="AA58" s="436">
        <v>180306.806858667</v>
      </c>
      <c r="AB58" s="436">
        <f t="shared" ref="AB58:AB71" si="62">Z58-AA58</f>
        <v>90365.440607999597</v>
      </c>
      <c r="AC58" s="436"/>
      <c r="AD58" s="436"/>
      <c r="AE58" s="436"/>
    </row>
    <row r="59" spans="1:31" ht="18" x14ac:dyDescent="0.15">
      <c r="A59" s="421">
        <v>48</v>
      </c>
      <c r="B59" s="9" t="s">
        <v>148</v>
      </c>
      <c r="C59" s="424">
        <v>700675.58333333302</v>
      </c>
      <c r="D59" s="423">
        <v>12</v>
      </c>
      <c r="E59" s="424">
        <f t="shared" si="47"/>
        <v>8408107</v>
      </c>
      <c r="F59" s="424"/>
      <c r="G59" s="424">
        <v>595848.56000000006</v>
      </c>
      <c r="H59" s="427"/>
      <c r="I59" s="424">
        <f t="shared" si="48"/>
        <v>7812258.4400000004</v>
      </c>
      <c r="J59" s="424">
        <v>200000</v>
      </c>
      <c r="K59" s="424">
        <v>0.2</v>
      </c>
      <c r="L59" s="424">
        <f t="shared" si="49"/>
        <v>1562451.6880000001</v>
      </c>
      <c r="M59" s="424">
        <f t="shared" si="50"/>
        <v>1762451.6880000001</v>
      </c>
      <c r="N59" s="424">
        <f t="shared" si="51"/>
        <v>2358300.2480000001</v>
      </c>
      <c r="O59" s="424">
        <f t="shared" si="52"/>
        <v>6049806.7520000003</v>
      </c>
      <c r="P59" s="424">
        <f t="shared" si="53"/>
        <v>21000</v>
      </c>
      <c r="Q59" s="424">
        <f t="shared" si="54"/>
        <v>33000</v>
      </c>
      <c r="R59" s="424">
        <f t="shared" si="55"/>
        <v>75000</v>
      </c>
      <c r="S59" s="424">
        <f t="shared" si="56"/>
        <v>95000</v>
      </c>
      <c r="T59" s="424">
        <f t="shared" si="57"/>
        <v>336000</v>
      </c>
      <c r="U59" s="424">
        <f t="shared" si="58"/>
        <v>683953.62047999899</v>
      </c>
      <c r="V59" s="424">
        <f t="shared" si="59"/>
        <v>1243953.62048</v>
      </c>
      <c r="W59" s="431">
        <v>12</v>
      </c>
      <c r="X59" s="424">
        <f t="shared" si="60"/>
        <v>103662.801706667</v>
      </c>
      <c r="Y59" s="427"/>
      <c r="Z59" s="424">
        <f t="shared" si="61"/>
        <v>103662.801706667</v>
      </c>
      <c r="AA59" s="436">
        <v>64596.9391466667</v>
      </c>
      <c r="AB59" s="436">
        <f t="shared" si="62"/>
        <v>39065.8625599999</v>
      </c>
      <c r="AC59" s="436"/>
      <c r="AD59" s="436"/>
      <c r="AE59" s="436"/>
    </row>
    <row r="60" spans="1:31" ht="18" x14ac:dyDescent="0.2">
      <c r="A60" s="421"/>
      <c r="B60" s="18"/>
      <c r="C60" s="424"/>
      <c r="D60" s="423"/>
      <c r="E60" s="424"/>
      <c r="F60" s="424"/>
      <c r="G60" s="427">
        <v>0</v>
      </c>
      <c r="H60" s="427"/>
      <c r="I60" s="424"/>
      <c r="J60" s="424"/>
      <c r="K60" s="424"/>
      <c r="L60" s="424"/>
      <c r="M60" s="424"/>
      <c r="N60" s="424"/>
      <c r="O60" s="424"/>
      <c r="P60" s="424"/>
      <c r="Q60" s="424"/>
      <c r="R60" s="424"/>
      <c r="S60" s="424"/>
      <c r="T60" s="424"/>
      <c r="U60" s="424"/>
      <c r="V60" s="424"/>
      <c r="W60" s="431"/>
      <c r="X60" s="424"/>
      <c r="Y60" s="427"/>
      <c r="Z60" s="424"/>
      <c r="AA60" s="436"/>
      <c r="AB60" s="436"/>
      <c r="AC60" s="436"/>
      <c r="AD60" s="436"/>
      <c r="AE60" s="436"/>
    </row>
    <row r="61" spans="1:31" ht="31.5" x14ac:dyDescent="0.2">
      <c r="A61" s="421">
        <v>49</v>
      </c>
      <c r="B61" s="18" t="s">
        <v>151</v>
      </c>
      <c r="C61" s="424"/>
      <c r="D61" s="423"/>
      <c r="E61" s="424"/>
      <c r="F61" s="424"/>
      <c r="G61" s="427">
        <v>0</v>
      </c>
      <c r="H61" s="427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31"/>
      <c r="X61" s="424"/>
      <c r="Y61" s="427"/>
      <c r="Z61" s="424"/>
      <c r="AA61" s="436"/>
      <c r="AB61" s="436"/>
      <c r="AC61" s="436"/>
      <c r="AD61" s="436"/>
      <c r="AE61" s="436"/>
    </row>
    <row r="62" spans="1:31" ht="18" x14ac:dyDescent="0.15">
      <c r="A62" s="421">
        <v>50</v>
      </c>
      <c r="B62" s="9" t="s">
        <v>541</v>
      </c>
      <c r="C62" s="424">
        <v>1635720</v>
      </c>
      <c r="D62" s="423">
        <v>12</v>
      </c>
      <c r="E62" s="424">
        <f t="shared" si="47"/>
        <v>19628640</v>
      </c>
      <c r="F62" s="424"/>
      <c r="G62" s="425">
        <v>0</v>
      </c>
      <c r="H62" s="427"/>
      <c r="I62" s="424">
        <f t="shared" si="48"/>
        <v>19628640</v>
      </c>
      <c r="J62" s="424">
        <v>200000</v>
      </c>
      <c r="K62" s="424">
        <v>0.2</v>
      </c>
      <c r="L62" s="424">
        <f t="shared" si="49"/>
        <v>3925728</v>
      </c>
      <c r="M62" s="424">
        <f t="shared" si="50"/>
        <v>4125728</v>
      </c>
      <c r="N62" s="424">
        <f t="shared" si="51"/>
        <v>4125728</v>
      </c>
      <c r="O62" s="424">
        <f t="shared" si="52"/>
        <v>15502912</v>
      </c>
      <c r="P62" s="424">
        <f t="shared" si="53"/>
        <v>21000</v>
      </c>
      <c r="Q62" s="424">
        <f t="shared" si="54"/>
        <v>33000</v>
      </c>
      <c r="R62" s="424">
        <f t="shared" si="55"/>
        <v>75000</v>
      </c>
      <c r="S62" s="424">
        <f t="shared" si="56"/>
        <v>95000</v>
      </c>
      <c r="T62" s="424">
        <f t="shared" si="57"/>
        <v>336000</v>
      </c>
      <c r="U62" s="424">
        <f t="shared" si="58"/>
        <v>2952698.88</v>
      </c>
      <c r="V62" s="424">
        <f t="shared" si="59"/>
        <v>3512698.8799999999</v>
      </c>
      <c r="W62" s="431">
        <v>12</v>
      </c>
      <c r="X62" s="424">
        <f t="shared" si="60"/>
        <v>292724.90666666703</v>
      </c>
      <c r="Y62" s="427"/>
      <c r="Z62" s="424">
        <f t="shared" si="61"/>
        <v>292724.90666666703</v>
      </c>
      <c r="AA62" s="436">
        <v>180306.806858667</v>
      </c>
      <c r="AB62" s="436">
        <f t="shared" si="62"/>
        <v>112418.099808</v>
      </c>
      <c r="AC62" s="436"/>
      <c r="AD62" s="436"/>
      <c r="AE62" s="436"/>
    </row>
    <row r="63" spans="1:31" ht="23.25" customHeight="1" x14ac:dyDescent="0.15">
      <c r="A63" s="421">
        <v>51</v>
      </c>
      <c r="B63" s="313" t="s">
        <v>543</v>
      </c>
      <c r="C63" s="424">
        <v>761396.83333333302</v>
      </c>
      <c r="D63" s="423">
        <v>12</v>
      </c>
      <c r="E63" s="424">
        <f t="shared" si="47"/>
        <v>9136762</v>
      </c>
      <c r="F63" s="424"/>
      <c r="G63" s="430">
        <f>48111.7466666667*12</f>
        <v>577340.96</v>
      </c>
      <c r="H63" s="427"/>
      <c r="I63" s="424">
        <f t="shared" si="48"/>
        <v>8559421.0399999991</v>
      </c>
      <c r="J63" s="424">
        <v>200000</v>
      </c>
      <c r="K63" s="424">
        <v>0.2</v>
      </c>
      <c r="L63" s="424">
        <f t="shared" si="49"/>
        <v>1711884.2080000001</v>
      </c>
      <c r="M63" s="424">
        <f t="shared" si="50"/>
        <v>1911884.2080000001</v>
      </c>
      <c r="N63" s="424">
        <f t="shared" si="51"/>
        <v>2489225.1680000001</v>
      </c>
      <c r="O63" s="424">
        <f t="shared" si="52"/>
        <v>6647536.8320000004</v>
      </c>
      <c r="P63" s="424">
        <f t="shared" si="53"/>
        <v>21000</v>
      </c>
      <c r="Q63" s="424">
        <f t="shared" si="54"/>
        <v>33000</v>
      </c>
      <c r="R63" s="424">
        <f t="shared" si="55"/>
        <v>75000</v>
      </c>
      <c r="S63" s="424">
        <f t="shared" si="56"/>
        <v>95000</v>
      </c>
      <c r="T63" s="424">
        <f t="shared" si="57"/>
        <v>336000</v>
      </c>
      <c r="U63" s="424">
        <f t="shared" si="58"/>
        <v>827408.83967999904</v>
      </c>
      <c r="V63" s="424">
        <f t="shared" si="59"/>
        <v>1387408.83968</v>
      </c>
      <c r="W63" s="431">
        <v>12</v>
      </c>
      <c r="X63" s="424">
        <f t="shared" si="60"/>
        <v>115617.40330666699</v>
      </c>
      <c r="Y63" s="427"/>
      <c r="Z63" s="424">
        <f t="shared" si="61"/>
        <v>115617.40330666699</v>
      </c>
      <c r="AA63" s="436">
        <v>77764.980266666695</v>
      </c>
      <c r="AB63" s="436">
        <f t="shared" si="62"/>
        <v>37852.4230399999</v>
      </c>
      <c r="AC63" s="436"/>
      <c r="AD63" s="436"/>
      <c r="AE63" s="436"/>
    </row>
    <row r="64" spans="1:31" ht="18" x14ac:dyDescent="0.15">
      <c r="A64" s="421">
        <v>52</v>
      </c>
      <c r="B64" s="9" t="s">
        <v>155</v>
      </c>
      <c r="C64" s="424">
        <v>582746.5</v>
      </c>
      <c r="D64" s="423">
        <v>12</v>
      </c>
      <c r="E64" s="424">
        <f t="shared" si="47"/>
        <v>6992958</v>
      </c>
      <c r="F64" s="424"/>
      <c r="G64" s="425">
        <v>425036.64</v>
      </c>
      <c r="H64" s="427"/>
      <c r="I64" s="424">
        <f t="shared" si="48"/>
        <v>6567921.3600000003</v>
      </c>
      <c r="J64" s="424">
        <v>200000</v>
      </c>
      <c r="K64" s="424">
        <v>0.2</v>
      </c>
      <c r="L64" s="424">
        <f t="shared" si="49"/>
        <v>1313584.2720000001</v>
      </c>
      <c r="M64" s="424">
        <f t="shared" si="50"/>
        <v>1513584.2720000001</v>
      </c>
      <c r="N64" s="424">
        <f t="shared" si="51"/>
        <v>1938620.912</v>
      </c>
      <c r="O64" s="424">
        <f t="shared" si="52"/>
        <v>5054337.0880000005</v>
      </c>
      <c r="P64" s="424">
        <f t="shared" si="53"/>
        <v>21000</v>
      </c>
      <c r="Q64" s="424">
        <f t="shared" si="54"/>
        <v>33000</v>
      </c>
      <c r="R64" s="424">
        <f t="shared" si="55"/>
        <v>75000</v>
      </c>
      <c r="S64" s="424">
        <f t="shared" si="56"/>
        <v>95000</v>
      </c>
      <c r="T64" s="424">
        <f t="shared" si="57"/>
        <v>336000</v>
      </c>
      <c r="U64" s="424">
        <f t="shared" si="58"/>
        <v>445040.90111999999</v>
      </c>
      <c r="V64" s="424">
        <f t="shared" si="59"/>
        <v>1005040.9011200001</v>
      </c>
      <c r="W64" s="431">
        <v>12</v>
      </c>
      <c r="X64" s="424">
        <f t="shared" si="60"/>
        <v>83753.408426666603</v>
      </c>
      <c r="Y64" s="427"/>
      <c r="Z64" s="424">
        <f t="shared" si="61"/>
        <v>83753.408426666603</v>
      </c>
      <c r="AA64" s="436">
        <v>54931.249226666703</v>
      </c>
      <c r="AB64" s="436">
        <f t="shared" si="62"/>
        <v>28822.1591999999</v>
      </c>
      <c r="AC64" s="436"/>
      <c r="AD64" s="436"/>
      <c r="AE64" s="436"/>
    </row>
    <row r="65" spans="1:31" ht="18" x14ac:dyDescent="0.15">
      <c r="A65" s="421">
        <v>53</v>
      </c>
      <c r="B65" s="16" t="s">
        <v>545</v>
      </c>
      <c r="C65" s="424">
        <v>548915.91666666698</v>
      </c>
      <c r="D65" s="423">
        <v>12</v>
      </c>
      <c r="E65" s="424">
        <f t="shared" si="47"/>
        <v>6586991</v>
      </c>
      <c r="F65" s="424"/>
      <c r="G65" s="425">
        <v>411759.28</v>
      </c>
      <c r="H65" s="427"/>
      <c r="I65" s="424">
        <f t="shared" si="48"/>
        <v>6175231.7199999997</v>
      </c>
      <c r="J65" s="424">
        <v>200000</v>
      </c>
      <c r="K65" s="424">
        <v>0.2</v>
      </c>
      <c r="L65" s="424">
        <f t="shared" si="49"/>
        <v>1235046.344</v>
      </c>
      <c r="M65" s="424">
        <f t="shared" si="50"/>
        <v>1435046.344</v>
      </c>
      <c r="N65" s="424">
        <f t="shared" si="51"/>
        <v>1846805.6240000001</v>
      </c>
      <c r="O65" s="424">
        <f t="shared" si="52"/>
        <v>4740185.3760000002</v>
      </c>
      <c r="P65" s="424">
        <f t="shared" si="53"/>
        <v>21000</v>
      </c>
      <c r="Q65" s="424">
        <f t="shared" si="54"/>
        <v>33000</v>
      </c>
      <c r="R65" s="424">
        <f t="shared" si="55"/>
        <v>75000</v>
      </c>
      <c r="S65" s="424">
        <f t="shared" si="56"/>
        <v>95000</v>
      </c>
      <c r="T65" s="424">
        <f t="shared" si="57"/>
        <v>336000</v>
      </c>
      <c r="U65" s="424">
        <f t="shared" si="58"/>
        <v>369644.490240001</v>
      </c>
      <c r="V65" s="424">
        <f t="shared" si="59"/>
        <v>929644.490240001</v>
      </c>
      <c r="W65" s="431">
        <v>12</v>
      </c>
      <c r="X65" s="424">
        <f t="shared" si="60"/>
        <v>77470.374186666697</v>
      </c>
      <c r="Y65" s="427"/>
      <c r="Z65" s="424">
        <f t="shared" si="61"/>
        <v>77470.374186666697</v>
      </c>
      <c r="AA65" s="436">
        <v>49548.776186666699</v>
      </c>
      <c r="AB65" s="436">
        <f t="shared" si="62"/>
        <v>27921.598000000002</v>
      </c>
      <c r="AC65" s="436"/>
      <c r="AD65" s="436"/>
      <c r="AE65" s="436"/>
    </row>
    <row r="66" spans="1:31" ht="18" x14ac:dyDescent="0.15">
      <c r="A66" s="421">
        <v>54</v>
      </c>
      <c r="B66" s="12" t="s">
        <v>546</v>
      </c>
      <c r="C66" s="424">
        <v>624373.75</v>
      </c>
      <c r="D66" s="423">
        <v>12</v>
      </c>
      <c r="E66" s="424">
        <f t="shared" si="47"/>
        <v>7492485</v>
      </c>
      <c r="F66" s="424"/>
      <c r="G66" s="425">
        <v>464998.8</v>
      </c>
      <c r="H66" s="427"/>
      <c r="I66" s="424">
        <f t="shared" si="48"/>
        <v>7027486.2000000002</v>
      </c>
      <c r="J66" s="424">
        <v>200000</v>
      </c>
      <c r="K66" s="424">
        <v>0.2</v>
      </c>
      <c r="L66" s="424">
        <f t="shared" si="49"/>
        <v>1405497.24</v>
      </c>
      <c r="M66" s="424">
        <f t="shared" si="50"/>
        <v>1605497.24</v>
      </c>
      <c r="N66" s="424">
        <f t="shared" si="51"/>
        <v>2070496.04</v>
      </c>
      <c r="O66" s="424">
        <f t="shared" si="52"/>
        <v>5421988.96</v>
      </c>
      <c r="P66" s="424">
        <f t="shared" si="53"/>
        <v>21000</v>
      </c>
      <c r="Q66" s="424">
        <f t="shared" si="54"/>
        <v>33000</v>
      </c>
      <c r="R66" s="424">
        <f t="shared" si="55"/>
        <v>75000</v>
      </c>
      <c r="S66" s="424">
        <f t="shared" si="56"/>
        <v>95000</v>
      </c>
      <c r="T66" s="424">
        <f t="shared" si="57"/>
        <v>336000</v>
      </c>
      <c r="U66" s="424">
        <f t="shared" si="58"/>
        <v>533277.3504</v>
      </c>
      <c r="V66" s="424">
        <f t="shared" si="59"/>
        <v>1093277.3504000001</v>
      </c>
      <c r="W66" s="431">
        <v>12</v>
      </c>
      <c r="X66" s="424">
        <f t="shared" si="60"/>
        <v>91106.445866666705</v>
      </c>
      <c r="Y66" s="427"/>
      <c r="Z66" s="424">
        <f t="shared" si="61"/>
        <v>91106.445866666705</v>
      </c>
      <c r="AA66" s="436">
        <v>46666.666666666701</v>
      </c>
      <c r="AB66" s="436">
        <f t="shared" si="62"/>
        <v>44439.779199999997</v>
      </c>
      <c r="AC66" s="436"/>
      <c r="AD66" s="436"/>
      <c r="AE66" s="436"/>
    </row>
    <row r="67" spans="1:31" ht="18" x14ac:dyDescent="0.15">
      <c r="A67" s="421">
        <v>55</v>
      </c>
      <c r="B67" s="9" t="s">
        <v>161</v>
      </c>
      <c r="C67" s="424">
        <v>475703.83333333302</v>
      </c>
      <c r="D67" s="423">
        <v>12</v>
      </c>
      <c r="E67" s="424">
        <f t="shared" si="47"/>
        <v>5708446</v>
      </c>
      <c r="F67" s="424"/>
      <c r="G67" s="425">
        <v>351075.68</v>
      </c>
      <c r="H67" s="427"/>
      <c r="I67" s="424">
        <f t="shared" si="48"/>
        <v>5357370.32</v>
      </c>
      <c r="J67" s="424">
        <v>200000</v>
      </c>
      <c r="K67" s="424">
        <v>0.2</v>
      </c>
      <c r="L67" s="424">
        <f t="shared" si="49"/>
        <v>1071474.064</v>
      </c>
      <c r="M67" s="424">
        <f t="shared" si="50"/>
        <v>1271474.064</v>
      </c>
      <c r="N67" s="424">
        <f t="shared" si="51"/>
        <v>1622549.7439999999</v>
      </c>
      <c r="O67" s="424">
        <f t="shared" si="52"/>
        <v>4085896.2560000001</v>
      </c>
      <c r="P67" s="424">
        <f t="shared" si="53"/>
        <v>21000</v>
      </c>
      <c r="Q67" s="424">
        <f t="shared" si="54"/>
        <v>33000</v>
      </c>
      <c r="R67" s="424">
        <f t="shared" si="55"/>
        <v>75000</v>
      </c>
      <c r="S67" s="424">
        <f t="shared" si="56"/>
        <v>95000</v>
      </c>
      <c r="T67" s="424">
        <f t="shared" si="57"/>
        <v>336000</v>
      </c>
      <c r="U67" s="424">
        <f t="shared" si="58"/>
        <v>212615.10143999901</v>
      </c>
      <c r="V67" s="424">
        <f t="shared" si="59"/>
        <v>772615.10143999895</v>
      </c>
      <c r="W67" s="431">
        <v>12</v>
      </c>
      <c r="X67" s="424">
        <f t="shared" si="60"/>
        <v>64384.591786666599</v>
      </c>
      <c r="Y67" s="427"/>
      <c r="Z67" s="424">
        <f t="shared" si="61"/>
        <v>64384.591786666599</v>
      </c>
      <c r="AA67" s="436">
        <v>41338.951098666701</v>
      </c>
      <c r="AB67" s="436">
        <f t="shared" si="62"/>
        <v>23045.640687999901</v>
      </c>
      <c r="AC67" s="436"/>
      <c r="AD67" s="436"/>
      <c r="AE67" s="436"/>
    </row>
    <row r="68" spans="1:31" ht="18" x14ac:dyDescent="0.15">
      <c r="A68" s="421">
        <v>56</v>
      </c>
      <c r="B68" s="9" t="s">
        <v>163</v>
      </c>
      <c r="C68" s="424">
        <v>475703.83333333302</v>
      </c>
      <c r="D68" s="423">
        <v>12</v>
      </c>
      <c r="E68" s="424">
        <f t="shared" si="47"/>
        <v>5708446</v>
      </c>
      <c r="F68" s="424"/>
      <c r="G68" s="425">
        <v>351075.68</v>
      </c>
      <c r="H68" s="427"/>
      <c r="I68" s="424">
        <f t="shared" si="48"/>
        <v>5357370.32</v>
      </c>
      <c r="J68" s="424">
        <v>200000</v>
      </c>
      <c r="K68" s="424">
        <v>0.2</v>
      </c>
      <c r="L68" s="424">
        <f t="shared" si="49"/>
        <v>1071474.064</v>
      </c>
      <c r="M68" s="424">
        <f t="shared" si="50"/>
        <v>1271474.064</v>
      </c>
      <c r="N68" s="424">
        <f t="shared" si="51"/>
        <v>1622549.7439999999</v>
      </c>
      <c r="O68" s="424">
        <f t="shared" si="52"/>
        <v>4085896.2560000001</v>
      </c>
      <c r="P68" s="424">
        <f t="shared" si="53"/>
        <v>21000</v>
      </c>
      <c r="Q68" s="424">
        <f t="shared" si="54"/>
        <v>33000</v>
      </c>
      <c r="R68" s="424">
        <f t="shared" si="55"/>
        <v>75000</v>
      </c>
      <c r="S68" s="424">
        <f t="shared" si="56"/>
        <v>95000</v>
      </c>
      <c r="T68" s="424">
        <f t="shared" si="57"/>
        <v>336000</v>
      </c>
      <c r="U68" s="424">
        <f t="shared" si="58"/>
        <v>212615.10143999901</v>
      </c>
      <c r="V68" s="424">
        <f t="shared" si="59"/>
        <v>772615.10143999895</v>
      </c>
      <c r="W68" s="431">
        <v>12</v>
      </c>
      <c r="X68" s="424">
        <f t="shared" si="60"/>
        <v>64384.591786666599</v>
      </c>
      <c r="Y68" s="427"/>
      <c r="Z68" s="424">
        <f t="shared" si="61"/>
        <v>64384.591786666599</v>
      </c>
      <c r="AA68" s="436">
        <v>41338.951098666701</v>
      </c>
      <c r="AB68" s="436">
        <f t="shared" si="62"/>
        <v>23045.640687999901</v>
      </c>
      <c r="AC68" s="436"/>
      <c r="AD68" s="436"/>
      <c r="AE68" s="436"/>
    </row>
    <row r="69" spans="1:31" ht="18" x14ac:dyDescent="0.15">
      <c r="A69" s="421">
        <v>57</v>
      </c>
      <c r="B69" s="9" t="s">
        <v>164</v>
      </c>
      <c r="C69" s="424">
        <v>475703.83333333302</v>
      </c>
      <c r="D69" s="423">
        <v>12</v>
      </c>
      <c r="E69" s="424">
        <f t="shared" si="47"/>
        <v>5708446</v>
      </c>
      <c r="F69" s="424"/>
      <c r="G69" s="425">
        <v>351075.68</v>
      </c>
      <c r="H69" s="427"/>
      <c r="I69" s="424">
        <f t="shared" si="48"/>
        <v>5357370.32</v>
      </c>
      <c r="J69" s="424">
        <v>200000</v>
      </c>
      <c r="K69" s="424">
        <v>0.2</v>
      </c>
      <c r="L69" s="424">
        <f t="shared" si="49"/>
        <v>1071474.064</v>
      </c>
      <c r="M69" s="424">
        <f t="shared" si="50"/>
        <v>1271474.064</v>
      </c>
      <c r="N69" s="424">
        <f t="shared" si="51"/>
        <v>1622549.7439999999</v>
      </c>
      <c r="O69" s="424">
        <f t="shared" si="52"/>
        <v>4085896.2560000001</v>
      </c>
      <c r="P69" s="424">
        <f t="shared" si="53"/>
        <v>21000</v>
      </c>
      <c r="Q69" s="424">
        <f t="shared" si="54"/>
        <v>33000</v>
      </c>
      <c r="R69" s="424">
        <f t="shared" si="55"/>
        <v>75000</v>
      </c>
      <c r="S69" s="424">
        <f t="shared" si="56"/>
        <v>95000</v>
      </c>
      <c r="T69" s="424">
        <f t="shared" si="57"/>
        <v>336000</v>
      </c>
      <c r="U69" s="424">
        <f t="shared" si="58"/>
        <v>212615.10143999901</v>
      </c>
      <c r="V69" s="424">
        <f t="shared" si="59"/>
        <v>772615.10143999895</v>
      </c>
      <c r="W69" s="431">
        <v>12</v>
      </c>
      <c r="X69" s="424">
        <f t="shared" si="60"/>
        <v>64384.591786666599</v>
      </c>
      <c r="Y69" s="427"/>
      <c r="Z69" s="424">
        <f t="shared" si="61"/>
        <v>64384.591786666599</v>
      </c>
      <c r="AA69" s="436">
        <v>41338.951098666701</v>
      </c>
      <c r="AB69" s="436">
        <f t="shared" si="62"/>
        <v>23045.640687999901</v>
      </c>
      <c r="AC69" s="436"/>
      <c r="AD69" s="436"/>
      <c r="AE69" s="436"/>
    </row>
    <row r="70" spans="1:31" ht="18" x14ac:dyDescent="0.15">
      <c r="A70" s="421">
        <v>58</v>
      </c>
      <c r="B70" s="9" t="s">
        <v>165</v>
      </c>
      <c r="C70" s="424">
        <v>487895.16666666698</v>
      </c>
      <c r="D70" s="423">
        <v>12</v>
      </c>
      <c r="E70" s="424">
        <f t="shared" si="47"/>
        <v>5854742</v>
      </c>
      <c r="F70" s="424"/>
      <c r="G70" s="425">
        <v>362779.36</v>
      </c>
      <c r="H70" s="427"/>
      <c r="I70" s="424">
        <f t="shared" si="48"/>
        <v>5491962.6399999997</v>
      </c>
      <c r="J70" s="424">
        <v>200000</v>
      </c>
      <c r="K70" s="424">
        <v>0.2</v>
      </c>
      <c r="L70" s="424">
        <f t="shared" si="49"/>
        <v>1098392.5279999999</v>
      </c>
      <c r="M70" s="424">
        <f t="shared" si="50"/>
        <v>1298392.5279999999</v>
      </c>
      <c r="N70" s="424">
        <f t="shared" si="51"/>
        <v>1661171.888</v>
      </c>
      <c r="O70" s="424">
        <f t="shared" si="52"/>
        <v>4193570.1120000002</v>
      </c>
      <c r="P70" s="424">
        <f t="shared" si="53"/>
        <v>21000</v>
      </c>
      <c r="Q70" s="424">
        <f t="shared" si="54"/>
        <v>33000</v>
      </c>
      <c r="R70" s="424">
        <f t="shared" si="55"/>
        <v>75000</v>
      </c>
      <c r="S70" s="424">
        <f t="shared" si="56"/>
        <v>95000</v>
      </c>
      <c r="T70" s="424">
        <f t="shared" si="57"/>
        <v>336000</v>
      </c>
      <c r="U70" s="424">
        <f t="shared" si="58"/>
        <v>238456.826880001</v>
      </c>
      <c r="V70" s="424">
        <f t="shared" si="59"/>
        <v>798456.826880001</v>
      </c>
      <c r="W70" s="431">
        <v>12</v>
      </c>
      <c r="X70" s="424">
        <f t="shared" si="60"/>
        <v>66538.068906666696</v>
      </c>
      <c r="Y70" s="427"/>
      <c r="Z70" s="424">
        <f t="shared" si="61"/>
        <v>66538.068906666696</v>
      </c>
      <c r="AA70" s="436">
        <v>43368.882414666703</v>
      </c>
      <c r="AB70" s="436">
        <f t="shared" si="62"/>
        <v>23169.186492000001</v>
      </c>
      <c r="AC70" s="436"/>
      <c r="AD70" s="436"/>
      <c r="AE70" s="436"/>
    </row>
    <row r="71" spans="1:31" ht="18" x14ac:dyDescent="0.15">
      <c r="A71" s="421">
        <v>59</v>
      </c>
      <c r="B71" s="9" t="s">
        <v>168</v>
      </c>
      <c r="C71" s="424">
        <v>400965.58333333302</v>
      </c>
      <c r="D71" s="423">
        <v>12</v>
      </c>
      <c r="E71" s="424">
        <f t="shared" si="47"/>
        <v>4811587</v>
      </c>
      <c r="F71" s="424"/>
      <c r="G71" s="429">
        <v>288926.96000000002</v>
      </c>
      <c r="H71" s="427"/>
      <c r="I71" s="424">
        <f t="shared" si="48"/>
        <v>4522660.04</v>
      </c>
      <c r="J71" s="424">
        <v>200000</v>
      </c>
      <c r="K71" s="424">
        <v>0.2</v>
      </c>
      <c r="L71" s="424">
        <f t="shared" si="49"/>
        <v>904532.00799999898</v>
      </c>
      <c r="M71" s="424">
        <f t="shared" si="50"/>
        <v>1104532.0079999999</v>
      </c>
      <c r="N71" s="424">
        <f t="shared" si="51"/>
        <v>1393458.9680000001</v>
      </c>
      <c r="O71" s="424">
        <f t="shared" si="52"/>
        <v>3418128.0320000001</v>
      </c>
      <c r="P71" s="424">
        <f t="shared" si="53"/>
        <v>21000</v>
      </c>
      <c r="Q71" s="424">
        <f t="shared" si="54"/>
        <v>33000</v>
      </c>
      <c r="R71" s="424">
        <f t="shared" si="55"/>
        <v>75000</v>
      </c>
      <c r="S71" s="424">
        <f t="shared" si="56"/>
        <v>95000</v>
      </c>
      <c r="T71" s="424">
        <f t="shared" si="57"/>
        <v>336000</v>
      </c>
      <c r="U71" s="424">
        <f t="shared" si="58"/>
        <v>52350.727679999203</v>
      </c>
      <c r="V71" s="424">
        <f t="shared" si="59"/>
        <v>612350.72767999896</v>
      </c>
      <c r="W71" s="431">
        <v>12</v>
      </c>
      <c r="X71" s="424">
        <f t="shared" si="60"/>
        <v>51029.227306666602</v>
      </c>
      <c r="Y71" s="427"/>
      <c r="Z71" s="424">
        <f t="shared" si="61"/>
        <v>51029.227306666602</v>
      </c>
      <c r="AA71" s="436">
        <v>33825.986562666702</v>
      </c>
      <c r="AB71" s="436">
        <f t="shared" si="62"/>
        <v>17203.240743999901</v>
      </c>
      <c r="AC71" s="436"/>
      <c r="AD71" s="436"/>
      <c r="AE71" s="436"/>
    </row>
    <row r="72" spans="1:31" ht="18" x14ac:dyDescent="0.2">
      <c r="A72" s="421">
        <v>60</v>
      </c>
      <c r="B72" s="18"/>
      <c r="C72" s="424"/>
      <c r="D72" s="423"/>
      <c r="E72" s="424"/>
      <c r="F72" s="424"/>
      <c r="G72" s="427"/>
      <c r="H72" s="427"/>
      <c r="I72" s="424"/>
      <c r="J72" s="424"/>
      <c r="K72" s="424"/>
      <c r="L72" s="424"/>
      <c r="M72" s="424"/>
      <c r="N72" s="424"/>
      <c r="O72" s="424"/>
      <c r="P72" s="424"/>
      <c r="Q72" s="424"/>
      <c r="R72" s="424"/>
      <c r="S72" s="424"/>
      <c r="T72" s="424"/>
      <c r="U72" s="424"/>
      <c r="V72" s="424"/>
      <c r="W72" s="431"/>
      <c r="X72" s="424"/>
      <c r="Y72" s="427"/>
      <c r="Z72" s="424"/>
      <c r="AA72" s="436"/>
      <c r="AB72" s="436"/>
      <c r="AC72" s="436"/>
      <c r="AD72" s="436"/>
      <c r="AE72" s="436"/>
    </row>
    <row r="73" spans="1:31" ht="18" x14ac:dyDescent="0.2">
      <c r="A73" s="421">
        <v>61</v>
      </c>
      <c r="B73" s="20"/>
      <c r="C73" s="424"/>
      <c r="D73" s="423"/>
      <c r="E73" s="424"/>
      <c r="F73" s="424"/>
      <c r="G73" s="427"/>
      <c r="H73" s="427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31"/>
      <c r="X73" s="424"/>
      <c r="Y73" s="427"/>
      <c r="Z73" s="424"/>
      <c r="AA73" s="436"/>
      <c r="AB73" s="436"/>
      <c r="AC73" s="436"/>
      <c r="AD73" s="436"/>
      <c r="AE73" s="436"/>
    </row>
    <row r="74" spans="1:31" ht="18" x14ac:dyDescent="0.15">
      <c r="A74" s="421"/>
      <c r="B74" s="18" t="s">
        <v>169</v>
      </c>
      <c r="C74" s="424"/>
      <c r="D74" s="423"/>
      <c r="E74" s="424"/>
      <c r="F74" s="424"/>
      <c r="G74" s="427"/>
      <c r="H74" s="427"/>
      <c r="I74" s="424"/>
      <c r="J74" s="424"/>
      <c r="K74" s="424"/>
      <c r="L74" s="424"/>
      <c r="M74" s="424"/>
      <c r="N74" s="424"/>
      <c r="O74" s="424"/>
      <c r="P74" s="424"/>
      <c r="Q74" s="424"/>
      <c r="R74" s="424"/>
      <c r="S74" s="424"/>
      <c r="T74" s="424"/>
      <c r="U74" s="424"/>
      <c r="V74" s="424"/>
      <c r="W74" s="431"/>
      <c r="X74" s="424"/>
      <c r="Y74" s="427"/>
      <c r="Z74" s="424"/>
      <c r="AA74" s="436"/>
      <c r="AB74" s="436"/>
      <c r="AC74" s="436"/>
      <c r="AD74" s="436"/>
      <c r="AE74" s="436"/>
    </row>
    <row r="75" spans="1:31" ht="18" x14ac:dyDescent="0.15">
      <c r="A75" s="421"/>
      <c r="B75" s="9" t="s">
        <v>170</v>
      </c>
      <c r="C75" s="424">
        <v>1635720</v>
      </c>
      <c r="D75" s="423">
        <v>12</v>
      </c>
      <c r="E75" s="424">
        <f t="shared" ref="E75:E81" si="63">C75*D75</f>
        <v>19628640</v>
      </c>
      <c r="F75" s="424"/>
      <c r="G75" s="425">
        <v>1378291.2</v>
      </c>
      <c r="H75" s="427"/>
      <c r="I75" s="424">
        <f t="shared" ref="I75:I81" si="64">E75-F75-G75-H75</f>
        <v>18250348.800000001</v>
      </c>
      <c r="J75" s="424">
        <v>200000</v>
      </c>
      <c r="K75" s="424">
        <v>0.2</v>
      </c>
      <c r="L75" s="424">
        <f t="shared" ref="L75:L81" si="65">I75*K75</f>
        <v>3650069.76</v>
      </c>
      <c r="M75" s="424">
        <f t="shared" ref="M75:M81" si="66">J75+L75</f>
        <v>3850069.76</v>
      </c>
      <c r="N75" s="424">
        <f t="shared" ref="N75:N81" si="67">F75+G75+H75+M75</f>
        <v>5228360.96</v>
      </c>
      <c r="O75" s="424">
        <f t="shared" ref="O75:O81" si="68">E75-N75</f>
        <v>14400279.039999999</v>
      </c>
      <c r="P75" s="424">
        <f t="shared" ref="P75:P81" si="69">IF(O75&lt;300000,0.07*O75,21000)</f>
        <v>21000</v>
      </c>
      <c r="Q75" s="424">
        <f t="shared" ref="Q75:Q81" si="70">IF((O75-300000)&lt;0,0,IF((O75-300000)&lt;300000,0.11*(O75-300000),33000))</f>
        <v>33000</v>
      </c>
      <c r="R75" s="424">
        <f t="shared" ref="R75:R81" si="71">IF((O75-600000)&lt;0,0,IF((O75-600000)&lt;500000,0.15*(O75-600000),75000))</f>
        <v>75000</v>
      </c>
      <c r="S75" s="424">
        <f t="shared" ref="S75:S81" si="72">IF((O75-1100000)&lt;0,0,IF((O75-1100000)&lt;500000,0.19*(O75-1100000),95000))</f>
        <v>95000</v>
      </c>
      <c r="T75" s="424">
        <f t="shared" ref="T75:T81" si="73">IF((O75-1600000)&lt;0,0,IF((O75-1600000)&lt;1600000,0.21*(O75-1600000),336000))</f>
        <v>336000</v>
      </c>
      <c r="U75" s="424">
        <f t="shared" ref="U75:U78" si="74">24%*(O75-3200000)</f>
        <v>2688066.9696</v>
      </c>
      <c r="V75" s="424">
        <f t="shared" ref="V75:V81" si="75">P75+Q75+R75+S75+T75+U75</f>
        <v>3248066.9696</v>
      </c>
      <c r="W75" s="431">
        <v>12</v>
      </c>
      <c r="X75" s="424">
        <f t="shared" ref="X75:X81" si="76">V75/W75</f>
        <v>270672.24746666697</v>
      </c>
      <c r="Y75" s="427"/>
      <c r="Z75" s="424">
        <f t="shared" ref="Z75:Z81" si="77">X75</f>
        <v>270672.24746666697</v>
      </c>
      <c r="AA75" s="436">
        <v>180306.806858667</v>
      </c>
      <c r="AB75" s="436">
        <f t="shared" ref="AB75:AB81" si="78">Z75-AA75</f>
        <v>90365.440607999597</v>
      </c>
      <c r="AC75" s="436"/>
      <c r="AD75" s="436"/>
      <c r="AE75" s="436"/>
    </row>
    <row r="76" spans="1:31" ht="18" x14ac:dyDescent="0.15">
      <c r="A76" s="421">
        <v>62</v>
      </c>
      <c r="B76" s="12" t="s">
        <v>547</v>
      </c>
      <c r="C76" s="424">
        <v>761396.83333333302</v>
      </c>
      <c r="D76" s="423">
        <v>12</v>
      </c>
      <c r="E76" s="424">
        <f t="shared" si="63"/>
        <v>9136762</v>
      </c>
      <c r="F76" s="424"/>
      <c r="G76" s="425">
        <v>0</v>
      </c>
      <c r="H76" s="427"/>
      <c r="I76" s="424">
        <f t="shared" si="64"/>
        <v>9136762</v>
      </c>
      <c r="J76" s="424">
        <v>200000</v>
      </c>
      <c r="K76" s="424">
        <v>0.2</v>
      </c>
      <c r="L76" s="424">
        <f t="shared" si="65"/>
        <v>1827352.4</v>
      </c>
      <c r="M76" s="424">
        <f t="shared" si="66"/>
        <v>2027352.4</v>
      </c>
      <c r="N76" s="424">
        <f t="shared" si="67"/>
        <v>2027352.4</v>
      </c>
      <c r="O76" s="424">
        <f t="shared" si="68"/>
        <v>7109409.5999999996</v>
      </c>
      <c r="P76" s="424">
        <f t="shared" si="69"/>
        <v>21000</v>
      </c>
      <c r="Q76" s="424">
        <f t="shared" si="70"/>
        <v>33000</v>
      </c>
      <c r="R76" s="424">
        <f t="shared" si="71"/>
        <v>75000</v>
      </c>
      <c r="S76" s="424">
        <f t="shared" si="72"/>
        <v>95000</v>
      </c>
      <c r="T76" s="424">
        <f t="shared" si="73"/>
        <v>336000</v>
      </c>
      <c r="U76" s="424">
        <f t="shared" si="74"/>
        <v>938258.30399999896</v>
      </c>
      <c r="V76" s="424">
        <f t="shared" si="75"/>
        <v>1498258.304</v>
      </c>
      <c r="W76" s="431">
        <v>12</v>
      </c>
      <c r="X76" s="424">
        <f t="shared" si="76"/>
        <v>124854.858666667</v>
      </c>
      <c r="Y76" s="427"/>
      <c r="Z76" s="424">
        <f t="shared" si="77"/>
        <v>124854.858666667</v>
      </c>
      <c r="AA76" s="436">
        <v>77764.980266666695</v>
      </c>
      <c r="AB76" s="436">
        <f t="shared" si="78"/>
        <v>47089.8783999999</v>
      </c>
      <c r="AC76" s="436"/>
      <c r="AD76" s="436"/>
      <c r="AE76" s="436"/>
    </row>
    <row r="77" spans="1:31" ht="31.5" x14ac:dyDescent="0.2">
      <c r="A77" s="421">
        <v>63</v>
      </c>
      <c r="B77" s="16" t="s">
        <v>550</v>
      </c>
      <c r="C77" s="424">
        <f>700675.583333333+80000</f>
        <v>780675.58333333302</v>
      </c>
      <c r="D77" s="423">
        <v>12</v>
      </c>
      <c r="E77" s="424">
        <f t="shared" si="63"/>
        <v>9368107</v>
      </c>
      <c r="F77" s="424"/>
      <c r="G77" s="425">
        <v>0</v>
      </c>
      <c r="H77" s="427"/>
      <c r="I77" s="424">
        <f t="shared" si="64"/>
        <v>9368107</v>
      </c>
      <c r="J77" s="424">
        <v>200000</v>
      </c>
      <c r="K77" s="424">
        <v>0.2</v>
      </c>
      <c r="L77" s="424">
        <f t="shared" si="65"/>
        <v>1873621.4</v>
      </c>
      <c r="M77" s="424">
        <f t="shared" si="66"/>
        <v>2073621.4</v>
      </c>
      <c r="N77" s="424">
        <f t="shared" si="67"/>
        <v>2073621.4</v>
      </c>
      <c r="O77" s="424">
        <f t="shared" si="68"/>
        <v>7294485.5999999996</v>
      </c>
      <c r="P77" s="424">
        <f t="shared" si="69"/>
        <v>21000</v>
      </c>
      <c r="Q77" s="424">
        <f t="shared" si="70"/>
        <v>33000</v>
      </c>
      <c r="R77" s="424">
        <f t="shared" si="71"/>
        <v>75000</v>
      </c>
      <c r="S77" s="424">
        <f t="shared" si="72"/>
        <v>95000</v>
      </c>
      <c r="T77" s="424">
        <f t="shared" si="73"/>
        <v>336000</v>
      </c>
      <c r="U77" s="424">
        <f t="shared" si="74"/>
        <v>982676.54399999895</v>
      </c>
      <c r="V77" s="424">
        <f t="shared" si="75"/>
        <v>1542676.544</v>
      </c>
      <c r="W77" s="431">
        <v>12</v>
      </c>
      <c r="X77" s="424">
        <f t="shared" si="76"/>
        <v>128556.37866666701</v>
      </c>
      <c r="Y77" s="427"/>
      <c r="Z77" s="424">
        <f t="shared" si="77"/>
        <v>128556.37866666701</v>
      </c>
      <c r="AA77" s="436">
        <v>64596.9391466667</v>
      </c>
      <c r="AB77" s="436">
        <f t="shared" si="78"/>
        <v>63959.439519999898</v>
      </c>
      <c r="AC77" s="436"/>
      <c r="AD77" s="436"/>
      <c r="AE77" s="436"/>
    </row>
    <row r="78" spans="1:31" ht="18" x14ac:dyDescent="0.15">
      <c r="A78" s="421">
        <v>64</v>
      </c>
      <c r="B78" s="9" t="s">
        <v>174</v>
      </c>
      <c r="C78" s="424">
        <v>596622.25</v>
      </c>
      <c r="D78" s="423">
        <v>12</v>
      </c>
      <c r="E78" s="424">
        <f t="shared" si="63"/>
        <v>7159467</v>
      </c>
      <c r="F78" s="424">
        <f>'[8]JANUARY 2024'!$V$78*12</f>
        <v>8019.7950000000001</v>
      </c>
      <c r="G78" s="425">
        <v>438357.36</v>
      </c>
      <c r="H78" s="427"/>
      <c r="I78" s="424">
        <f t="shared" si="64"/>
        <v>6713089.8449999997</v>
      </c>
      <c r="J78" s="424">
        <v>200000</v>
      </c>
      <c r="K78" s="424">
        <v>0.2</v>
      </c>
      <c r="L78" s="424">
        <f t="shared" si="65"/>
        <v>1342617.969</v>
      </c>
      <c r="M78" s="424">
        <f t="shared" si="66"/>
        <v>1542617.969</v>
      </c>
      <c r="N78" s="424">
        <f t="shared" si="67"/>
        <v>1988995.1240000001</v>
      </c>
      <c r="O78" s="424">
        <f t="shared" si="68"/>
        <v>5170471.8760000002</v>
      </c>
      <c r="P78" s="424">
        <f t="shared" si="69"/>
        <v>21000</v>
      </c>
      <c r="Q78" s="424">
        <f t="shared" si="70"/>
        <v>33000</v>
      </c>
      <c r="R78" s="424">
        <f t="shared" si="71"/>
        <v>75000</v>
      </c>
      <c r="S78" s="424">
        <f t="shared" si="72"/>
        <v>95000</v>
      </c>
      <c r="T78" s="424">
        <f t="shared" si="73"/>
        <v>336000</v>
      </c>
      <c r="U78" s="424">
        <f t="shared" si="74"/>
        <v>472913.25024000002</v>
      </c>
      <c r="V78" s="424">
        <f t="shared" si="75"/>
        <v>1032913.25024</v>
      </c>
      <c r="W78" s="431">
        <v>12</v>
      </c>
      <c r="X78" s="424">
        <f t="shared" si="76"/>
        <v>86076.104186666693</v>
      </c>
      <c r="Y78" s="427"/>
      <c r="Z78" s="424">
        <f t="shared" si="77"/>
        <v>86076.104186666693</v>
      </c>
      <c r="AA78" s="436">
        <v>56350.586186666696</v>
      </c>
      <c r="AB78" s="436">
        <f t="shared" si="78"/>
        <v>29725.518</v>
      </c>
      <c r="AC78" s="436"/>
      <c r="AD78" s="436"/>
      <c r="AE78" s="436"/>
    </row>
    <row r="79" spans="1:31" ht="18" x14ac:dyDescent="0.15">
      <c r="A79" s="421">
        <v>65</v>
      </c>
      <c r="B79" s="9" t="s">
        <v>181</v>
      </c>
      <c r="C79" s="424">
        <v>408901.5</v>
      </c>
      <c r="D79" s="423">
        <v>12</v>
      </c>
      <c r="E79" s="424">
        <f t="shared" si="63"/>
        <v>4906818</v>
      </c>
      <c r="F79" s="424"/>
      <c r="G79" s="425">
        <v>296545.44</v>
      </c>
      <c r="H79" s="427"/>
      <c r="I79" s="424">
        <f t="shared" si="64"/>
        <v>4610272.5599999996</v>
      </c>
      <c r="J79" s="424">
        <v>200000</v>
      </c>
      <c r="K79" s="424">
        <v>0.2</v>
      </c>
      <c r="L79" s="424">
        <f t="shared" si="65"/>
        <v>922054.51199999999</v>
      </c>
      <c r="M79" s="424">
        <f t="shared" si="66"/>
        <v>1122054.5120000001</v>
      </c>
      <c r="N79" s="424">
        <f t="shared" si="67"/>
        <v>1418599.952</v>
      </c>
      <c r="O79" s="424">
        <f t="shared" si="68"/>
        <v>3488218.048</v>
      </c>
      <c r="P79" s="424">
        <f t="shared" si="69"/>
        <v>21000</v>
      </c>
      <c r="Q79" s="424">
        <f t="shared" si="70"/>
        <v>33000</v>
      </c>
      <c r="R79" s="424">
        <f t="shared" si="71"/>
        <v>75000</v>
      </c>
      <c r="S79" s="424">
        <f t="shared" si="72"/>
        <v>95000</v>
      </c>
      <c r="T79" s="424">
        <f t="shared" si="73"/>
        <v>336000</v>
      </c>
      <c r="U79" s="424">
        <f>0.24*(O79-3200000)</f>
        <v>69172.331520000007</v>
      </c>
      <c r="V79" s="424">
        <f t="shared" si="75"/>
        <v>629172.33152000001</v>
      </c>
      <c r="W79" s="431">
        <v>12</v>
      </c>
      <c r="X79" s="424">
        <f t="shared" si="76"/>
        <v>52431.027626666699</v>
      </c>
      <c r="Y79" s="427"/>
      <c r="Z79" s="424">
        <f t="shared" si="77"/>
        <v>52431.027626666699</v>
      </c>
      <c r="AA79" s="436">
        <v>17507.548966666702</v>
      </c>
      <c r="AB79" s="436">
        <f t="shared" si="78"/>
        <v>34923.478660000001</v>
      </c>
      <c r="AC79" s="436"/>
      <c r="AD79" s="436"/>
      <c r="AE79" s="436"/>
    </row>
    <row r="80" spans="1:31" ht="24.75" customHeight="1" x14ac:dyDescent="0.15">
      <c r="A80" s="421"/>
      <c r="B80" s="9" t="s">
        <v>183</v>
      </c>
      <c r="C80" s="424">
        <v>363165.33333333302</v>
      </c>
      <c r="D80" s="423">
        <v>12</v>
      </c>
      <c r="E80" s="424">
        <f t="shared" si="63"/>
        <v>4357984</v>
      </c>
      <c r="F80" s="424"/>
      <c r="G80" s="425">
        <v>252638.72</v>
      </c>
      <c r="H80" s="427"/>
      <c r="I80" s="424">
        <f t="shared" si="64"/>
        <v>4105345.28</v>
      </c>
      <c r="J80" s="424">
        <v>200000</v>
      </c>
      <c r="K80" s="424">
        <v>0.2</v>
      </c>
      <c r="L80" s="424">
        <f t="shared" si="65"/>
        <v>821069.05599999905</v>
      </c>
      <c r="M80" s="424">
        <f t="shared" si="66"/>
        <v>1021069.056</v>
      </c>
      <c r="N80" s="424">
        <f t="shared" si="67"/>
        <v>1273707.7760000001</v>
      </c>
      <c r="O80" s="424">
        <f t="shared" si="68"/>
        <v>3084276.2239999999</v>
      </c>
      <c r="P80" s="424">
        <f t="shared" si="69"/>
        <v>21000</v>
      </c>
      <c r="Q80" s="424">
        <f t="shared" si="70"/>
        <v>33000</v>
      </c>
      <c r="R80" s="424">
        <f t="shared" si="71"/>
        <v>75000</v>
      </c>
      <c r="S80" s="424">
        <f t="shared" si="72"/>
        <v>95000</v>
      </c>
      <c r="T80" s="424">
        <f t="shared" si="73"/>
        <v>311698.00703999901</v>
      </c>
      <c r="U80" s="424"/>
      <c r="V80" s="424">
        <f t="shared" si="75"/>
        <v>535698.00703999901</v>
      </c>
      <c r="W80" s="431">
        <v>12</v>
      </c>
      <c r="X80" s="424">
        <f t="shared" si="76"/>
        <v>44641.500586666603</v>
      </c>
      <c r="Y80" s="427"/>
      <c r="Z80" s="424">
        <f t="shared" si="77"/>
        <v>44641.500586666603</v>
      </c>
      <c r="AA80" s="436">
        <v>29058.4826046667</v>
      </c>
      <c r="AB80" s="436">
        <f t="shared" si="78"/>
        <v>15583.017981999899</v>
      </c>
      <c r="AC80" s="436"/>
      <c r="AD80" s="436"/>
      <c r="AE80" s="436"/>
    </row>
    <row r="81" spans="1:31" ht="18" x14ac:dyDescent="0.15">
      <c r="A81" s="421"/>
      <c r="B81" s="9" t="s">
        <v>185</v>
      </c>
      <c r="C81" s="424">
        <v>324459.75</v>
      </c>
      <c r="D81" s="423">
        <v>12</v>
      </c>
      <c r="E81" s="424">
        <f t="shared" si="63"/>
        <v>3893517</v>
      </c>
      <c r="F81" s="424"/>
      <c r="G81" s="425">
        <v>215481.36</v>
      </c>
      <c r="H81" s="427"/>
      <c r="I81" s="424">
        <f t="shared" si="64"/>
        <v>3678035.64</v>
      </c>
      <c r="J81" s="424">
        <v>200000</v>
      </c>
      <c r="K81" s="424">
        <v>0.2</v>
      </c>
      <c r="L81" s="424">
        <f t="shared" si="65"/>
        <v>735607.12800000003</v>
      </c>
      <c r="M81" s="424">
        <f t="shared" si="66"/>
        <v>935607.12800000003</v>
      </c>
      <c r="N81" s="424">
        <f t="shared" si="67"/>
        <v>1151088.4879999999</v>
      </c>
      <c r="O81" s="424">
        <f t="shared" si="68"/>
        <v>2742428.5120000001</v>
      </c>
      <c r="P81" s="424">
        <f t="shared" si="69"/>
        <v>21000</v>
      </c>
      <c r="Q81" s="424">
        <f t="shared" si="70"/>
        <v>33000</v>
      </c>
      <c r="R81" s="424">
        <f t="shared" si="71"/>
        <v>75000</v>
      </c>
      <c r="S81" s="424">
        <f t="shared" si="72"/>
        <v>95000</v>
      </c>
      <c r="T81" s="424">
        <f t="shared" si="73"/>
        <v>239909.98752</v>
      </c>
      <c r="U81" s="424"/>
      <c r="V81" s="424">
        <f t="shared" si="75"/>
        <v>463909.98752000002</v>
      </c>
      <c r="W81" s="431">
        <v>12</v>
      </c>
      <c r="X81" s="424">
        <f t="shared" si="76"/>
        <v>38659.165626666698</v>
      </c>
      <c r="Y81" s="427"/>
      <c r="Z81" s="424">
        <f t="shared" si="77"/>
        <v>38659.165626666698</v>
      </c>
      <c r="AA81" s="436">
        <v>24751.170462666701</v>
      </c>
      <c r="AB81" s="436">
        <f t="shared" si="78"/>
        <v>13907.995164</v>
      </c>
      <c r="AC81" s="436"/>
      <c r="AD81" s="436"/>
      <c r="AE81" s="436"/>
    </row>
    <row r="82" spans="1:31" ht="18" x14ac:dyDescent="0.15">
      <c r="A82" s="421"/>
      <c r="B82" s="18" t="s">
        <v>111</v>
      </c>
      <c r="C82" s="424"/>
      <c r="D82" s="423"/>
      <c r="E82" s="424"/>
      <c r="F82" s="424"/>
      <c r="G82" s="427"/>
      <c r="H82" s="427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31"/>
      <c r="X82" s="424"/>
      <c r="Y82" s="427"/>
      <c r="Z82" s="424"/>
      <c r="AA82" s="436"/>
      <c r="AB82" s="436"/>
      <c r="AC82" s="436"/>
      <c r="AD82" s="436"/>
      <c r="AE82" s="436"/>
    </row>
    <row r="83" spans="1:31" ht="18" x14ac:dyDescent="0.2">
      <c r="A83" s="421">
        <v>66</v>
      </c>
      <c r="B83" s="18"/>
      <c r="C83" s="424"/>
      <c r="D83" s="423"/>
      <c r="E83" s="424"/>
      <c r="F83" s="424"/>
      <c r="G83" s="427"/>
      <c r="H83" s="427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31"/>
      <c r="X83" s="424"/>
      <c r="Y83" s="427"/>
      <c r="Z83" s="424"/>
      <c r="AA83" s="436"/>
      <c r="AB83" s="436"/>
      <c r="AC83" s="436"/>
      <c r="AD83" s="436"/>
      <c r="AE83" s="436"/>
    </row>
    <row r="84" spans="1:31" ht="18" x14ac:dyDescent="0.15">
      <c r="A84" s="421">
        <v>67</v>
      </c>
      <c r="B84" s="18" t="s">
        <v>187</v>
      </c>
      <c r="C84" s="424"/>
      <c r="AB84" s="259" t="s">
        <v>649</v>
      </c>
      <c r="AC84" s="436"/>
      <c r="AD84" s="436"/>
      <c r="AE84" s="436"/>
    </row>
    <row r="85" spans="1:31" ht="18" x14ac:dyDescent="0.15">
      <c r="A85" s="421">
        <v>68</v>
      </c>
      <c r="B85" s="9" t="s">
        <v>190</v>
      </c>
      <c r="C85" s="424">
        <f>880675.583333333+100000</f>
        <v>980675.58333333302</v>
      </c>
      <c r="D85" s="423">
        <v>12</v>
      </c>
      <c r="E85" s="424">
        <f t="shared" ref="E85:E94" si="79">C85*D85</f>
        <v>11768107</v>
      </c>
      <c r="F85" s="424"/>
      <c r="G85" s="425">
        <v>595848.56000000006</v>
      </c>
      <c r="H85" s="427"/>
      <c r="I85" s="424">
        <f t="shared" ref="I85:I94" si="80">E85-F85-G85-H85</f>
        <v>11172258.439999999</v>
      </c>
      <c r="J85" s="424">
        <v>200000</v>
      </c>
      <c r="K85" s="424">
        <v>0.2</v>
      </c>
      <c r="L85" s="424">
        <f t="shared" ref="L85:L94" si="81">I85*K85</f>
        <v>2234451.6880000001</v>
      </c>
      <c r="M85" s="424">
        <f t="shared" ref="M85:M94" si="82">J85+L85</f>
        <v>2434451.6880000001</v>
      </c>
      <c r="N85" s="424">
        <f t="shared" ref="N85:N94" si="83">F85+G85+H85+M85</f>
        <v>3030300.2480000001</v>
      </c>
      <c r="O85" s="424">
        <f t="shared" ref="O85:O94" si="84">E85-N85</f>
        <v>8737806.7520000003</v>
      </c>
      <c r="P85" s="424">
        <f t="shared" ref="P85:P94" si="85">IF(O85&lt;300000,0.07*O85,21000)</f>
        <v>21000</v>
      </c>
      <c r="Q85" s="424">
        <f t="shared" ref="Q85:Q94" si="86">IF((O85-300000)&lt;0,0,IF((O85-300000)&lt;300000,0.11*(O85-300000),33000))</f>
        <v>33000</v>
      </c>
      <c r="R85" s="424">
        <f t="shared" ref="R85:R94" si="87">IF((O85-600000)&lt;0,0,IF((O85-600000)&lt;500000,0.15*(O85-600000),75000))</f>
        <v>75000</v>
      </c>
      <c r="S85" s="424">
        <f t="shared" ref="S85:S94" si="88">IF((O85-1100000)&lt;0,0,IF((O85-1100000)&lt;500000,0.19*(O85-1100000),95000))</f>
        <v>95000</v>
      </c>
      <c r="T85" s="424">
        <f t="shared" ref="T85:T94" si="89">IF((O85-1600000)&lt;0,0,IF((O85-1600000)&lt;1600000,0.21*(O85-1600000),336000))</f>
        <v>336000</v>
      </c>
      <c r="U85" s="424">
        <f t="shared" ref="U85:U93" si="90">24%*(O85-3200000)</f>
        <v>1329073.62048</v>
      </c>
      <c r="V85" s="424">
        <f t="shared" ref="V85:V94" si="91">P85+Q85+R85+S85+T85+U85</f>
        <v>1889073.62048</v>
      </c>
      <c r="W85" s="431">
        <v>12</v>
      </c>
      <c r="X85" s="424">
        <f t="shared" ref="X85:X94" si="92">V85/W85</f>
        <v>157422.801706667</v>
      </c>
      <c r="Y85" s="427"/>
      <c r="Z85" s="424">
        <f t="shared" ref="Z85:Z94" si="93">X85</f>
        <v>157422.801706667</v>
      </c>
      <c r="AA85" s="424">
        <v>99156.9391466667</v>
      </c>
      <c r="AB85" s="436">
        <f t="shared" ref="AB85:AB94" si="94">Z85-AA85</f>
        <v>58265.8625599999</v>
      </c>
      <c r="AC85" s="436" t="s">
        <v>190</v>
      </c>
      <c r="AD85" s="436"/>
      <c r="AE85" s="436"/>
    </row>
    <row r="86" spans="1:31" ht="18" x14ac:dyDescent="0.15">
      <c r="A86" s="421">
        <v>69</v>
      </c>
      <c r="B86" s="9" t="s">
        <v>188</v>
      </c>
      <c r="C86" s="424">
        <v>780675.58333333302</v>
      </c>
      <c r="D86" s="423">
        <v>12</v>
      </c>
      <c r="E86" s="424">
        <f t="shared" si="79"/>
        <v>9368107</v>
      </c>
      <c r="F86" s="424">
        <f>'[8]JANUARY 2024'!$V$86*12</f>
        <v>10052.25</v>
      </c>
      <c r="G86" s="425">
        <v>595848.56000000006</v>
      </c>
      <c r="H86" s="427"/>
      <c r="I86" s="424">
        <f t="shared" si="80"/>
        <v>8762206.1899999995</v>
      </c>
      <c r="J86" s="424">
        <v>200000</v>
      </c>
      <c r="K86" s="424">
        <v>0.2</v>
      </c>
      <c r="L86" s="424">
        <f t="shared" si="81"/>
        <v>1752441.2379999999</v>
      </c>
      <c r="M86" s="424">
        <f t="shared" si="82"/>
        <v>1952441.2379999999</v>
      </c>
      <c r="N86" s="424">
        <f t="shared" si="83"/>
        <v>2558342.048</v>
      </c>
      <c r="O86" s="424">
        <f t="shared" si="84"/>
        <v>6809764.9519999996</v>
      </c>
      <c r="P86" s="424">
        <f t="shared" si="85"/>
        <v>21000</v>
      </c>
      <c r="Q86" s="424">
        <f t="shared" si="86"/>
        <v>33000</v>
      </c>
      <c r="R86" s="424">
        <f t="shared" si="87"/>
        <v>75000</v>
      </c>
      <c r="S86" s="424">
        <f t="shared" si="88"/>
        <v>95000</v>
      </c>
      <c r="T86" s="424">
        <f t="shared" si="89"/>
        <v>336000</v>
      </c>
      <c r="U86" s="424">
        <f t="shared" si="90"/>
        <v>866343.58847999899</v>
      </c>
      <c r="V86" s="424">
        <f t="shared" si="91"/>
        <v>1426343.5884799999</v>
      </c>
      <c r="W86" s="431">
        <v>12</v>
      </c>
      <c r="X86" s="424">
        <f t="shared" si="92"/>
        <v>118861.965706667</v>
      </c>
      <c r="Y86" s="427"/>
      <c r="Z86" s="424">
        <f t="shared" si="93"/>
        <v>118861.965706667</v>
      </c>
      <c r="AA86" s="424">
        <v>98996.103146666705</v>
      </c>
      <c r="AB86" s="436">
        <f t="shared" si="94"/>
        <v>19865.8625599999</v>
      </c>
      <c r="AC86" s="436" t="s">
        <v>188</v>
      </c>
      <c r="AD86" s="436"/>
      <c r="AE86" s="436"/>
    </row>
    <row r="87" spans="1:31" ht="31.5" x14ac:dyDescent="0.2">
      <c r="A87" s="421">
        <v>70</v>
      </c>
      <c r="B87" s="9" t="s">
        <v>193</v>
      </c>
      <c r="C87" s="424">
        <v>587895.16666666698</v>
      </c>
      <c r="D87" s="423">
        <v>12</v>
      </c>
      <c r="E87" s="424">
        <f t="shared" si="79"/>
        <v>7054742</v>
      </c>
      <c r="F87" s="424"/>
      <c r="G87" s="425">
        <v>558833.36</v>
      </c>
      <c r="H87" s="427"/>
      <c r="I87" s="424">
        <f t="shared" si="80"/>
        <v>6495908.6399999997</v>
      </c>
      <c r="J87" s="424">
        <v>200000</v>
      </c>
      <c r="K87" s="424">
        <v>0.2</v>
      </c>
      <c r="L87" s="424">
        <f t="shared" si="81"/>
        <v>1299181.7279999999</v>
      </c>
      <c r="M87" s="424">
        <f t="shared" si="82"/>
        <v>1499181.7279999999</v>
      </c>
      <c r="N87" s="424">
        <f t="shared" si="83"/>
        <v>2058015.088</v>
      </c>
      <c r="O87" s="424">
        <f t="shared" si="84"/>
        <v>4996726.9119999995</v>
      </c>
      <c r="P87" s="424">
        <f t="shared" si="85"/>
        <v>21000</v>
      </c>
      <c r="Q87" s="424">
        <f t="shared" si="86"/>
        <v>33000</v>
      </c>
      <c r="R87" s="424">
        <f t="shared" si="87"/>
        <v>75000</v>
      </c>
      <c r="S87" s="424">
        <f t="shared" si="88"/>
        <v>95000</v>
      </c>
      <c r="T87" s="424">
        <f t="shared" si="89"/>
        <v>336000</v>
      </c>
      <c r="U87" s="424">
        <f t="shared" si="90"/>
        <v>431214.45888000098</v>
      </c>
      <c r="V87" s="424">
        <f t="shared" si="91"/>
        <v>991214.45888000098</v>
      </c>
      <c r="W87" s="431">
        <v>12</v>
      </c>
      <c r="X87" s="424">
        <f t="shared" si="92"/>
        <v>82601.204906666695</v>
      </c>
      <c r="Y87" s="427"/>
      <c r="Z87" s="424">
        <f t="shared" si="93"/>
        <v>82601.204906666695</v>
      </c>
      <c r="AA87" s="424">
        <v>79956.9391466667</v>
      </c>
      <c r="AB87" s="436">
        <f t="shared" si="94"/>
        <v>2644.2657600000098</v>
      </c>
      <c r="AC87" s="436" t="s">
        <v>193</v>
      </c>
      <c r="AD87" s="436"/>
      <c r="AE87" s="436"/>
    </row>
    <row r="88" spans="1:31" ht="18" x14ac:dyDescent="0.15">
      <c r="A88" s="421">
        <v>71</v>
      </c>
      <c r="B88" s="9" t="s">
        <v>194</v>
      </c>
      <c r="C88" s="424">
        <v>582746.5</v>
      </c>
      <c r="D88" s="423">
        <v>12</v>
      </c>
      <c r="E88" s="424">
        <f t="shared" si="79"/>
        <v>6992958</v>
      </c>
      <c r="F88" s="424"/>
      <c r="G88" s="425">
        <v>424132.72</v>
      </c>
      <c r="H88" s="427"/>
      <c r="I88" s="424">
        <f t="shared" si="80"/>
        <v>6568825.2800000003</v>
      </c>
      <c r="J88" s="424">
        <v>200000</v>
      </c>
      <c r="K88" s="424">
        <v>0.2</v>
      </c>
      <c r="L88" s="424">
        <f t="shared" si="81"/>
        <v>1313765.0560000001</v>
      </c>
      <c r="M88" s="424">
        <f t="shared" si="82"/>
        <v>1513765.0560000001</v>
      </c>
      <c r="N88" s="424">
        <f t="shared" si="83"/>
        <v>1937897.7760000001</v>
      </c>
      <c r="O88" s="424">
        <f t="shared" si="84"/>
        <v>5055060.2240000004</v>
      </c>
      <c r="P88" s="424">
        <f t="shared" si="85"/>
        <v>21000</v>
      </c>
      <c r="Q88" s="424">
        <f t="shared" si="86"/>
        <v>33000</v>
      </c>
      <c r="R88" s="424">
        <f t="shared" si="87"/>
        <v>75000</v>
      </c>
      <c r="S88" s="424">
        <f t="shared" si="88"/>
        <v>95000</v>
      </c>
      <c r="T88" s="424">
        <f t="shared" si="89"/>
        <v>336000</v>
      </c>
      <c r="U88" s="424">
        <f t="shared" si="90"/>
        <v>445214.45376</v>
      </c>
      <c r="V88" s="424">
        <f t="shared" si="91"/>
        <v>1005214.4537599999</v>
      </c>
      <c r="W88" s="431">
        <v>12</v>
      </c>
      <c r="X88" s="424">
        <f t="shared" si="92"/>
        <v>83767.871146666701</v>
      </c>
      <c r="Y88" s="427"/>
      <c r="Z88" s="424">
        <f t="shared" si="93"/>
        <v>83767.871146666701</v>
      </c>
      <c r="AA88" s="424">
        <v>75574.677290666703</v>
      </c>
      <c r="AB88" s="436">
        <f t="shared" si="94"/>
        <v>8193.1938559999508</v>
      </c>
      <c r="AC88" s="436" t="s">
        <v>194</v>
      </c>
      <c r="AD88" s="436"/>
      <c r="AE88" s="436"/>
    </row>
    <row r="89" spans="1:31" ht="18" x14ac:dyDescent="0.15">
      <c r="A89" s="421">
        <v>72</v>
      </c>
      <c r="B89" s="9" t="s">
        <v>195</v>
      </c>
      <c r="C89" s="424">
        <v>548915.91666666698</v>
      </c>
      <c r="D89" s="423">
        <v>12</v>
      </c>
      <c r="E89" s="424">
        <f t="shared" si="79"/>
        <v>6586991</v>
      </c>
      <c r="F89" s="424"/>
      <c r="G89" s="425">
        <v>411759.28</v>
      </c>
      <c r="H89" s="427"/>
      <c r="I89" s="424">
        <f t="shared" si="80"/>
        <v>6175231.7199999997</v>
      </c>
      <c r="J89" s="424">
        <v>200000</v>
      </c>
      <c r="K89" s="424">
        <v>0.2</v>
      </c>
      <c r="L89" s="424">
        <f t="shared" si="81"/>
        <v>1235046.344</v>
      </c>
      <c r="M89" s="424">
        <f t="shared" si="82"/>
        <v>1435046.344</v>
      </c>
      <c r="N89" s="424">
        <f t="shared" si="83"/>
        <v>1846805.6240000001</v>
      </c>
      <c r="O89" s="424">
        <f t="shared" si="84"/>
        <v>4740185.3760000002</v>
      </c>
      <c r="P89" s="424">
        <f t="shared" si="85"/>
        <v>21000</v>
      </c>
      <c r="Q89" s="424">
        <f t="shared" si="86"/>
        <v>33000</v>
      </c>
      <c r="R89" s="424">
        <f t="shared" si="87"/>
        <v>75000</v>
      </c>
      <c r="S89" s="424">
        <f t="shared" si="88"/>
        <v>95000</v>
      </c>
      <c r="T89" s="424">
        <f t="shared" si="89"/>
        <v>336000</v>
      </c>
      <c r="U89" s="424">
        <f t="shared" si="90"/>
        <v>369644.490240001</v>
      </c>
      <c r="V89" s="424">
        <f t="shared" si="91"/>
        <v>929644.490240001</v>
      </c>
      <c r="W89" s="431">
        <v>12</v>
      </c>
      <c r="X89" s="424">
        <f t="shared" si="92"/>
        <v>77470.374186666697</v>
      </c>
      <c r="Y89" s="427"/>
      <c r="Z89" s="424">
        <f t="shared" si="93"/>
        <v>77470.374186666697</v>
      </c>
      <c r="AA89" s="424">
        <v>50985.977546666698</v>
      </c>
      <c r="AB89" s="436">
        <f t="shared" si="94"/>
        <v>26484.396639999999</v>
      </c>
      <c r="AC89" s="436" t="s">
        <v>195</v>
      </c>
      <c r="AD89" s="436"/>
      <c r="AE89" s="436"/>
    </row>
    <row r="90" spans="1:31" ht="31.5" x14ac:dyDescent="0.2">
      <c r="A90" s="421">
        <v>73</v>
      </c>
      <c r="B90" s="9" t="s">
        <v>196</v>
      </c>
      <c r="C90" s="424">
        <v>568870.75</v>
      </c>
      <c r="D90" s="423">
        <v>12</v>
      </c>
      <c r="E90" s="424">
        <f t="shared" si="79"/>
        <v>6826449</v>
      </c>
      <c r="F90" s="424"/>
      <c r="G90" s="425">
        <v>411715.92</v>
      </c>
      <c r="H90" s="427"/>
      <c r="I90" s="424">
        <f t="shared" si="80"/>
        <v>6414733.0800000001</v>
      </c>
      <c r="J90" s="424">
        <v>200000</v>
      </c>
      <c r="K90" s="424">
        <v>0.2</v>
      </c>
      <c r="L90" s="424">
        <f t="shared" si="81"/>
        <v>1282946.6159999999</v>
      </c>
      <c r="M90" s="424">
        <f t="shared" si="82"/>
        <v>1482946.6159999999</v>
      </c>
      <c r="N90" s="424">
        <f t="shared" si="83"/>
        <v>1894662.5360000001</v>
      </c>
      <c r="O90" s="424">
        <f t="shared" si="84"/>
        <v>4931786.4639999997</v>
      </c>
      <c r="P90" s="424">
        <f t="shared" si="85"/>
        <v>21000</v>
      </c>
      <c r="Q90" s="424">
        <f t="shared" si="86"/>
        <v>33000</v>
      </c>
      <c r="R90" s="424">
        <f t="shared" si="87"/>
        <v>75000</v>
      </c>
      <c r="S90" s="424">
        <f t="shared" si="88"/>
        <v>95000</v>
      </c>
      <c r="T90" s="424">
        <f t="shared" si="89"/>
        <v>336000</v>
      </c>
      <c r="U90" s="424">
        <f t="shared" si="90"/>
        <v>415628.75135999999</v>
      </c>
      <c r="V90" s="424">
        <f t="shared" si="91"/>
        <v>975628.75135999999</v>
      </c>
      <c r="W90" s="431">
        <v>12</v>
      </c>
      <c r="X90" s="424">
        <f t="shared" si="92"/>
        <v>81302.3959466667</v>
      </c>
      <c r="Y90" s="427"/>
      <c r="Z90" s="424">
        <f t="shared" si="93"/>
        <v>81302.3959466667</v>
      </c>
      <c r="AA90" s="424">
        <v>49548.776186666699</v>
      </c>
      <c r="AB90" s="436">
        <f t="shared" si="94"/>
        <v>31753.619760000001</v>
      </c>
      <c r="AC90" s="436" t="s">
        <v>196</v>
      </c>
      <c r="AD90" s="436"/>
      <c r="AE90" s="436"/>
    </row>
    <row r="91" spans="1:31" ht="18" x14ac:dyDescent="0.15">
      <c r="A91" s="421">
        <v>74</v>
      </c>
      <c r="B91" s="9" t="s">
        <v>198</v>
      </c>
      <c r="C91" s="424">
        <v>475703.83333333302</v>
      </c>
      <c r="D91" s="423">
        <v>12</v>
      </c>
      <c r="E91" s="424">
        <f t="shared" si="79"/>
        <v>5708446</v>
      </c>
      <c r="F91" s="424"/>
      <c r="G91" s="430">
        <f>29256.3066666667*12</f>
        <v>351075.68</v>
      </c>
      <c r="H91" s="427"/>
      <c r="I91" s="424">
        <f t="shared" si="80"/>
        <v>5357370.32</v>
      </c>
      <c r="J91" s="424">
        <v>200000</v>
      </c>
      <c r="K91" s="424">
        <v>0.2</v>
      </c>
      <c r="L91" s="424">
        <f t="shared" si="81"/>
        <v>1071474.064</v>
      </c>
      <c r="M91" s="424">
        <f t="shared" si="82"/>
        <v>1271474.064</v>
      </c>
      <c r="N91" s="424">
        <f t="shared" si="83"/>
        <v>1622549.7439999999</v>
      </c>
      <c r="O91" s="424">
        <f t="shared" si="84"/>
        <v>4085896.2560000001</v>
      </c>
      <c r="P91" s="424">
        <f t="shared" si="85"/>
        <v>21000</v>
      </c>
      <c r="Q91" s="424">
        <f t="shared" si="86"/>
        <v>33000</v>
      </c>
      <c r="R91" s="424">
        <f t="shared" si="87"/>
        <v>75000</v>
      </c>
      <c r="S91" s="424">
        <f t="shared" si="88"/>
        <v>95000</v>
      </c>
      <c r="T91" s="424">
        <f t="shared" si="89"/>
        <v>336000</v>
      </c>
      <c r="U91" s="424">
        <f t="shared" si="90"/>
        <v>212615.10143999901</v>
      </c>
      <c r="V91" s="424">
        <f t="shared" si="91"/>
        <v>772615.10143999895</v>
      </c>
      <c r="W91" s="431">
        <v>12</v>
      </c>
      <c r="X91" s="424">
        <f t="shared" si="92"/>
        <v>64384.591786666599</v>
      </c>
      <c r="Y91" s="427"/>
      <c r="Z91" s="424">
        <f t="shared" si="93"/>
        <v>64384.591786666599</v>
      </c>
      <c r="AA91" s="424">
        <v>53384.053562666697</v>
      </c>
      <c r="AB91" s="436">
        <f t="shared" si="94"/>
        <v>11000.5382239999</v>
      </c>
      <c r="AC91" s="436" t="s">
        <v>198</v>
      </c>
      <c r="AD91" s="436"/>
      <c r="AE91" s="436"/>
    </row>
    <row r="92" spans="1:31" ht="24" customHeight="1" x14ac:dyDescent="0.15">
      <c r="A92" s="421">
        <v>75</v>
      </c>
      <c r="B92" s="9" t="s">
        <v>199</v>
      </c>
      <c r="C92" s="424">
        <v>510248.91666666698</v>
      </c>
      <c r="D92" s="423">
        <v>12</v>
      </c>
      <c r="E92" s="424">
        <f t="shared" si="79"/>
        <v>6122987</v>
      </c>
      <c r="F92" s="424">
        <f>'[8]JANUARY 2024'!$V$92*12</f>
        <v>6922.4970000000003</v>
      </c>
      <c r="G92" s="425">
        <v>374638.96</v>
      </c>
      <c r="H92" s="427"/>
      <c r="I92" s="424">
        <f t="shared" si="80"/>
        <v>5741425.5429999996</v>
      </c>
      <c r="J92" s="424">
        <v>200000</v>
      </c>
      <c r="K92" s="424">
        <v>0.2</v>
      </c>
      <c r="L92" s="424">
        <f t="shared" si="81"/>
        <v>1148285.1085999999</v>
      </c>
      <c r="M92" s="424">
        <f t="shared" si="82"/>
        <v>1348285.1085999999</v>
      </c>
      <c r="N92" s="424">
        <f t="shared" si="83"/>
        <v>1729846.5656000001</v>
      </c>
      <c r="O92" s="424">
        <f t="shared" si="84"/>
        <v>4393140.4343999997</v>
      </c>
      <c r="P92" s="424">
        <f t="shared" si="85"/>
        <v>21000</v>
      </c>
      <c r="Q92" s="424">
        <f t="shared" si="86"/>
        <v>33000</v>
      </c>
      <c r="R92" s="424">
        <f t="shared" si="87"/>
        <v>75000</v>
      </c>
      <c r="S92" s="424">
        <f t="shared" si="88"/>
        <v>95000</v>
      </c>
      <c r="T92" s="424">
        <f t="shared" si="89"/>
        <v>336000</v>
      </c>
      <c r="U92" s="424">
        <f t="shared" si="90"/>
        <v>286353.70425600099</v>
      </c>
      <c r="V92" s="424">
        <f t="shared" si="91"/>
        <v>846353.70425600104</v>
      </c>
      <c r="W92" s="431">
        <v>12</v>
      </c>
      <c r="X92" s="424">
        <f t="shared" si="92"/>
        <v>70529.475354666705</v>
      </c>
      <c r="Y92" s="427"/>
      <c r="Z92" s="424">
        <f t="shared" si="93"/>
        <v>70529.475354666705</v>
      </c>
      <c r="AA92" s="424">
        <v>41242.0361406667</v>
      </c>
      <c r="AB92" s="436">
        <f t="shared" si="94"/>
        <v>29287.439214000002</v>
      </c>
      <c r="AC92" s="436" t="s">
        <v>199</v>
      </c>
      <c r="AD92" s="436"/>
      <c r="AE92" s="436"/>
    </row>
    <row r="93" spans="1:31" ht="18" x14ac:dyDescent="0.15">
      <c r="A93" s="421">
        <v>76</v>
      </c>
      <c r="B93" s="9" t="s">
        <v>202</v>
      </c>
      <c r="C93" s="424">
        <v>400965.58333333302</v>
      </c>
      <c r="D93" s="423">
        <v>12</v>
      </c>
      <c r="E93" s="424">
        <f t="shared" si="79"/>
        <v>4811587</v>
      </c>
      <c r="F93" s="424"/>
      <c r="G93" s="425">
        <v>288926.96000000002</v>
      </c>
      <c r="H93" s="427"/>
      <c r="I93" s="424">
        <f t="shared" si="80"/>
        <v>4522660.04</v>
      </c>
      <c r="J93" s="424">
        <v>200000</v>
      </c>
      <c r="K93" s="424">
        <v>0.2</v>
      </c>
      <c r="L93" s="424">
        <f t="shared" si="81"/>
        <v>904532.00799999898</v>
      </c>
      <c r="M93" s="424">
        <f t="shared" si="82"/>
        <v>1104532.0079999999</v>
      </c>
      <c r="N93" s="424">
        <f t="shared" si="83"/>
        <v>1393458.9680000001</v>
      </c>
      <c r="O93" s="424">
        <f t="shared" si="84"/>
        <v>3418128.0320000001</v>
      </c>
      <c r="P93" s="424">
        <f t="shared" si="85"/>
        <v>21000</v>
      </c>
      <c r="Q93" s="424">
        <f t="shared" si="86"/>
        <v>33000</v>
      </c>
      <c r="R93" s="424">
        <f t="shared" si="87"/>
        <v>75000</v>
      </c>
      <c r="S93" s="424">
        <f t="shared" si="88"/>
        <v>95000</v>
      </c>
      <c r="T93" s="424">
        <f t="shared" si="89"/>
        <v>336000</v>
      </c>
      <c r="U93" s="424">
        <f t="shared" si="90"/>
        <v>52350.727679999203</v>
      </c>
      <c r="V93" s="424">
        <f t="shared" si="91"/>
        <v>612350.72767999896</v>
      </c>
      <c r="W93" s="431">
        <v>12</v>
      </c>
      <c r="X93" s="424">
        <f t="shared" si="92"/>
        <v>51029.227306666602</v>
      </c>
      <c r="Y93" s="427"/>
      <c r="Z93" s="424">
        <f t="shared" si="93"/>
        <v>51029.227306666602</v>
      </c>
      <c r="AA93" s="424">
        <v>45414.4562526667</v>
      </c>
      <c r="AB93" s="436">
        <f t="shared" si="94"/>
        <v>5614.7710539998998</v>
      </c>
      <c r="AC93" s="436" t="s">
        <v>202</v>
      </c>
      <c r="AD93" s="436"/>
      <c r="AE93" s="436"/>
    </row>
    <row r="94" spans="1:31" ht="18" x14ac:dyDescent="0.15">
      <c r="A94" s="421"/>
      <c r="B94" s="9" t="s">
        <v>204</v>
      </c>
      <c r="C94" s="424">
        <v>330631.91666666698</v>
      </c>
      <c r="D94" s="423">
        <v>12</v>
      </c>
      <c r="E94" s="424">
        <f t="shared" si="79"/>
        <v>3967583</v>
      </c>
      <c r="F94" s="424"/>
      <c r="G94" s="425">
        <v>221406.64</v>
      </c>
      <c r="H94" s="427"/>
      <c r="I94" s="424">
        <f t="shared" si="80"/>
        <v>3746176.36</v>
      </c>
      <c r="J94" s="424">
        <v>200000</v>
      </c>
      <c r="K94" s="424">
        <v>0.2</v>
      </c>
      <c r="L94" s="424">
        <f t="shared" si="81"/>
        <v>749235.27200000104</v>
      </c>
      <c r="M94" s="424">
        <f t="shared" si="82"/>
        <v>949235.27200000104</v>
      </c>
      <c r="N94" s="424">
        <f t="shared" si="83"/>
        <v>1170641.912</v>
      </c>
      <c r="O94" s="424">
        <f t="shared" si="84"/>
        <v>2796941.088</v>
      </c>
      <c r="P94" s="424">
        <f t="shared" si="85"/>
        <v>21000</v>
      </c>
      <c r="Q94" s="424">
        <f t="shared" si="86"/>
        <v>33000</v>
      </c>
      <c r="R94" s="424">
        <f t="shared" si="87"/>
        <v>75000</v>
      </c>
      <c r="S94" s="424">
        <f t="shared" si="88"/>
        <v>95000</v>
      </c>
      <c r="T94" s="424">
        <f t="shared" si="89"/>
        <v>251357.628480001</v>
      </c>
      <c r="U94" s="424"/>
      <c r="V94" s="424">
        <f t="shared" si="91"/>
        <v>475357.628480001</v>
      </c>
      <c r="W94" s="431">
        <v>12</v>
      </c>
      <c r="X94" s="424">
        <f t="shared" si="92"/>
        <v>39613.135706666697</v>
      </c>
      <c r="Y94" s="427"/>
      <c r="Z94" s="424">
        <f t="shared" si="93"/>
        <v>39613.135706666697</v>
      </c>
      <c r="AA94" s="424">
        <v>33825.986562666702</v>
      </c>
      <c r="AB94" s="436">
        <f t="shared" si="94"/>
        <v>5787.14914400001</v>
      </c>
      <c r="AC94" s="436" t="s">
        <v>204</v>
      </c>
      <c r="AD94" s="436"/>
      <c r="AE94" s="436"/>
    </row>
    <row r="95" spans="1:31" ht="18" x14ac:dyDescent="0.2">
      <c r="A95" s="421"/>
      <c r="B95" s="18"/>
      <c r="C95" s="424"/>
      <c r="D95" s="423"/>
      <c r="E95" s="424"/>
      <c r="F95" s="424"/>
      <c r="G95" s="427"/>
      <c r="H95" s="427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31"/>
      <c r="X95" s="424"/>
      <c r="Y95" s="427"/>
      <c r="Z95" s="424"/>
      <c r="AA95" s="436"/>
      <c r="AB95" s="436"/>
      <c r="AC95" s="436"/>
      <c r="AD95" s="436"/>
      <c r="AE95" s="436"/>
    </row>
    <row r="96" spans="1:31" ht="18" x14ac:dyDescent="0.2">
      <c r="A96" s="421"/>
      <c r="B96" s="20"/>
      <c r="C96" s="424"/>
      <c r="D96" s="423"/>
      <c r="E96" s="424"/>
      <c r="F96" s="424"/>
      <c r="G96" s="427"/>
      <c r="H96" s="427"/>
      <c r="I96" s="424"/>
      <c r="J96" s="424"/>
      <c r="K96" s="424"/>
      <c r="L96" s="424"/>
      <c r="M96" s="424"/>
      <c r="N96" s="424"/>
      <c r="O96" s="424"/>
      <c r="P96" s="424"/>
      <c r="Q96" s="424"/>
      <c r="R96" s="424"/>
      <c r="S96" s="424"/>
      <c r="T96" s="424"/>
      <c r="U96" s="424"/>
      <c r="V96" s="424"/>
      <c r="W96" s="431"/>
      <c r="X96" s="424"/>
      <c r="Y96" s="427"/>
      <c r="Z96" s="424"/>
      <c r="AA96" s="436"/>
      <c r="AB96" s="436"/>
      <c r="AC96" s="436"/>
      <c r="AD96" s="436"/>
      <c r="AE96" s="436"/>
    </row>
    <row r="97" spans="1:31" ht="18" x14ac:dyDescent="0.15">
      <c r="A97" s="421">
        <v>78</v>
      </c>
      <c r="B97" s="18" t="s">
        <v>207</v>
      </c>
      <c r="C97" s="424"/>
      <c r="AC97" s="436"/>
      <c r="AD97" s="436"/>
      <c r="AE97" s="436"/>
    </row>
    <row r="98" spans="1:31" ht="31.5" x14ac:dyDescent="0.2">
      <c r="A98" s="421">
        <v>79</v>
      </c>
      <c r="B98" s="12" t="s">
        <v>208</v>
      </c>
      <c r="C98" s="424">
        <v>1452042.67</v>
      </c>
      <c r="D98" s="423">
        <v>12</v>
      </c>
      <c r="E98" s="424">
        <f t="shared" ref="E98:E101" si="95">C98*D98</f>
        <v>17424512.039999999</v>
      </c>
      <c r="F98" s="424">
        <f>'[8]JANUARY 2024'!$V$98*12</f>
        <v>12795.950999999999</v>
      </c>
      <c r="G98" s="425">
        <f>(0.08*1352042.67)*12</f>
        <v>1297960.9632000001</v>
      </c>
      <c r="H98" s="427"/>
      <c r="I98" s="424">
        <f t="shared" ref="I98:I101" si="96">E98-F98-G98-H98</f>
        <v>16113755.125800001</v>
      </c>
      <c r="J98" s="424">
        <v>200000</v>
      </c>
      <c r="K98" s="424">
        <v>0.2</v>
      </c>
      <c r="L98" s="424">
        <f t="shared" ref="L98:L101" si="97">I98*K98</f>
        <v>3222751.0251600002</v>
      </c>
      <c r="M98" s="424">
        <f t="shared" ref="M98:M101" si="98">J98+L98</f>
        <v>3422751.0251600002</v>
      </c>
      <c r="N98" s="424">
        <f t="shared" ref="N98:N101" si="99">F98+G98+H98+M98</f>
        <v>4733507.9393600002</v>
      </c>
      <c r="O98" s="424">
        <f t="shared" ref="O98:O101" si="100">E98-N98</f>
        <v>12691004.100640001</v>
      </c>
      <c r="P98" s="424">
        <f t="shared" ref="P98:P101" si="101">IF(O98&lt;300000,0.07*O98,21000)</f>
        <v>21000</v>
      </c>
      <c r="Q98" s="424">
        <f t="shared" ref="Q98:Q101" si="102">IF((O98-300000)&lt;0,0,IF((O98-300000)&lt;300000,0.11*(O98-300000),33000))</f>
        <v>33000</v>
      </c>
      <c r="R98" s="424">
        <f t="shared" ref="R98:R101" si="103">IF((O98-600000)&lt;0,0,IF((O98-600000)&lt;500000,0.15*(O98-600000),75000))</f>
        <v>75000</v>
      </c>
      <c r="S98" s="424">
        <f t="shared" ref="S98:S101" si="104">IF((O98-1100000)&lt;0,0,IF((O98-1100000)&lt;500000,0.19*(O98-1100000),95000))</f>
        <v>95000</v>
      </c>
      <c r="T98" s="424">
        <f t="shared" ref="T98:T101" si="105">IF((O98-1600000)&lt;0,0,IF((O98-1600000)&lt;1600000,0.21*(O98-1600000),336000))</f>
        <v>336000</v>
      </c>
      <c r="U98" s="424">
        <f t="shared" ref="U98:U100" si="106">24%*(O98-3200000)</f>
        <v>2277840.9841535999</v>
      </c>
      <c r="V98" s="424">
        <f t="shared" ref="V98:V101" si="107">P98+Q98+R98+S98+T98+U98</f>
        <v>2837840.9841535999</v>
      </c>
      <c r="W98" s="431">
        <v>12</v>
      </c>
      <c r="X98" s="424">
        <f t="shared" ref="X98:X101" si="108">V98/W98</f>
        <v>236486.74867946701</v>
      </c>
      <c r="Y98" s="427"/>
      <c r="Z98" s="424">
        <f t="shared" ref="Z98:Z101" si="109">X98</f>
        <v>236486.74867946701</v>
      </c>
      <c r="AA98" s="436">
        <v>82423.216202666707</v>
      </c>
      <c r="AB98" s="436">
        <f t="shared" ref="AB98:AB101" si="110">Z98-AA98</f>
        <v>154063.5324768</v>
      </c>
      <c r="AC98" s="436" t="s">
        <v>208</v>
      </c>
      <c r="AD98" s="436"/>
      <c r="AE98" s="436"/>
    </row>
    <row r="99" spans="1:31" ht="18" x14ac:dyDescent="0.15">
      <c r="A99" s="421">
        <v>80</v>
      </c>
      <c r="B99" s="9" t="s">
        <v>211</v>
      </c>
      <c r="C99" s="424">
        <v>526622.25</v>
      </c>
      <c r="D99" s="423">
        <v>12</v>
      </c>
      <c r="E99" s="424">
        <f t="shared" si="95"/>
        <v>6319467</v>
      </c>
      <c r="F99" s="424"/>
      <c r="G99" s="425">
        <v>438357.36</v>
      </c>
      <c r="H99" s="427"/>
      <c r="I99" s="424">
        <f t="shared" si="96"/>
        <v>5881109.6399999997</v>
      </c>
      <c r="J99" s="424">
        <v>200000</v>
      </c>
      <c r="K99" s="424">
        <v>0.2</v>
      </c>
      <c r="L99" s="424">
        <f t="shared" si="97"/>
        <v>1176221.9280000001</v>
      </c>
      <c r="M99" s="424">
        <f t="shared" si="98"/>
        <v>1376221.9280000001</v>
      </c>
      <c r="N99" s="424">
        <f t="shared" si="99"/>
        <v>1814579.2879999999</v>
      </c>
      <c r="O99" s="424">
        <f t="shared" si="100"/>
        <v>4504887.7120000003</v>
      </c>
      <c r="P99" s="424">
        <f t="shared" si="101"/>
        <v>21000</v>
      </c>
      <c r="Q99" s="424">
        <f t="shared" si="102"/>
        <v>33000</v>
      </c>
      <c r="R99" s="424">
        <f t="shared" si="103"/>
        <v>75000</v>
      </c>
      <c r="S99" s="424">
        <f t="shared" si="104"/>
        <v>95000</v>
      </c>
      <c r="T99" s="424">
        <f t="shared" si="105"/>
        <v>336000</v>
      </c>
      <c r="U99" s="424">
        <f t="shared" si="106"/>
        <v>313173.05088</v>
      </c>
      <c r="V99" s="424">
        <f t="shared" si="107"/>
        <v>873173.05088</v>
      </c>
      <c r="W99" s="431">
        <v>12</v>
      </c>
      <c r="X99" s="424">
        <f t="shared" si="108"/>
        <v>72764.420906666695</v>
      </c>
      <c r="Y99" s="427"/>
      <c r="Z99" s="424">
        <f t="shared" si="109"/>
        <v>72764.420906666695</v>
      </c>
      <c r="AA99" s="436">
        <v>82627.951418666693</v>
      </c>
      <c r="AB99" s="436">
        <f t="shared" si="110"/>
        <v>-9863.5305120000394</v>
      </c>
      <c r="AC99" s="436" t="s">
        <v>211</v>
      </c>
      <c r="AD99" s="436"/>
      <c r="AE99" s="436"/>
    </row>
    <row r="100" spans="1:31" ht="31.5" x14ac:dyDescent="0.2">
      <c r="A100" s="421">
        <v>81</v>
      </c>
      <c r="B100" s="9" t="s">
        <v>217</v>
      </c>
      <c r="C100" s="424">
        <v>437895.16666666698</v>
      </c>
      <c r="D100" s="423">
        <v>12</v>
      </c>
      <c r="E100" s="424">
        <f t="shared" si="95"/>
        <v>5254742</v>
      </c>
      <c r="F100" s="424"/>
      <c r="G100" s="425">
        <v>362779.36</v>
      </c>
      <c r="H100" s="427"/>
      <c r="I100" s="424">
        <f t="shared" si="96"/>
        <v>4891962.6399999997</v>
      </c>
      <c r="J100" s="424">
        <v>200000</v>
      </c>
      <c r="K100" s="424">
        <v>0.2</v>
      </c>
      <c r="L100" s="424">
        <f t="shared" si="97"/>
        <v>978392.52800000098</v>
      </c>
      <c r="M100" s="424">
        <f t="shared" si="98"/>
        <v>1178392.5279999999</v>
      </c>
      <c r="N100" s="424">
        <f t="shared" si="99"/>
        <v>1541171.888</v>
      </c>
      <c r="O100" s="424">
        <f t="shared" si="100"/>
        <v>3713570.1120000002</v>
      </c>
      <c r="P100" s="424">
        <f t="shared" si="101"/>
        <v>21000</v>
      </c>
      <c r="Q100" s="424">
        <f t="shared" si="102"/>
        <v>33000</v>
      </c>
      <c r="R100" s="424">
        <f t="shared" si="103"/>
        <v>75000</v>
      </c>
      <c r="S100" s="424">
        <f t="shared" si="104"/>
        <v>95000</v>
      </c>
      <c r="T100" s="424">
        <f t="shared" si="105"/>
        <v>336000</v>
      </c>
      <c r="U100" s="424">
        <f t="shared" si="106"/>
        <v>123256.826880001</v>
      </c>
      <c r="V100" s="424">
        <f t="shared" si="107"/>
        <v>683256.826880001</v>
      </c>
      <c r="W100" s="431">
        <v>12</v>
      </c>
      <c r="X100" s="424">
        <f t="shared" si="108"/>
        <v>56938.068906666696</v>
      </c>
      <c r="Y100" s="427"/>
      <c r="Z100" s="424">
        <f t="shared" si="109"/>
        <v>56938.068906666696</v>
      </c>
      <c r="AA100" s="436">
        <v>43492.373376666699</v>
      </c>
      <c r="AB100" s="436">
        <f t="shared" si="110"/>
        <v>13445.695530000001</v>
      </c>
      <c r="AC100" s="436" t="s">
        <v>217</v>
      </c>
      <c r="AD100" s="436"/>
      <c r="AE100" s="436"/>
    </row>
    <row r="101" spans="1:31" ht="18" x14ac:dyDescent="0.15">
      <c r="A101" s="421"/>
      <c r="B101" s="9" t="s">
        <v>219</v>
      </c>
      <c r="C101" s="424">
        <v>360965.58333333302</v>
      </c>
      <c r="D101" s="423">
        <v>12</v>
      </c>
      <c r="E101" s="424">
        <f t="shared" si="95"/>
        <v>4331587</v>
      </c>
      <c r="F101" s="424"/>
      <c r="G101" s="425">
        <v>288926.96000000002</v>
      </c>
      <c r="H101" s="427"/>
      <c r="I101" s="424">
        <f t="shared" si="96"/>
        <v>4042660.04</v>
      </c>
      <c r="J101" s="424">
        <v>200000</v>
      </c>
      <c r="K101" s="424">
        <v>0.2</v>
      </c>
      <c r="L101" s="424">
        <f t="shared" si="97"/>
        <v>808532.00799999898</v>
      </c>
      <c r="M101" s="424">
        <f t="shared" si="98"/>
        <v>1008532.008</v>
      </c>
      <c r="N101" s="424">
        <f t="shared" si="99"/>
        <v>1297458.9680000001</v>
      </c>
      <c r="O101" s="424">
        <f t="shared" si="100"/>
        <v>3034128.0320000001</v>
      </c>
      <c r="P101" s="424">
        <f t="shared" si="101"/>
        <v>21000</v>
      </c>
      <c r="Q101" s="424">
        <f t="shared" si="102"/>
        <v>33000</v>
      </c>
      <c r="R101" s="424">
        <f t="shared" si="103"/>
        <v>75000</v>
      </c>
      <c r="S101" s="424">
        <f t="shared" si="104"/>
        <v>95000</v>
      </c>
      <c r="T101" s="424">
        <f t="shared" si="105"/>
        <v>301166.88671999902</v>
      </c>
      <c r="U101" s="424"/>
      <c r="V101" s="424">
        <f t="shared" si="107"/>
        <v>525166.88671999902</v>
      </c>
      <c r="W101" s="431">
        <v>12</v>
      </c>
      <c r="X101" s="424">
        <f t="shared" si="108"/>
        <v>43763.907226666597</v>
      </c>
      <c r="Y101" s="427"/>
      <c r="Z101" s="424">
        <f t="shared" si="109"/>
        <v>43763.907226666597</v>
      </c>
      <c r="AA101" s="436">
        <v>34968.882414666703</v>
      </c>
      <c r="AB101" s="436">
        <f t="shared" si="110"/>
        <v>8795.0248119999105</v>
      </c>
      <c r="AC101" s="436" t="s">
        <v>219</v>
      </c>
      <c r="AD101" s="436"/>
      <c r="AE101" s="436"/>
    </row>
    <row r="102" spans="1:31" ht="18" x14ac:dyDescent="0.15">
      <c r="A102" s="421"/>
      <c r="B102" s="18" t="s">
        <v>111</v>
      </c>
      <c r="C102" s="424"/>
      <c r="D102" s="423"/>
      <c r="E102" s="424"/>
      <c r="F102" s="424"/>
      <c r="G102" s="427">
        <v>0</v>
      </c>
      <c r="H102" s="427"/>
      <c r="I102" s="424"/>
      <c r="J102" s="424"/>
      <c r="K102" s="424"/>
      <c r="L102" s="424"/>
      <c r="M102" s="424"/>
      <c r="N102" s="424"/>
      <c r="O102" s="424"/>
      <c r="P102" s="424"/>
      <c r="Q102" s="424"/>
      <c r="R102" s="424"/>
      <c r="S102" s="424"/>
      <c r="T102" s="424"/>
      <c r="U102" s="424"/>
      <c r="V102" s="424"/>
      <c r="W102" s="431"/>
      <c r="X102" s="424"/>
      <c r="Y102" s="427"/>
      <c r="Z102" s="424"/>
      <c r="AA102" s="436"/>
      <c r="AB102" s="436"/>
      <c r="AC102" s="436"/>
      <c r="AD102" s="436"/>
      <c r="AE102" s="436"/>
    </row>
    <row r="103" spans="1:31" ht="18" x14ac:dyDescent="0.2">
      <c r="A103" s="421">
        <v>83</v>
      </c>
      <c r="B103" s="20"/>
      <c r="C103" s="424"/>
      <c r="G103" s="259">
        <v>0</v>
      </c>
      <c r="AC103" s="436"/>
      <c r="AD103" s="436"/>
      <c r="AE103" s="436"/>
    </row>
    <row r="104" spans="1:31" ht="31.5" x14ac:dyDescent="0.2">
      <c r="A104" s="421">
        <v>84</v>
      </c>
      <c r="B104" s="18" t="s">
        <v>221</v>
      </c>
      <c r="C104" s="424"/>
      <c r="G104" s="259">
        <v>0</v>
      </c>
      <c r="AB104" s="259" t="s">
        <v>648</v>
      </c>
      <c r="AC104" s="436"/>
      <c r="AD104" s="436"/>
      <c r="AE104" s="436"/>
    </row>
    <row r="105" spans="1:31" ht="18" x14ac:dyDescent="0.15">
      <c r="A105" s="421">
        <v>85</v>
      </c>
      <c r="B105" s="9" t="s">
        <v>222</v>
      </c>
      <c r="C105" s="424">
        <v>1635720</v>
      </c>
      <c r="D105" s="423">
        <v>12</v>
      </c>
      <c r="E105" s="424">
        <f t="shared" ref="E105:E111" si="111">C105*D105</f>
        <v>19628640</v>
      </c>
      <c r="F105" s="424"/>
      <c r="G105" s="425">
        <v>1378291.2</v>
      </c>
      <c r="H105" s="427"/>
      <c r="I105" s="424">
        <f t="shared" ref="I105:I110" si="112">E105-F105-G105-H105</f>
        <v>18250348.800000001</v>
      </c>
      <c r="J105" s="424">
        <v>200000</v>
      </c>
      <c r="K105" s="424">
        <v>0.2</v>
      </c>
      <c r="L105" s="424">
        <f t="shared" ref="L105:L111" si="113">I105*K105</f>
        <v>3650069.76</v>
      </c>
      <c r="M105" s="424">
        <f t="shared" ref="M105:M111" si="114">J105+L105</f>
        <v>3850069.76</v>
      </c>
      <c r="N105" s="424">
        <f t="shared" ref="N105:N110" si="115">F105+G105+H105+M105</f>
        <v>5228360.96</v>
      </c>
      <c r="O105" s="424">
        <f t="shared" ref="O105:O111" si="116">E105-N105</f>
        <v>14400279.039999999</v>
      </c>
      <c r="P105" s="424">
        <f t="shared" ref="P105:P111" si="117">IF(O105&lt;300000,0.07*O105,21000)</f>
        <v>21000</v>
      </c>
      <c r="Q105" s="424">
        <f t="shared" ref="Q105:Q111" si="118">IF((O105-300000)&lt;0,0,IF((O105-300000)&lt;300000,0.11*(O105-300000),33000))</f>
        <v>33000</v>
      </c>
      <c r="R105" s="424">
        <f t="shared" ref="R105:R111" si="119">IF((O105-600000)&lt;0,0,IF((O105-600000)&lt;500000,0.15*(O105-600000),75000))</f>
        <v>75000</v>
      </c>
      <c r="S105" s="424">
        <f t="shared" ref="S105:S111" si="120">IF((O105-1100000)&lt;0,0,IF((O105-1100000)&lt;500000,0.19*(O105-1100000),95000))</f>
        <v>95000</v>
      </c>
      <c r="T105" s="424">
        <f t="shared" ref="T105:T111" si="121">IF((O105-1600000)&lt;0,0,IF((O105-1600000)&lt;1600000,0.21*(O105-1600000),336000))</f>
        <v>336000</v>
      </c>
      <c r="U105" s="424">
        <f t="shared" ref="U105:U107" si="122">24%*(O105-3200000)</f>
        <v>2688066.9696</v>
      </c>
      <c r="V105" s="424">
        <f t="shared" ref="V105:V111" si="123">P105+Q105+R105+S105+T105+U105</f>
        <v>3248066.9696</v>
      </c>
      <c r="W105" s="431">
        <v>12</v>
      </c>
      <c r="X105" s="424">
        <f t="shared" ref="X105:X111" si="124">V105/W105</f>
        <v>270672.24746666697</v>
      </c>
      <c r="Y105" s="427"/>
      <c r="Z105" s="424">
        <f t="shared" ref="Z105:Z111" si="125">X105</f>
        <v>270672.24746666697</v>
      </c>
      <c r="AA105" s="436">
        <v>180306.806858667</v>
      </c>
      <c r="AB105" s="436">
        <f t="shared" ref="AB105:AB111" si="126">Z105-AA105</f>
        <v>90365.440607999597</v>
      </c>
      <c r="AC105" s="436" t="s">
        <v>222</v>
      </c>
      <c r="AD105" s="436"/>
      <c r="AE105" s="436"/>
    </row>
    <row r="106" spans="1:31" ht="18" x14ac:dyDescent="0.15">
      <c r="A106" s="421">
        <v>86</v>
      </c>
      <c r="B106" s="9" t="s">
        <v>224</v>
      </c>
      <c r="C106" s="424">
        <v>942373.16666666698</v>
      </c>
      <c r="D106" s="423">
        <v>12</v>
      </c>
      <c r="E106" s="424">
        <f t="shared" si="111"/>
        <v>11308478</v>
      </c>
      <c r="F106" s="424">
        <f>'[8]JANUARY 2024'!$V$106*12</f>
        <v>12795.950999999999</v>
      </c>
      <c r="G106" s="425">
        <v>731878.24</v>
      </c>
      <c r="H106" s="427"/>
      <c r="I106" s="424">
        <f t="shared" si="112"/>
        <v>10563803.809</v>
      </c>
      <c r="J106" s="424">
        <v>200000</v>
      </c>
      <c r="K106" s="424">
        <v>0.2</v>
      </c>
      <c r="L106" s="424">
        <f t="shared" si="113"/>
        <v>2112760.7618</v>
      </c>
      <c r="M106" s="424">
        <f t="shared" si="114"/>
        <v>2312760.7618</v>
      </c>
      <c r="N106" s="424">
        <f t="shared" si="115"/>
        <v>3057434.9528000001</v>
      </c>
      <c r="O106" s="424">
        <f t="shared" si="116"/>
        <v>8251043.0471999999</v>
      </c>
      <c r="P106" s="424">
        <f t="shared" si="117"/>
        <v>21000</v>
      </c>
      <c r="Q106" s="424">
        <f t="shared" si="118"/>
        <v>33000</v>
      </c>
      <c r="R106" s="424">
        <f t="shared" si="119"/>
        <v>75000</v>
      </c>
      <c r="S106" s="424">
        <f t="shared" si="120"/>
        <v>95000</v>
      </c>
      <c r="T106" s="424">
        <f t="shared" si="121"/>
        <v>336000</v>
      </c>
      <c r="U106" s="424">
        <f t="shared" si="122"/>
        <v>1212250.3313279999</v>
      </c>
      <c r="V106" s="424">
        <f t="shared" si="123"/>
        <v>1772250.3313279999</v>
      </c>
      <c r="W106" s="431">
        <v>12</v>
      </c>
      <c r="X106" s="424">
        <f t="shared" si="124"/>
        <v>147687.52761066699</v>
      </c>
      <c r="Y106" s="427"/>
      <c r="Z106" s="424">
        <f t="shared" si="125"/>
        <v>147687.52761066699</v>
      </c>
      <c r="AA106" s="436">
        <v>99703.216202666707</v>
      </c>
      <c r="AB106" s="436">
        <f t="shared" si="126"/>
        <v>47984.311408000001</v>
      </c>
      <c r="AC106" s="436" t="s">
        <v>224</v>
      </c>
      <c r="AD106" s="436"/>
      <c r="AE106" s="436"/>
    </row>
    <row r="107" spans="1:31" ht="18" x14ac:dyDescent="0.15">
      <c r="A107" s="421">
        <v>87</v>
      </c>
      <c r="B107" s="9" t="s">
        <v>226</v>
      </c>
      <c r="C107" s="424">
        <v>603237.85519166698</v>
      </c>
      <c r="D107" s="423">
        <v>12</v>
      </c>
      <c r="E107" s="424">
        <f t="shared" si="111"/>
        <v>7238854.2622999996</v>
      </c>
      <c r="F107" s="424">
        <f>'[8]JANUARY 2024'!$V$107*12</f>
        <v>7901.79</v>
      </c>
      <c r="G107" s="425">
        <v>424132.72</v>
      </c>
      <c r="H107" s="427"/>
      <c r="I107" s="424">
        <f t="shared" si="112"/>
        <v>6806819.7522999998</v>
      </c>
      <c r="J107" s="424">
        <v>200000</v>
      </c>
      <c r="K107" s="424">
        <v>0.2</v>
      </c>
      <c r="L107" s="424">
        <f t="shared" si="113"/>
        <v>1361363.95046</v>
      </c>
      <c r="M107" s="424">
        <f t="shared" si="114"/>
        <v>1561363.95046</v>
      </c>
      <c r="N107" s="424">
        <f t="shared" si="115"/>
        <v>1993398.46046</v>
      </c>
      <c r="O107" s="424">
        <f t="shared" si="116"/>
        <v>5245455.8018399999</v>
      </c>
      <c r="P107" s="424">
        <f t="shared" si="117"/>
        <v>21000</v>
      </c>
      <c r="Q107" s="424">
        <f t="shared" si="118"/>
        <v>33000</v>
      </c>
      <c r="R107" s="424">
        <f t="shared" si="119"/>
        <v>75000</v>
      </c>
      <c r="S107" s="424">
        <f t="shared" si="120"/>
        <v>95000</v>
      </c>
      <c r="T107" s="424">
        <f t="shared" si="121"/>
        <v>336000</v>
      </c>
      <c r="U107" s="424">
        <f t="shared" si="122"/>
        <v>490909.39244160103</v>
      </c>
      <c r="V107" s="424">
        <f t="shared" si="123"/>
        <v>1050909.3924416001</v>
      </c>
      <c r="W107" s="431">
        <v>12</v>
      </c>
      <c r="X107" s="424">
        <f t="shared" si="124"/>
        <v>87575.782703466699</v>
      </c>
      <c r="Y107" s="427"/>
      <c r="Z107" s="424">
        <f t="shared" si="125"/>
        <v>87575.782703466699</v>
      </c>
      <c r="AA107" s="436">
        <v>180180.378218667</v>
      </c>
      <c r="AB107" s="436">
        <f t="shared" si="126"/>
        <v>-92604.595515200301</v>
      </c>
      <c r="AC107" s="436" t="s">
        <v>226</v>
      </c>
      <c r="AD107" s="436"/>
      <c r="AE107" s="436"/>
    </row>
    <row r="108" spans="1:31" ht="18" x14ac:dyDescent="0.15">
      <c r="A108" s="421">
        <v>88</v>
      </c>
      <c r="B108" s="9" t="s">
        <v>228</v>
      </c>
      <c r="C108" s="424">
        <v>601625.033321667</v>
      </c>
      <c r="D108" s="423">
        <v>12</v>
      </c>
      <c r="E108" s="424">
        <f t="shared" si="111"/>
        <v>7219500.3998600002</v>
      </c>
      <c r="F108" s="424"/>
      <c r="G108" s="425">
        <v>424132.72</v>
      </c>
      <c r="H108" s="427"/>
      <c r="I108" s="424">
        <f t="shared" si="112"/>
        <v>6795367.6798599996</v>
      </c>
      <c r="J108" s="424">
        <v>200000</v>
      </c>
      <c r="K108" s="424">
        <v>0.2</v>
      </c>
      <c r="L108" s="424">
        <f t="shared" si="113"/>
        <v>1359073.5359720001</v>
      </c>
      <c r="M108" s="424">
        <f t="shared" si="114"/>
        <v>1559073.5359720001</v>
      </c>
      <c r="N108" s="424">
        <f t="shared" si="115"/>
        <v>1983206.2559720001</v>
      </c>
      <c r="O108" s="424">
        <f t="shared" si="116"/>
        <v>5236294.1438880004</v>
      </c>
      <c r="P108" s="424">
        <f t="shared" si="117"/>
        <v>21000</v>
      </c>
      <c r="Q108" s="424">
        <f t="shared" si="118"/>
        <v>33000</v>
      </c>
      <c r="R108" s="424">
        <f t="shared" si="119"/>
        <v>75000</v>
      </c>
      <c r="S108" s="424">
        <f t="shared" si="120"/>
        <v>95000</v>
      </c>
      <c r="T108" s="424">
        <f t="shared" si="121"/>
        <v>336000</v>
      </c>
      <c r="U108" s="424">
        <f>0.24*(O108-3200000)</f>
        <v>488710.59453312098</v>
      </c>
      <c r="V108" s="424">
        <f t="shared" si="123"/>
        <v>1048710.59453312</v>
      </c>
      <c r="W108" s="431">
        <v>12</v>
      </c>
      <c r="X108" s="424">
        <f t="shared" si="124"/>
        <v>87392.5495444267</v>
      </c>
      <c r="Y108" s="427"/>
      <c r="Z108" s="424">
        <f t="shared" si="125"/>
        <v>87392.5495444267</v>
      </c>
      <c r="AA108" s="436">
        <v>99907.951418666693</v>
      </c>
      <c r="AB108" s="436">
        <f t="shared" si="126"/>
        <v>-12515.40187424</v>
      </c>
      <c r="AC108" s="436" t="s">
        <v>228</v>
      </c>
      <c r="AD108" s="436"/>
      <c r="AE108" s="436"/>
    </row>
    <row r="109" spans="1:31" ht="18" x14ac:dyDescent="0.15">
      <c r="A109" s="421">
        <v>89</v>
      </c>
      <c r="B109" s="9" t="s">
        <v>230</v>
      </c>
      <c r="C109" s="424">
        <v>374481.86414666701</v>
      </c>
      <c r="D109" s="423">
        <v>12</v>
      </c>
      <c r="E109" s="424">
        <f t="shared" si="111"/>
        <v>4493782.3697600001</v>
      </c>
      <c r="F109" s="424"/>
      <c r="G109" s="425">
        <v>239182.48</v>
      </c>
      <c r="H109" s="427"/>
      <c r="I109" s="424">
        <f t="shared" si="112"/>
        <v>4254599.8897599997</v>
      </c>
      <c r="J109" s="424">
        <v>200000</v>
      </c>
      <c r="K109" s="424">
        <v>0.2</v>
      </c>
      <c r="L109" s="424">
        <f t="shared" si="113"/>
        <v>850919.97795200103</v>
      </c>
      <c r="M109" s="424">
        <f t="shared" si="114"/>
        <v>1050919.977952</v>
      </c>
      <c r="N109" s="424">
        <f t="shared" si="115"/>
        <v>1290102.457952</v>
      </c>
      <c r="O109" s="424">
        <f t="shared" si="116"/>
        <v>3203679.9118079999</v>
      </c>
      <c r="P109" s="424">
        <f t="shared" si="117"/>
        <v>21000</v>
      </c>
      <c r="Q109" s="424">
        <f t="shared" si="118"/>
        <v>33000</v>
      </c>
      <c r="R109" s="424">
        <f t="shared" si="119"/>
        <v>75000</v>
      </c>
      <c r="S109" s="424">
        <f t="shared" si="120"/>
        <v>95000</v>
      </c>
      <c r="T109" s="424">
        <f t="shared" si="121"/>
        <v>336000</v>
      </c>
      <c r="U109" s="424">
        <f>0.24*(O109-3200000)</f>
        <v>883.17883392076897</v>
      </c>
      <c r="V109" s="424">
        <f t="shared" si="123"/>
        <v>560883.17883392097</v>
      </c>
      <c r="W109" s="431">
        <v>12</v>
      </c>
      <c r="X109" s="424">
        <f t="shared" si="124"/>
        <v>46740.264902826697</v>
      </c>
      <c r="Y109" s="427"/>
      <c r="Z109" s="424">
        <f t="shared" si="125"/>
        <v>46740.264902826697</v>
      </c>
      <c r="AA109" s="436">
        <v>58941.101743466701</v>
      </c>
      <c r="AB109" s="436">
        <f t="shared" si="126"/>
        <v>-12200.83684064</v>
      </c>
      <c r="AC109" s="436" t="s">
        <v>230</v>
      </c>
      <c r="AD109" s="436"/>
      <c r="AE109" s="436"/>
    </row>
    <row r="110" spans="1:31" ht="31.5" x14ac:dyDescent="0.2">
      <c r="A110" s="421"/>
      <c r="B110" s="16" t="s">
        <v>233</v>
      </c>
      <c r="C110" s="424">
        <v>367926.02100000001</v>
      </c>
      <c r="D110" s="423">
        <v>12</v>
      </c>
      <c r="E110" s="424">
        <f t="shared" si="111"/>
        <v>4415112.2520000003</v>
      </c>
      <c r="F110" s="424"/>
      <c r="G110" s="425">
        <v>233257.2</v>
      </c>
      <c r="H110" s="427"/>
      <c r="I110" s="424">
        <f t="shared" si="112"/>
        <v>4181855.0520000001</v>
      </c>
      <c r="J110" s="424">
        <v>200000</v>
      </c>
      <c r="K110" s="424">
        <v>0.2</v>
      </c>
      <c r="L110" s="424">
        <f t="shared" si="113"/>
        <v>836371.01040000003</v>
      </c>
      <c r="M110" s="424">
        <f t="shared" si="114"/>
        <v>1036371.0104</v>
      </c>
      <c r="N110" s="424">
        <f t="shared" si="115"/>
        <v>1269628.2104</v>
      </c>
      <c r="O110" s="424">
        <f t="shared" si="116"/>
        <v>3145484.0416000001</v>
      </c>
      <c r="P110" s="424">
        <f t="shared" si="117"/>
        <v>21000</v>
      </c>
      <c r="Q110" s="424">
        <f t="shared" si="118"/>
        <v>33000</v>
      </c>
      <c r="R110" s="424">
        <f t="shared" si="119"/>
        <v>75000</v>
      </c>
      <c r="S110" s="424">
        <f t="shared" si="120"/>
        <v>95000</v>
      </c>
      <c r="T110" s="424">
        <f t="shared" si="121"/>
        <v>324551.648736</v>
      </c>
      <c r="U110" s="424"/>
      <c r="V110" s="424">
        <f t="shared" si="123"/>
        <v>548551.64873599994</v>
      </c>
      <c r="W110" s="431">
        <v>12</v>
      </c>
      <c r="X110" s="424">
        <f t="shared" si="124"/>
        <v>45712.637394666701</v>
      </c>
      <c r="Y110" s="427"/>
      <c r="Z110" s="424">
        <f t="shared" si="125"/>
        <v>45712.637394666701</v>
      </c>
      <c r="AA110" s="436">
        <v>58631.439944426696</v>
      </c>
      <c r="AB110" s="436">
        <f t="shared" si="126"/>
        <v>-12918.802549759999</v>
      </c>
      <c r="AC110" s="436" t="s">
        <v>233</v>
      </c>
      <c r="AD110" s="436"/>
      <c r="AE110" s="436"/>
    </row>
    <row r="111" spans="1:31" ht="18" x14ac:dyDescent="0.15">
      <c r="A111" s="421"/>
      <c r="B111" s="16" t="s">
        <v>234</v>
      </c>
      <c r="C111" s="424">
        <v>355198.112111667</v>
      </c>
      <c r="D111" s="423">
        <v>12</v>
      </c>
      <c r="E111" s="424">
        <f t="shared" si="111"/>
        <v>4262377.3453400005</v>
      </c>
      <c r="G111" s="425">
        <v>221406.64</v>
      </c>
      <c r="H111" s="427"/>
      <c r="I111" s="424">
        <f>E111-F112-G111-H111</f>
        <v>4040970.7053399999</v>
      </c>
      <c r="J111" s="424">
        <v>200000</v>
      </c>
      <c r="K111" s="424">
        <v>0.2</v>
      </c>
      <c r="L111" s="424">
        <f t="shared" si="113"/>
        <v>808194.14106800104</v>
      </c>
      <c r="M111" s="424">
        <f t="shared" si="114"/>
        <v>1008194.141068</v>
      </c>
      <c r="N111" s="424">
        <f>F112+G111+H111+M111</f>
        <v>1229600.781068</v>
      </c>
      <c r="O111" s="424">
        <f t="shared" si="116"/>
        <v>3032776.564272</v>
      </c>
      <c r="P111" s="424">
        <f t="shared" si="117"/>
        <v>21000</v>
      </c>
      <c r="Q111" s="424">
        <f t="shared" si="118"/>
        <v>33000</v>
      </c>
      <c r="R111" s="424">
        <f t="shared" si="119"/>
        <v>75000</v>
      </c>
      <c r="S111" s="424">
        <f t="shared" si="120"/>
        <v>95000</v>
      </c>
      <c r="T111" s="424">
        <f t="shared" si="121"/>
        <v>300883.07849712099</v>
      </c>
      <c r="U111" s="424"/>
      <c r="V111" s="424">
        <f t="shared" si="123"/>
        <v>524883.07849712099</v>
      </c>
      <c r="W111" s="431">
        <v>12</v>
      </c>
      <c r="X111" s="424">
        <f t="shared" si="124"/>
        <v>43740.256541426701</v>
      </c>
      <c r="Y111" s="427"/>
      <c r="Z111" s="424">
        <f t="shared" si="125"/>
        <v>43740.256541426701</v>
      </c>
      <c r="AA111" s="436">
        <v>31871.335203306699</v>
      </c>
      <c r="AB111" s="436">
        <f t="shared" si="126"/>
        <v>11868.921338120001</v>
      </c>
      <c r="AC111" s="436" t="s">
        <v>234</v>
      </c>
      <c r="AD111" s="436"/>
      <c r="AE111" s="436"/>
    </row>
    <row r="112" spans="1:31" ht="18" x14ac:dyDescent="0.15">
      <c r="A112" s="421"/>
      <c r="B112" s="18" t="s">
        <v>111</v>
      </c>
      <c r="C112" s="424"/>
      <c r="D112" s="423"/>
      <c r="E112" s="424"/>
      <c r="F112" s="424"/>
      <c r="G112" s="425"/>
      <c r="H112" s="427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31"/>
      <c r="X112" s="424"/>
      <c r="Y112" s="427"/>
      <c r="Z112" s="424"/>
      <c r="AA112" s="436"/>
      <c r="AB112" s="436"/>
      <c r="AC112" s="436"/>
      <c r="AD112" s="436"/>
      <c r="AE112" s="436"/>
    </row>
    <row r="113" spans="1:31" ht="18" x14ac:dyDescent="0.2">
      <c r="A113" s="421">
        <v>90</v>
      </c>
      <c r="B113" s="18"/>
      <c r="C113" s="424"/>
      <c r="G113" s="425"/>
      <c r="U113" s="424"/>
      <c r="AC113" s="436"/>
      <c r="AD113" s="436"/>
      <c r="AE113" s="436"/>
    </row>
    <row r="114" spans="1:31" ht="31.5" x14ac:dyDescent="0.2">
      <c r="A114" s="421">
        <v>91</v>
      </c>
      <c r="B114" s="18" t="s">
        <v>235</v>
      </c>
      <c r="C114" s="424"/>
      <c r="G114" s="425"/>
      <c r="U114" s="424"/>
      <c r="AC114" s="436"/>
      <c r="AD114" s="436"/>
      <c r="AE114" s="436"/>
    </row>
    <row r="115" spans="1:31" ht="31.5" x14ac:dyDescent="0.2">
      <c r="A115" s="421">
        <v>92</v>
      </c>
      <c r="B115" s="12" t="s">
        <v>152</v>
      </c>
      <c r="C115" s="424">
        <v>761396.83333333302</v>
      </c>
      <c r="D115" s="423">
        <v>12</v>
      </c>
      <c r="E115" s="424">
        <f t="shared" ref="E115:E117" si="127">C115*D115</f>
        <v>9136762</v>
      </c>
      <c r="F115" s="424">
        <f>'[8]JANUARY 2024'!$V$115*12</f>
        <v>9678.9599999999991</v>
      </c>
      <c r="G115" s="425">
        <v>577340.96</v>
      </c>
      <c r="H115" s="427"/>
      <c r="I115" s="424">
        <f t="shared" ref="I115:I117" si="128">E115-F115-G115-H115</f>
        <v>8549742.0799999908</v>
      </c>
      <c r="J115" s="424">
        <v>200000</v>
      </c>
      <c r="K115" s="424">
        <v>0.2</v>
      </c>
      <c r="L115" s="424">
        <f t="shared" ref="L115:L117" si="129">I115*K115</f>
        <v>1709948.416</v>
      </c>
      <c r="M115" s="424">
        <f t="shared" ref="M115:M117" si="130">J115+L115</f>
        <v>1909948.416</v>
      </c>
      <c r="N115" s="424">
        <f t="shared" ref="N115:N117" si="131">F115+G115+H115+M115</f>
        <v>2496968.3360000001</v>
      </c>
      <c r="O115" s="424">
        <f t="shared" ref="O115:O117" si="132">E115-N115</f>
        <v>6639793.6639999999</v>
      </c>
      <c r="P115" s="424">
        <f t="shared" ref="P115:P117" si="133">IF(O115&lt;300000,0.07*O115,21000)</f>
        <v>21000</v>
      </c>
      <c r="Q115" s="424">
        <f t="shared" ref="Q115:Q117" si="134">IF((O115-300000)&lt;0,0,IF((O115-300000)&lt;300000,0.11*(O115-300000),33000))</f>
        <v>33000</v>
      </c>
      <c r="R115" s="424">
        <f t="shared" ref="R115:R117" si="135">IF((O115-600000)&lt;0,0,IF((O115-600000)&lt;500000,0.15*(O115-600000),75000))</f>
        <v>75000</v>
      </c>
      <c r="S115" s="424">
        <f t="shared" ref="S115:S117" si="136">IF((O115-1100000)&lt;0,0,IF((O115-1100000)&lt;500000,0.19*(O115-1100000),95000))</f>
        <v>95000</v>
      </c>
      <c r="T115" s="424">
        <f t="shared" ref="T115:T117" si="137">IF((O115-1600000)&lt;0,0,IF((O115-1600000)&lt;1600000,0.21*(O115-1600000),336000))</f>
        <v>336000</v>
      </c>
      <c r="U115" s="424">
        <f t="shared" ref="U115:U117" si="138">0.24*(O115-3200000)</f>
        <v>825550.47935999895</v>
      </c>
      <c r="V115" s="424">
        <f t="shared" ref="V115:V117" si="139">P115+Q115+R115+S115+T115+U115</f>
        <v>1385550.47936</v>
      </c>
      <c r="W115" s="431">
        <v>12</v>
      </c>
      <c r="X115" s="424">
        <f t="shared" ref="X115:X117" si="140">V115/W115</f>
        <v>115462.53994666701</v>
      </c>
      <c r="Y115" s="427"/>
      <c r="Z115" s="424">
        <f t="shared" ref="Z115:Z117" si="141">X115</f>
        <v>115462.53994666701</v>
      </c>
      <c r="AA115" s="436">
        <v>77610.116906666706</v>
      </c>
      <c r="AB115" s="436">
        <f t="shared" ref="AB115:AB117" si="142">Z115-AA115</f>
        <v>37852.4230399999</v>
      </c>
      <c r="AC115" s="436"/>
      <c r="AD115" s="436"/>
      <c r="AE115" s="436"/>
    </row>
    <row r="116" spans="1:31" ht="18" x14ac:dyDescent="0.15">
      <c r="A116" s="421">
        <v>93</v>
      </c>
      <c r="B116" s="9" t="s">
        <v>236</v>
      </c>
      <c r="C116" s="424">
        <v>487895.16666666698</v>
      </c>
      <c r="D116" s="423">
        <v>12</v>
      </c>
      <c r="E116" s="424">
        <f t="shared" si="127"/>
        <v>5854742</v>
      </c>
      <c r="F116" s="424"/>
      <c r="G116" s="425">
        <v>362779.36</v>
      </c>
      <c r="H116" s="427"/>
      <c r="I116" s="424">
        <f t="shared" si="128"/>
        <v>5491962.6399999997</v>
      </c>
      <c r="J116" s="424">
        <v>200000</v>
      </c>
      <c r="K116" s="424">
        <v>0.2</v>
      </c>
      <c r="L116" s="424">
        <f t="shared" si="129"/>
        <v>1098392.5279999999</v>
      </c>
      <c r="M116" s="424">
        <f t="shared" si="130"/>
        <v>1298392.5279999999</v>
      </c>
      <c r="N116" s="424">
        <f t="shared" si="131"/>
        <v>1661171.888</v>
      </c>
      <c r="O116" s="424">
        <f t="shared" si="132"/>
        <v>4193570.1120000002</v>
      </c>
      <c r="P116" s="424">
        <f t="shared" si="133"/>
        <v>21000</v>
      </c>
      <c r="Q116" s="424">
        <f t="shared" si="134"/>
        <v>33000</v>
      </c>
      <c r="R116" s="424">
        <f t="shared" si="135"/>
        <v>75000</v>
      </c>
      <c r="S116" s="424">
        <f t="shared" si="136"/>
        <v>95000</v>
      </c>
      <c r="T116" s="424">
        <f t="shared" si="137"/>
        <v>336000</v>
      </c>
      <c r="U116" s="424">
        <f t="shared" si="138"/>
        <v>238456.826880001</v>
      </c>
      <c r="V116" s="424">
        <f t="shared" si="139"/>
        <v>798456.826880001</v>
      </c>
      <c r="W116" s="431">
        <v>12</v>
      </c>
      <c r="X116" s="424">
        <f t="shared" si="140"/>
        <v>66538.068906666696</v>
      </c>
      <c r="Y116" s="427"/>
      <c r="Z116" s="424">
        <f t="shared" si="141"/>
        <v>66538.068906666696</v>
      </c>
      <c r="AA116" s="436">
        <v>43368.882414666703</v>
      </c>
      <c r="AB116" s="436">
        <f t="shared" si="142"/>
        <v>23169.186492000001</v>
      </c>
      <c r="AC116" s="436"/>
      <c r="AD116" s="436"/>
      <c r="AE116" s="436"/>
    </row>
    <row r="117" spans="1:31" ht="18" x14ac:dyDescent="0.15">
      <c r="A117" s="421">
        <v>94</v>
      </c>
      <c r="B117" s="9" t="s">
        <v>177</v>
      </c>
      <c r="C117" s="430">
        <v>450086.5</v>
      </c>
      <c r="D117" s="423">
        <v>12</v>
      </c>
      <c r="E117" s="424">
        <f t="shared" si="127"/>
        <v>5401038</v>
      </c>
      <c r="F117" s="424">
        <f>'[8]JANUARY 2024'!$V$117*12</f>
        <v>6919.4549999999999</v>
      </c>
      <c r="G117" s="425">
        <v>374483.04</v>
      </c>
      <c r="H117" s="427"/>
      <c r="I117" s="424">
        <f t="shared" si="128"/>
        <v>5019635.5049999999</v>
      </c>
      <c r="J117" s="424">
        <v>200000</v>
      </c>
      <c r="K117" s="424">
        <v>0.2</v>
      </c>
      <c r="L117" s="424">
        <f t="shared" si="129"/>
        <v>1003927.101</v>
      </c>
      <c r="M117" s="424">
        <f t="shared" si="130"/>
        <v>1203927.101</v>
      </c>
      <c r="N117" s="424">
        <f t="shared" si="131"/>
        <v>1585329.5959999999</v>
      </c>
      <c r="O117" s="424">
        <f t="shared" si="132"/>
        <v>3815708.4040000001</v>
      </c>
      <c r="P117" s="424">
        <f t="shared" si="133"/>
        <v>21000</v>
      </c>
      <c r="Q117" s="424">
        <f t="shared" si="134"/>
        <v>33000</v>
      </c>
      <c r="R117" s="424">
        <f t="shared" si="135"/>
        <v>75000</v>
      </c>
      <c r="S117" s="424">
        <f t="shared" si="136"/>
        <v>95000</v>
      </c>
      <c r="T117" s="424">
        <f t="shared" si="137"/>
        <v>336000</v>
      </c>
      <c r="U117" s="424">
        <f t="shared" si="138"/>
        <v>147770.01696000001</v>
      </c>
      <c r="V117" s="424">
        <f t="shared" si="139"/>
        <v>707770.01696000004</v>
      </c>
      <c r="W117" s="431">
        <v>12</v>
      </c>
      <c r="X117" s="424">
        <f t="shared" si="140"/>
        <v>58980.834746666696</v>
      </c>
      <c r="Y117" s="427"/>
      <c r="Z117" s="424">
        <f t="shared" si="141"/>
        <v>58980.834746666696</v>
      </c>
      <c r="AA117" s="436">
        <v>35221.954086666701</v>
      </c>
      <c r="AB117" s="436">
        <f t="shared" si="142"/>
        <v>23758.880659999999</v>
      </c>
      <c r="AC117" s="436"/>
      <c r="AD117" s="436"/>
      <c r="AE117" s="436"/>
    </row>
    <row r="118" spans="1:31" ht="18" x14ac:dyDescent="0.2">
      <c r="A118" s="421">
        <v>95</v>
      </c>
      <c r="B118" s="18"/>
      <c r="C118" s="424"/>
      <c r="D118" s="423"/>
      <c r="E118" s="424"/>
      <c r="F118" s="424"/>
      <c r="G118" s="427"/>
      <c r="H118" s="427"/>
      <c r="I118" s="424"/>
      <c r="J118" s="424"/>
      <c r="K118" s="424"/>
      <c r="L118" s="424"/>
      <c r="M118" s="424"/>
      <c r="N118" s="424"/>
      <c r="O118" s="424"/>
      <c r="P118" s="424"/>
      <c r="Q118" s="424"/>
      <c r="R118" s="424"/>
      <c r="S118" s="424"/>
      <c r="T118" s="424"/>
      <c r="U118" s="424"/>
      <c r="V118" s="424"/>
      <c r="W118" s="431"/>
      <c r="X118" s="424"/>
      <c r="Y118" s="427"/>
      <c r="Z118" s="424"/>
      <c r="AA118" s="436"/>
      <c r="AB118" s="436"/>
      <c r="AC118" s="436"/>
      <c r="AD118" s="436"/>
      <c r="AE118" s="436"/>
    </row>
    <row r="119" spans="1:31" ht="18" x14ac:dyDescent="0.2">
      <c r="A119" s="421">
        <v>96</v>
      </c>
      <c r="B119" s="20"/>
      <c r="C119" s="424"/>
      <c r="U119" s="437"/>
      <c r="AC119" s="436"/>
      <c r="AD119" s="436"/>
      <c r="AE119" s="436"/>
    </row>
    <row r="120" spans="1:31" ht="18" x14ac:dyDescent="0.15">
      <c r="A120" s="421">
        <v>97</v>
      </c>
      <c r="B120" s="18" t="s">
        <v>250</v>
      </c>
      <c r="C120" s="424"/>
      <c r="U120" s="437"/>
      <c r="AC120" s="436"/>
      <c r="AD120" s="436"/>
      <c r="AE120" s="436"/>
    </row>
    <row r="121" spans="1:31" ht="18" x14ac:dyDescent="0.15">
      <c r="A121" s="421">
        <v>98</v>
      </c>
      <c r="B121" s="9" t="s">
        <v>251</v>
      </c>
      <c r="C121" s="424">
        <v>1635720</v>
      </c>
      <c r="D121" s="423">
        <v>12</v>
      </c>
      <c r="E121" s="424">
        <f t="shared" ref="E121:E130" si="143">C121*D121</f>
        <v>19628640</v>
      </c>
      <c r="F121" s="424">
        <f>2043.5005*12</f>
        <v>24522.006000000001</v>
      </c>
      <c r="G121" s="425">
        <v>1378291.2</v>
      </c>
      <c r="H121" s="427"/>
      <c r="I121" s="424">
        <f t="shared" ref="I121:I130" si="144">E121-F121-G121-H121</f>
        <v>18225826.794</v>
      </c>
      <c r="J121" s="424">
        <v>200000</v>
      </c>
      <c r="K121" s="424">
        <v>0.2</v>
      </c>
      <c r="L121" s="424">
        <f t="shared" ref="L121:L130" si="145">I121*K121</f>
        <v>3645165.3588</v>
      </c>
      <c r="M121" s="424">
        <f t="shared" ref="M121:M130" si="146">J121+L121</f>
        <v>3845165.3588</v>
      </c>
      <c r="N121" s="424">
        <f t="shared" ref="N121:N130" si="147">F121+G121+H121+M121</f>
        <v>5247978.5647999998</v>
      </c>
      <c r="O121" s="424">
        <f t="shared" ref="O121:O130" si="148">E121-N121</f>
        <v>14380661.4352</v>
      </c>
      <c r="P121" s="424">
        <f t="shared" ref="P121:P130" si="149">IF(O121&lt;300000,0.07*O121,21000)</f>
        <v>21000</v>
      </c>
      <c r="Q121" s="424">
        <f t="shared" ref="Q121:Q130" si="150">IF((O121-300000)&lt;0,0,IF((O121-300000)&lt;300000,0.11*(O121-300000),33000))</f>
        <v>33000</v>
      </c>
      <c r="R121" s="424">
        <f t="shared" ref="R121:R130" si="151">IF((O121-600000)&lt;0,0,IF((O121-600000)&lt;500000,0.15*(O121-600000),75000))</f>
        <v>75000</v>
      </c>
      <c r="S121" s="424">
        <f t="shared" ref="S121:S130" si="152">IF((O121-1100000)&lt;0,0,IF((O121-1100000)&lt;500000,0.19*(O121-1100000),95000))</f>
        <v>95000</v>
      </c>
      <c r="T121" s="424">
        <f t="shared" ref="T121:T130" si="153">IF((O121-1600000)&lt;0,0,IF((O121-1600000)&lt;1600000,0.21*(O121-1600000),336000))</f>
        <v>336000</v>
      </c>
      <c r="U121" s="424">
        <f t="shared" ref="U121:U127" si="154">0.24*(O121-3200000)</f>
        <v>2683358.7444480001</v>
      </c>
      <c r="V121" s="424">
        <f t="shared" ref="V121:V130" si="155">P121+Q121+R121+S121+T121+U121</f>
        <v>3243358.7444480001</v>
      </c>
      <c r="W121" s="431">
        <v>12</v>
      </c>
      <c r="X121" s="424">
        <f t="shared" ref="X121:X130" si="156">V121/W121</f>
        <v>270279.89537066699</v>
      </c>
      <c r="Y121" s="427"/>
      <c r="Z121" s="424">
        <f t="shared" ref="Z121:Z130" si="157">X121</f>
        <v>270279.89537066699</v>
      </c>
      <c r="AA121" s="436">
        <v>179914.45476266701</v>
      </c>
      <c r="AB121" s="436">
        <f t="shared" ref="AB121:AB130" si="158">Z121-AA121</f>
        <v>90365.440607999699</v>
      </c>
      <c r="AC121" s="436"/>
      <c r="AD121" s="436"/>
      <c r="AE121" s="436"/>
    </row>
    <row r="122" spans="1:31" ht="18" x14ac:dyDescent="0.15">
      <c r="A122" s="421">
        <v>99</v>
      </c>
      <c r="B122" s="9" t="s">
        <v>253</v>
      </c>
      <c r="C122" s="424">
        <v>929203.58333333302</v>
      </c>
      <c r="D122" s="423">
        <v>12</v>
      </c>
      <c r="E122" s="424">
        <f t="shared" si="143"/>
        <v>11150443</v>
      </c>
      <c r="F122" s="424">
        <f>1028.94225*12</f>
        <v>12347.307000000001</v>
      </c>
      <c r="G122" s="425">
        <v>709635.44</v>
      </c>
      <c r="H122" s="427"/>
      <c r="I122" s="424">
        <f t="shared" si="144"/>
        <v>10428460.253</v>
      </c>
      <c r="J122" s="424">
        <v>200000</v>
      </c>
      <c r="K122" s="424">
        <v>0.2</v>
      </c>
      <c r="L122" s="424">
        <f t="shared" si="145"/>
        <v>2085692.0506</v>
      </c>
      <c r="M122" s="424">
        <f t="shared" si="146"/>
        <v>2285692.0506000002</v>
      </c>
      <c r="N122" s="424">
        <f t="shared" si="147"/>
        <v>3007674.7976000002</v>
      </c>
      <c r="O122" s="424">
        <f t="shared" si="148"/>
        <v>8142768.2023999998</v>
      </c>
      <c r="P122" s="424">
        <f t="shared" si="149"/>
        <v>21000</v>
      </c>
      <c r="Q122" s="424">
        <f t="shared" si="150"/>
        <v>33000</v>
      </c>
      <c r="R122" s="424">
        <f t="shared" si="151"/>
        <v>75000</v>
      </c>
      <c r="S122" s="424">
        <f t="shared" si="152"/>
        <v>95000</v>
      </c>
      <c r="T122" s="424">
        <f t="shared" si="153"/>
        <v>336000</v>
      </c>
      <c r="U122" s="424">
        <f t="shared" si="154"/>
        <v>1186264.368576</v>
      </c>
      <c r="V122" s="424">
        <f t="shared" si="155"/>
        <v>1746264.368576</v>
      </c>
      <c r="W122" s="431">
        <v>12</v>
      </c>
      <c r="X122" s="424">
        <f t="shared" si="156"/>
        <v>145522.03071466699</v>
      </c>
      <c r="Y122" s="427"/>
      <c r="Z122" s="424">
        <f t="shared" si="157"/>
        <v>145522.03071466699</v>
      </c>
      <c r="AA122" s="436">
        <v>98995.956938666699</v>
      </c>
      <c r="AB122" s="436">
        <f t="shared" si="158"/>
        <v>46526.073775999903</v>
      </c>
      <c r="AC122" s="436"/>
      <c r="AD122" s="436"/>
      <c r="AE122" s="436"/>
    </row>
    <row r="123" spans="1:31" ht="18" x14ac:dyDescent="0.15">
      <c r="A123" s="421"/>
      <c r="B123" s="12" t="s">
        <v>255</v>
      </c>
      <c r="C123" s="424">
        <v>830675.58333333302</v>
      </c>
      <c r="D123" s="423">
        <v>12</v>
      </c>
      <c r="E123" s="424">
        <f t="shared" si="143"/>
        <v>9968107</v>
      </c>
      <c r="F123" s="424">
        <f>837.6875*12</f>
        <v>10052.25</v>
      </c>
      <c r="G123" s="425">
        <v>595848.56000000006</v>
      </c>
      <c r="H123" s="427"/>
      <c r="I123" s="424">
        <f t="shared" si="144"/>
        <v>9362206.1899999995</v>
      </c>
      <c r="J123" s="424">
        <v>200000</v>
      </c>
      <c r="K123" s="424">
        <v>0.2</v>
      </c>
      <c r="L123" s="424">
        <f t="shared" si="145"/>
        <v>1872441.2379999999</v>
      </c>
      <c r="M123" s="424">
        <f t="shared" si="146"/>
        <v>2072441.2379999999</v>
      </c>
      <c r="N123" s="424">
        <f t="shared" si="147"/>
        <v>2678342.048</v>
      </c>
      <c r="O123" s="424">
        <f t="shared" si="148"/>
        <v>7289764.9519999996</v>
      </c>
      <c r="P123" s="424">
        <f t="shared" si="149"/>
        <v>21000</v>
      </c>
      <c r="Q123" s="424">
        <f t="shared" si="150"/>
        <v>33000</v>
      </c>
      <c r="R123" s="424">
        <f t="shared" si="151"/>
        <v>75000</v>
      </c>
      <c r="S123" s="424">
        <f t="shared" si="152"/>
        <v>95000</v>
      </c>
      <c r="T123" s="424">
        <f t="shared" si="153"/>
        <v>336000</v>
      </c>
      <c r="U123" s="424">
        <f t="shared" si="154"/>
        <v>981543.58847999899</v>
      </c>
      <c r="V123" s="424">
        <f t="shared" si="155"/>
        <v>1541543.5884799999</v>
      </c>
      <c r="W123" s="431">
        <v>12</v>
      </c>
      <c r="X123" s="424">
        <f t="shared" si="156"/>
        <v>128461.965706667</v>
      </c>
      <c r="Y123" s="427"/>
      <c r="Z123" s="424">
        <f t="shared" si="157"/>
        <v>128461.965706667</v>
      </c>
      <c r="AA123" s="436">
        <v>89396.103146666603</v>
      </c>
      <c r="AB123" s="436">
        <f t="shared" si="158"/>
        <v>39065.862560000001</v>
      </c>
      <c r="AC123" s="436"/>
      <c r="AD123" s="436"/>
      <c r="AE123" s="436"/>
    </row>
    <row r="124" spans="1:31" ht="18" x14ac:dyDescent="0.15">
      <c r="A124" s="421"/>
      <c r="B124" s="12" t="s">
        <v>556</v>
      </c>
      <c r="C124" s="424">
        <v>662118.08333333302</v>
      </c>
      <c r="D124" s="423">
        <v>12</v>
      </c>
      <c r="E124" s="424">
        <f t="shared" si="143"/>
        <v>7945417</v>
      </c>
      <c r="F124" s="424"/>
      <c r="G124" s="425">
        <v>0</v>
      </c>
      <c r="H124" s="427"/>
      <c r="I124" s="424">
        <f t="shared" si="144"/>
        <v>7945417</v>
      </c>
      <c r="J124" s="424">
        <v>200000</v>
      </c>
      <c r="K124" s="424">
        <v>0.2</v>
      </c>
      <c r="L124" s="424">
        <f t="shared" si="145"/>
        <v>1589083.4</v>
      </c>
      <c r="M124" s="424">
        <f t="shared" si="146"/>
        <v>1789083.4</v>
      </c>
      <c r="N124" s="424">
        <f t="shared" si="147"/>
        <v>1789083.4</v>
      </c>
      <c r="O124" s="424">
        <f t="shared" si="148"/>
        <v>6156333.5999999996</v>
      </c>
      <c r="P124" s="424">
        <f t="shared" si="149"/>
        <v>21000</v>
      </c>
      <c r="Q124" s="424">
        <f t="shared" si="150"/>
        <v>33000</v>
      </c>
      <c r="R124" s="424">
        <f t="shared" si="151"/>
        <v>75000</v>
      </c>
      <c r="S124" s="424">
        <f t="shared" si="152"/>
        <v>95000</v>
      </c>
      <c r="T124" s="424">
        <f t="shared" si="153"/>
        <v>336000</v>
      </c>
      <c r="U124" s="424">
        <f t="shared" si="154"/>
        <v>709520.06399999897</v>
      </c>
      <c r="V124" s="424">
        <f t="shared" si="155"/>
        <v>1269520.064</v>
      </c>
      <c r="W124" s="431">
        <v>12</v>
      </c>
      <c r="X124" s="424">
        <f t="shared" si="156"/>
        <v>105793.338666667</v>
      </c>
      <c r="Y124" s="427"/>
      <c r="Z124" s="424">
        <f t="shared" si="157"/>
        <v>105793.338666667</v>
      </c>
      <c r="AA124" s="436">
        <v>60214.677290666703</v>
      </c>
      <c r="AB124" s="436">
        <f t="shared" si="158"/>
        <v>45578.661375999902</v>
      </c>
      <c r="AC124" s="436"/>
      <c r="AD124" s="436"/>
      <c r="AE124" s="436"/>
    </row>
    <row r="125" spans="1:31" ht="18" x14ac:dyDescent="0.15">
      <c r="A125" s="421">
        <v>101</v>
      </c>
      <c r="B125" s="9" t="s">
        <v>257</v>
      </c>
      <c r="C125" s="424">
        <v>540498</v>
      </c>
      <c r="D125" s="423">
        <v>12</v>
      </c>
      <c r="E125" s="424">
        <f t="shared" si="143"/>
        <v>6485976</v>
      </c>
      <c r="F125" s="424"/>
      <c r="G125" s="425">
        <v>451678.08</v>
      </c>
      <c r="H125" s="427"/>
      <c r="I125" s="424">
        <f t="shared" si="144"/>
        <v>6034297.9199999999</v>
      </c>
      <c r="J125" s="424">
        <v>200000</v>
      </c>
      <c r="K125" s="424">
        <v>0.2</v>
      </c>
      <c r="L125" s="424">
        <f t="shared" si="145"/>
        <v>1206859.584</v>
      </c>
      <c r="M125" s="424">
        <f t="shared" si="146"/>
        <v>1406859.584</v>
      </c>
      <c r="N125" s="424">
        <f t="shared" si="147"/>
        <v>1858537.6640000001</v>
      </c>
      <c r="O125" s="424">
        <f t="shared" si="148"/>
        <v>4627438.3360000001</v>
      </c>
      <c r="P125" s="424">
        <f t="shared" si="149"/>
        <v>21000</v>
      </c>
      <c r="Q125" s="424">
        <f t="shared" si="150"/>
        <v>33000</v>
      </c>
      <c r="R125" s="424">
        <f t="shared" si="151"/>
        <v>75000</v>
      </c>
      <c r="S125" s="424">
        <f t="shared" si="152"/>
        <v>95000</v>
      </c>
      <c r="T125" s="424">
        <f t="shared" si="153"/>
        <v>336000</v>
      </c>
      <c r="U125" s="424">
        <f t="shared" si="154"/>
        <v>342585.20064</v>
      </c>
      <c r="V125" s="424">
        <f t="shared" si="155"/>
        <v>902585.20064000005</v>
      </c>
      <c r="W125" s="431">
        <v>12</v>
      </c>
      <c r="X125" s="424">
        <f t="shared" si="156"/>
        <v>75215.4333866667</v>
      </c>
      <c r="Y125" s="427"/>
      <c r="Z125" s="424">
        <f t="shared" si="157"/>
        <v>75215.4333866667</v>
      </c>
      <c r="AA125" s="436">
        <v>44846.6165886667</v>
      </c>
      <c r="AB125" s="436">
        <f t="shared" si="158"/>
        <v>30368.816798</v>
      </c>
      <c r="AC125" s="436"/>
      <c r="AD125" s="436"/>
      <c r="AE125" s="436"/>
    </row>
    <row r="126" spans="1:31" ht="18" x14ac:dyDescent="0.15">
      <c r="A126" s="421">
        <v>103</v>
      </c>
      <c r="B126" s="9" t="s">
        <v>259</v>
      </c>
      <c r="C126" s="424">
        <v>512746.5</v>
      </c>
      <c r="D126" s="423">
        <v>12</v>
      </c>
      <c r="E126" s="424">
        <f t="shared" si="143"/>
        <v>6152958</v>
      </c>
      <c r="F126" s="430">
        <f>646.3525*12</f>
        <v>7756.23</v>
      </c>
      <c r="G126" s="425">
        <v>425036.64</v>
      </c>
      <c r="H126" s="427"/>
      <c r="I126" s="424">
        <f t="shared" si="144"/>
        <v>5720165.1299999999</v>
      </c>
      <c r="J126" s="424">
        <v>200000</v>
      </c>
      <c r="K126" s="424">
        <v>0.2</v>
      </c>
      <c r="L126" s="424">
        <f t="shared" si="145"/>
        <v>1144033.0260000001</v>
      </c>
      <c r="M126" s="424">
        <f t="shared" si="146"/>
        <v>1344033.0260000001</v>
      </c>
      <c r="N126" s="424">
        <f t="shared" si="147"/>
        <v>1776825.8959999999</v>
      </c>
      <c r="O126" s="424">
        <f t="shared" si="148"/>
        <v>4376132.1040000003</v>
      </c>
      <c r="P126" s="424">
        <f t="shared" si="149"/>
        <v>21000</v>
      </c>
      <c r="Q126" s="424">
        <f t="shared" si="150"/>
        <v>33000</v>
      </c>
      <c r="R126" s="424">
        <f t="shared" si="151"/>
        <v>75000</v>
      </c>
      <c r="S126" s="424">
        <f t="shared" si="152"/>
        <v>95000</v>
      </c>
      <c r="T126" s="424">
        <f t="shared" si="153"/>
        <v>336000</v>
      </c>
      <c r="U126" s="424">
        <f t="shared" si="154"/>
        <v>282271.70496</v>
      </c>
      <c r="V126" s="424">
        <f t="shared" si="155"/>
        <v>842271.70496</v>
      </c>
      <c r="W126" s="431">
        <v>12</v>
      </c>
      <c r="X126" s="424">
        <f t="shared" si="156"/>
        <v>70189.308746666706</v>
      </c>
      <c r="Y126" s="427"/>
      <c r="Z126" s="424">
        <f t="shared" si="157"/>
        <v>70189.308746666706</v>
      </c>
      <c r="AA126" s="436">
        <v>42029.589186666701</v>
      </c>
      <c r="AB126" s="436">
        <f t="shared" si="158"/>
        <v>28159.719560000001</v>
      </c>
      <c r="AC126" s="436"/>
      <c r="AD126" s="436"/>
      <c r="AE126" s="436"/>
    </row>
    <row r="127" spans="1:31" ht="18" x14ac:dyDescent="0.15">
      <c r="A127" s="421">
        <v>105</v>
      </c>
      <c r="B127" s="9" t="s">
        <v>260</v>
      </c>
      <c r="C127" s="424">
        <v>526622.25</v>
      </c>
      <c r="D127" s="423">
        <v>12</v>
      </c>
      <c r="E127" s="424">
        <f t="shared" si="143"/>
        <v>6319467</v>
      </c>
      <c r="F127" s="430">
        <f>668.31625*12</f>
        <v>8019.7950000000001</v>
      </c>
      <c r="G127" s="425">
        <v>438357.36</v>
      </c>
      <c r="H127" s="427"/>
      <c r="I127" s="424">
        <f t="shared" si="144"/>
        <v>5873089.8449999997</v>
      </c>
      <c r="J127" s="424">
        <v>200000</v>
      </c>
      <c r="K127" s="424">
        <v>0.2</v>
      </c>
      <c r="L127" s="424">
        <f t="shared" si="145"/>
        <v>1174617.969</v>
      </c>
      <c r="M127" s="424">
        <f t="shared" si="146"/>
        <v>1374617.969</v>
      </c>
      <c r="N127" s="424">
        <f t="shared" si="147"/>
        <v>1820995.1240000001</v>
      </c>
      <c r="O127" s="424">
        <f t="shared" si="148"/>
        <v>4498471.8760000002</v>
      </c>
      <c r="P127" s="424">
        <f t="shared" si="149"/>
        <v>21000</v>
      </c>
      <c r="Q127" s="424">
        <f t="shared" si="150"/>
        <v>33000</v>
      </c>
      <c r="R127" s="424">
        <f t="shared" si="151"/>
        <v>75000</v>
      </c>
      <c r="S127" s="424">
        <f t="shared" si="152"/>
        <v>95000</v>
      </c>
      <c r="T127" s="424">
        <f t="shared" si="153"/>
        <v>336000</v>
      </c>
      <c r="U127" s="424">
        <f t="shared" si="154"/>
        <v>311633.25024000002</v>
      </c>
      <c r="V127" s="424">
        <f t="shared" si="155"/>
        <v>871633.25023999996</v>
      </c>
      <c r="W127" s="431">
        <v>12</v>
      </c>
      <c r="X127" s="424">
        <f t="shared" si="156"/>
        <v>72636.104186666693</v>
      </c>
      <c r="Y127" s="427"/>
      <c r="Z127" s="424">
        <f t="shared" si="157"/>
        <v>72636.104186666693</v>
      </c>
      <c r="AA127" s="436">
        <v>43380.096246666697</v>
      </c>
      <c r="AB127" s="436">
        <f t="shared" si="158"/>
        <v>29256.00794</v>
      </c>
      <c r="AC127" s="436"/>
      <c r="AD127" s="436"/>
      <c r="AE127" s="436"/>
    </row>
    <row r="128" spans="1:31" ht="18" x14ac:dyDescent="0.15">
      <c r="A128" s="421">
        <v>106</v>
      </c>
      <c r="B128" s="9" t="s">
        <v>263</v>
      </c>
      <c r="C128" s="424">
        <v>330481.66666666698</v>
      </c>
      <c r="D128" s="423">
        <v>12</v>
      </c>
      <c r="E128" s="424">
        <f t="shared" si="143"/>
        <v>3965780</v>
      </c>
      <c r="F128" s="424"/>
      <c r="G128" s="425">
        <v>259662.4</v>
      </c>
      <c r="H128" s="427"/>
      <c r="I128" s="424">
        <f t="shared" si="144"/>
        <v>3706117.6</v>
      </c>
      <c r="J128" s="424">
        <v>200000</v>
      </c>
      <c r="K128" s="424">
        <v>0.2</v>
      </c>
      <c r="L128" s="424">
        <f t="shared" si="145"/>
        <v>741223.52000000095</v>
      </c>
      <c r="M128" s="424">
        <f t="shared" si="146"/>
        <v>941223.52000000095</v>
      </c>
      <c r="N128" s="424">
        <f t="shared" si="147"/>
        <v>1200885.92</v>
      </c>
      <c r="O128" s="424">
        <f t="shared" si="148"/>
        <v>2764894.08</v>
      </c>
      <c r="P128" s="424">
        <f t="shared" si="149"/>
        <v>21000</v>
      </c>
      <c r="Q128" s="424">
        <f t="shared" si="150"/>
        <v>33000</v>
      </c>
      <c r="R128" s="424">
        <f t="shared" si="151"/>
        <v>75000</v>
      </c>
      <c r="S128" s="424">
        <f t="shared" si="152"/>
        <v>95000</v>
      </c>
      <c r="T128" s="424">
        <f t="shared" si="153"/>
        <v>244627.75680000099</v>
      </c>
      <c r="U128" s="424"/>
      <c r="V128" s="424">
        <f t="shared" si="155"/>
        <v>468627.75680000102</v>
      </c>
      <c r="W128" s="431">
        <v>12</v>
      </c>
      <c r="X128" s="424">
        <f t="shared" si="156"/>
        <v>39052.313066666698</v>
      </c>
      <c r="Y128" s="427"/>
      <c r="Z128" s="424">
        <f t="shared" si="157"/>
        <v>39052.313066666698</v>
      </c>
      <c r="AA128" s="436">
        <v>23036.012346666699</v>
      </c>
      <c r="AB128" s="436">
        <f t="shared" si="158"/>
        <v>16016.300719999999</v>
      </c>
      <c r="AC128" s="436"/>
      <c r="AD128" s="436"/>
      <c r="AE128" s="436"/>
    </row>
    <row r="129" spans="1:31" ht="18" x14ac:dyDescent="0.15">
      <c r="A129" s="421">
        <v>107</v>
      </c>
      <c r="B129" s="16" t="s">
        <v>265</v>
      </c>
      <c r="C129" s="424">
        <v>274459.75</v>
      </c>
      <c r="D129" s="423">
        <v>12</v>
      </c>
      <c r="E129" s="424">
        <f t="shared" si="143"/>
        <v>3293517</v>
      </c>
      <c r="F129" s="424"/>
      <c r="G129" s="425">
        <v>215481.36</v>
      </c>
      <c r="H129" s="427"/>
      <c r="I129" s="424">
        <f t="shared" si="144"/>
        <v>3078035.64</v>
      </c>
      <c r="J129" s="424">
        <v>200000</v>
      </c>
      <c r="K129" s="424">
        <v>0.2</v>
      </c>
      <c r="L129" s="424">
        <f t="shared" si="145"/>
        <v>615607.12800000003</v>
      </c>
      <c r="M129" s="424">
        <f t="shared" si="146"/>
        <v>815607.12800000003</v>
      </c>
      <c r="N129" s="424">
        <f t="shared" si="147"/>
        <v>1031088.488</v>
      </c>
      <c r="O129" s="424">
        <f t="shared" si="148"/>
        <v>2262428.5120000001</v>
      </c>
      <c r="P129" s="424">
        <f t="shared" si="149"/>
        <v>21000</v>
      </c>
      <c r="Q129" s="424">
        <f t="shared" si="150"/>
        <v>33000</v>
      </c>
      <c r="R129" s="424">
        <f t="shared" si="151"/>
        <v>75000</v>
      </c>
      <c r="S129" s="424">
        <f t="shared" si="152"/>
        <v>95000</v>
      </c>
      <c r="T129" s="424">
        <f t="shared" si="153"/>
        <v>139109.98752</v>
      </c>
      <c r="U129" s="424"/>
      <c r="V129" s="424">
        <f t="shared" si="155"/>
        <v>363109.98752000002</v>
      </c>
      <c r="W129" s="431">
        <v>12</v>
      </c>
      <c r="X129" s="424">
        <f t="shared" si="156"/>
        <v>30259.165626666701</v>
      </c>
      <c r="Y129" s="427"/>
      <c r="Z129" s="424">
        <f t="shared" si="157"/>
        <v>30259.165626666701</v>
      </c>
      <c r="AA129" s="436">
        <v>17042.713866666702</v>
      </c>
      <c r="AB129" s="436">
        <f t="shared" si="158"/>
        <v>13216.45176</v>
      </c>
      <c r="AC129" s="436"/>
      <c r="AD129" s="436"/>
      <c r="AE129" s="436"/>
    </row>
    <row r="130" spans="1:31" ht="18" x14ac:dyDescent="0.15">
      <c r="A130" s="421">
        <v>108</v>
      </c>
      <c r="B130" s="16" t="s">
        <v>267</v>
      </c>
      <c r="C130" s="424">
        <v>274459.75</v>
      </c>
      <c r="D130" s="423">
        <v>12</v>
      </c>
      <c r="E130" s="424">
        <f t="shared" si="143"/>
        <v>3293517</v>
      </c>
      <c r="F130" s="424"/>
      <c r="G130" s="425">
        <v>215481.36</v>
      </c>
      <c r="H130" s="427"/>
      <c r="I130" s="424">
        <f t="shared" si="144"/>
        <v>3078035.64</v>
      </c>
      <c r="J130" s="424">
        <v>200000</v>
      </c>
      <c r="K130" s="424">
        <v>0.2</v>
      </c>
      <c r="L130" s="424">
        <f t="shared" si="145"/>
        <v>615607.12800000003</v>
      </c>
      <c r="M130" s="424">
        <f t="shared" si="146"/>
        <v>815607.12800000003</v>
      </c>
      <c r="N130" s="424">
        <f t="shared" si="147"/>
        <v>1031088.488</v>
      </c>
      <c r="O130" s="424">
        <f t="shared" si="148"/>
        <v>2262428.5120000001</v>
      </c>
      <c r="P130" s="424">
        <f t="shared" si="149"/>
        <v>21000</v>
      </c>
      <c r="Q130" s="424">
        <f t="shared" si="150"/>
        <v>33000</v>
      </c>
      <c r="R130" s="424">
        <f t="shared" si="151"/>
        <v>75000</v>
      </c>
      <c r="S130" s="424">
        <f t="shared" si="152"/>
        <v>95000</v>
      </c>
      <c r="T130" s="424">
        <f t="shared" si="153"/>
        <v>139109.98752</v>
      </c>
      <c r="U130" s="424"/>
      <c r="V130" s="424">
        <f t="shared" si="155"/>
        <v>363109.98752000002</v>
      </c>
      <c r="W130" s="431">
        <v>12</v>
      </c>
      <c r="X130" s="424">
        <f t="shared" si="156"/>
        <v>30259.165626666701</v>
      </c>
      <c r="Y130" s="427"/>
      <c r="Z130" s="424">
        <f t="shared" si="157"/>
        <v>30259.165626666701</v>
      </c>
      <c r="AA130" s="436">
        <v>17042.713866666702</v>
      </c>
      <c r="AB130" s="436">
        <f t="shared" si="158"/>
        <v>13216.45176</v>
      </c>
      <c r="AC130" s="436"/>
      <c r="AD130" s="436"/>
      <c r="AE130" s="436"/>
    </row>
    <row r="131" spans="1:31" ht="18" x14ac:dyDescent="0.15">
      <c r="A131" s="421">
        <v>109</v>
      </c>
      <c r="B131" s="18" t="s">
        <v>111</v>
      </c>
      <c r="C131" s="424"/>
      <c r="D131" s="423"/>
      <c r="E131" s="424"/>
      <c r="F131" s="424"/>
      <c r="G131" s="427"/>
      <c r="H131" s="427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31"/>
      <c r="X131" s="424"/>
      <c r="Y131" s="427"/>
      <c r="Z131" s="424"/>
      <c r="AA131" s="436"/>
      <c r="AB131" s="436"/>
      <c r="AC131" s="436"/>
      <c r="AD131" s="436"/>
      <c r="AE131" s="436"/>
    </row>
    <row r="132" spans="1:31" ht="18" x14ac:dyDescent="0.2">
      <c r="A132" s="421">
        <v>110</v>
      </c>
      <c r="B132" s="20"/>
      <c r="C132" s="424"/>
      <c r="U132" s="437"/>
      <c r="AC132" s="436"/>
      <c r="AD132" s="436"/>
      <c r="AE132" s="436"/>
    </row>
    <row r="133" spans="1:31" ht="18" x14ac:dyDescent="0.15">
      <c r="A133" s="421">
        <v>111</v>
      </c>
      <c r="B133" s="18" t="s">
        <v>270</v>
      </c>
      <c r="C133" s="424"/>
      <c r="U133" s="437"/>
      <c r="AC133" s="436"/>
      <c r="AD133" s="436"/>
      <c r="AE133" s="436"/>
    </row>
    <row r="134" spans="1:31" ht="18" x14ac:dyDescent="0.15">
      <c r="A134" s="421">
        <v>112</v>
      </c>
      <c r="B134" s="9" t="s">
        <v>557</v>
      </c>
      <c r="C134" s="424">
        <v>1535720</v>
      </c>
      <c r="D134" s="423">
        <v>12</v>
      </c>
      <c r="E134" s="424">
        <f t="shared" ref="E134:E192" si="159">C134*D134</f>
        <v>18428640</v>
      </c>
      <c r="F134" s="424"/>
      <c r="G134" s="425">
        <v>1378291.2</v>
      </c>
      <c r="H134" s="427"/>
      <c r="I134" s="424">
        <f t="shared" ref="I134:I192" si="160">E134-F134-G134-H134</f>
        <v>17050348.800000001</v>
      </c>
      <c r="J134" s="424">
        <v>200000</v>
      </c>
      <c r="K134" s="424">
        <v>0.2</v>
      </c>
      <c r="L134" s="424">
        <f t="shared" ref="L134:L192" si="161">I134*K134</f>
        <v>3410069.76</v>
      </c>
      <c r="M134" s="424">
        <f t="shared" ref="M134:M192" si="162">J134+L134</f>
        <v>3610069.76</v>
      </c>
      <c r="N134" s="424">
        <f t="shared" ref="N134:N192" si="163">F134+G134+H134+M134</f>
        <v>4988360.96</v>
      </c>
      <c r="O134" s="424">
        <f t="shared" ref="O134:O192" si="164">E134-N134</f>
        <v>13440279.039999999</v>
      </c>
      <c r="P134" s="424">
        <f t="shared" ref="P134:P192" si="165">IF(O134&lt;300000,0.07*O134,21000)</f>
        <v>21000</v>
      </c>
      <c r="Q134" s="424">
        <f t="shared" ref="Q134:Q192" si="166">IF((O134-300000)&lt;0,0,IF((O134-300000)&lt;300000,0.11*(O134-300000),33000))</f>
        <v>33000</v>
      </c>
      <c r="R134" s="424">
        <f t="shared" ref="R134:R192" si="167">IF((O134-600000)&lt;0,0,IF((O134-600000)&lt;500000,0.15*(O134-600000),75000))</f>
        <v>75000</v>
      </c>
      <c r="S134" s="424">
        <f t="shared" ref="S134:S192" si="168">IF((O134-1100000)&lt;0,0,IF((O134-1100000)&lt;500000,0.19*(O134-1100000),95000))</f>
        <v>95000</v>
      </c>
      <c r="T134" s="424">
        <f t="shared" ref="T134:T192" si="169">IF((O134-1600000)&lt;0,0,IF((O134-1600000)&lt;1600000,0.21*(O134-1600000),336000))</f>
        <v>336000</v>
      </c>
      <c r="U134" s="424">
        <f t="shared" ref="U134:U146" si="170">0.24*(O134-3200000)</f>
        <v>2457666.9696</v>
      </c>
      <c r="V134" s="424">
        <f t="shared" ref="V134:V192" si="171">P134+Q134+R134+S134+T134+U134</f>
        <v>3017666.9696</v>
      </c>
      <c r="W134" s="431">
        <v>12</v>
      </c>
      <c r="X134" s="424">
        <f t="shared" ref="X134:X192" si="172">V134/W134</f>
        <v>251472.247466667</v>
      </c>
      <c r="Y134" s="427"/>
      <c r="Z134" s="424">
        <f t="shared" ref="Z134:Z192" si="173">X134</f>
        <v>251472.247466667</v>
      </c>
      <c r="AA134" s="436">
        <v>161106.806858667</v>
      </c>
      <c r="AB134" s="436">
        <f t="shared" ref="AB134:AB192" si="174">Z134-AA134</f>
        <v>90365.440607999597</v>
      </c>
      <c r="AC134" s="436"/>
      <c r="AD134" s="436"/>
      <c r="AE134" s="436"/>
    </row>
    <row r="135" spans="1:31" ht="18" x14ac:dyDescent="0.15">
      <c r="A135" s="421">
        <v>113</v>
      </c>
      <c r="B135" s="9" t="s">
        <v>559</v>
      </c>
      <c r="C135" s="424">
        <v>852373.16666666698</v>
      </c>
      <c r="D135" s="423">
        <v>12</v>
      </c>
      <c r="E135" s="424">
        <f t="shared" si="159"/>
        <v>10228478</v>
      </c>
      <c r="F135" s="424"/>
      <c r="G135" s="425">
        <v>0</v>
      </c>
      <c r="H135" s="427"/>
      <c r="I135" s="424">
        <f t="shared" si="160"/>
        <v>10228478</v>
      </c>
      <c r="J135" s="424">
        <v>200000</v>
      </c>
      <c r="K135" s="424">
        <v>0.2</v>
      </c>
      <c r="L135" s="424">
        <f t="shared" si="161"/>
        <v>2045695.6</v>
      </c>
      <c r="M135" s="424">
        <f t="shared" si="162"/>
        <v>2245695.6</v>
      </c>
      <c r="N135" s="424">
        <f t="shared" si="163"/>
        <v>2245695.6</v>
      </c>
      <c r="O135" s="424">
        <f t="shared" si="164"/>
        <v>7982782.4000000004</v>
      </c>
      <c r="P135" s="424">
        <f t="shared" si="165"/>
        <v>21000</v>
      </c>
      <c r="Q135" s="424">
        <f t="shared" si="166"/>
        <v>33000</v>
      </c>
      <c r="R135" s="424">
        <f t="shared" si="167"/>
        <v>75000</v>
      </c>
      <c r="S135" s="424">
        <f t="shared" si="168"/>
        <v>95000</v>
      </c>
      <c r="T135" s="424">
        <f t="shared" si="169"/>
        <v>336000</v>
      </c>
      <c r="U135" s="424">
        <f t="shared" si="170"/>
        <v>1147867.7760000001</v>
      </c>
      <c r="V135" s="424">
        <f t="shared" si="171"/>
        <v>1707867.7760000001</v>
      </c>
      <c r="W135" s="431">
        <v>12</v>
      </c>
      <c r="X135" s="424">
        <f t="shared" si="172"/>
        <v>142322.31466666699</v>
      </c>
      <c r="Y135" s="427"/>
      <c r="Z135" s="424">
        <f t="shared" si="173"/>
        <v>142322.31466666699</v>
      </c>
      <c r="AA135" s="436">
        <v>82627.951418666693</v>
      </c>
      <c r="AB135" s="436">
        <f t="shared" si="174"/>
        <v>59694.363248000001</v>
      </c>
      <c r="AC135" s="436"/>
      <c r="AD135" s="436"/>
      <c r="AE135" s="436"/>
    </row>
    <row r="136" spans="1:31" ht="18" x14ac:dyDescent="0.15">
      <c r="A136" s="421">
        <v>114</v>
      </c>
      <c r="B136" s="12" t="s">
        <v>274</v>
      </c>
      <c r="C136" s="424">
        <v>902373.16666666698</v>
      </c>
      <c r="D136" s="423">
        <v>12</v>
      </c>
      <c r="E136" s="424">
        <f t="shared" si="159"/>
        <v>10828478</v>
      </c>
      <c r="F136" s="424">
        <f>1066.32925*12</f>
        <v>12795.950999999999</v>
      </c>
      <c r="G136" s="425">
        <v>731878.24</v>
      </c>
      <c r="H136" s="427"/>
      <c r="I136" s="424">
        <f t="shared" si="160"/>
        <v>10083803.809</v>
      </c>
      <c r="J136" s="424">
        <v>200000</v>
      </c>
      <c r="K136" s="424">
        <v>0.2</v>
      </c>
      <c r="L136" s="424">
        <f t="shared" si="161"/>
        <v>2016760.7618</v>
      </c>
      <c r="M136" s="424">
        <f t="shared" si="162"/>
        <v>2216760.7618</v>
      </c>
      <c r="N136" s="424">
        <f t="shared" si="163"/>
        <v>2961434.9528000001</v>
      </c>
      <c r="O136" s="424">
        <f t="shared" si="164"/>
        <v>7867043.0471999999</v>
      </c>
      <c r="P136" s="424">
        <f t="shared" si="165"/>
        <v>21000</v>
      </c>
      <c r="Q136" s="424">
        <f t="shared" si="166"/>
        <v>33000</v>
      </c>
      <c r="R136" s="424">
        <f t="shared" si="167"/>
        <v>75000</v>
      </c>
      <c r="S136" s="424">
        <f t="shared" si="168"/>
        <v>95000</v>
      </c>
      <c r="T136" s="424">
        <f t="shared" si="169"/>
        <v>336000</v>
      </c>
      <c r="U136" s="424">
        <f t="shared" si="170"/>
        <v>1120090.3313279999</v>
      </c>
      <c r="V136" s="424">
        <f t="shared" si="171"/>
        <v>1680090.3313279999</v>
      </c>
      <c r="W136" s="431">
        <v>12</v>
      </c>
      <c r="X136" s="424">
        <f t="shared" si="172"/>
        <v>140007.52761066699</v>
      </c>
      <c r="Y136" s="427"/>
      <c r="Z136" s="424">
        <f t="shared" si="173"/>
        <v>140007.52761066699</v>
      </c>
      <c r="AA136" s="436">
        <v>92023.216202666707</v>
      </c>
      <c r="AB136" s="436">
        <f t="shared" si="174"/>
        <v>47984.311408000001</v>
      </c>
      <c r="AC136" s="436"/>
      <c r="AD136" s="436"/>
      <c r="AE136" s="436"/>
    </row>
    <row r="137" spans="1:31" ht="18" x14ac:dyDescent="0.15">
      <c r="A137" s="421">
        <v>115</v>
      </c>
      <c r="B137" s="9" t="s">
        <v>276</v>
      </c>
      <c r="C137" s="424">
        <v>554373.75</v>
      </c>
      <c r="D137" s="423">
        <v>12</v>
      </c>
      <c r="E137" s="424">
        <f t="shared" si="159"/>
        <v>6652485</v>
      </c>
      <c r="F137" s="424">
        <f t="shared" ref="F137:F139" si="175">712.24525*12</f>
        <v>8546.9429999999993</v>
      </c>
      <c r="G137" s="425">
        <v>464998.8</v>
      </c>
      <c r="H137" s="427"/>
      <c r="I137" s="424">
        <f t="shared" si="160"/>
        <v>6178939.2570000002</v>
      </c>
      <c r="J137" s="424">
        <v>200000</v>
      </c>
      <c r="K137" s="424">
        <v>0.2</v>
      </c>
      <c r="L137" s="424">
        <f t="shared" si="161"/>
        <v>1235787.8514</v>
      </c>
      <c r="M137" s="424">
        <f t="shared" si="162"/>
        <v>1435787.8514</v>
      </c>
      <c r="N137" s="424">
        <f t="shared" si="163"/>
        <v>1909333.5944000001</v>
      </c>
      <c r="O137" s="424">
        <f t="shared" si="164"/>
        <v>4743151.4056000002</v>
      </c>
      <c r="P137" s="424">
        <f t="shared" si="165"/>
        <v>21000</v>
      </c>
      <c r="Q137" s="424">
        <f t="shared" si="166"/>
        <v>33000</v>
      </c>
      <c r="R137" s="424">
        <f t="shared" si="167"/>
        <v>75000</v>
      </c>
      <c r="S137" s="424">
        <f t="shared" si="168"/>
        <v>95000</v>
      </c>
      <c r="T137" s="424">
        <f t="shared" si="169"/>
        <v>336000</v>
      </c>
      <c r="U137" s="424">
        <f t="shared" si="170"/>
        <v>370356.337344</v>
      </c>
      <c r="V137" s="424">
        <f t="shared" si="171"/>
        <v>930356.337344</v>
      </c>
      <c r="W137" s="431">
        <v>12</v>
      </c>
      <c r="X137" s="424">
        <f t="shared" si="172"/>
        <v>77529.694778666701</v>
      </c>
      <c r="Y137" s="427"/>
      <c r="Z137" s="424">
        <f t="shared" si="173"/>
        <v>77529.694778666701</v>
      </c>
      <c r="AA137" s="436">
        <v>46081.202598666699</v>
      </c>
      <c r="AB137" s="436">
        <f t="shared" si="174"/>
        <v>31448.492180000001</v>
      </c>
      <c r="AC137" s="436"/>
      <c r="AD137" s="436"/>
      <c r="AE137" s="436"/>
    </row>
    <row r="138" spans="1:31" ht="18" x14ac:dyDescent="0.15">
      <c r="A138" s="421">
        <v>116</v>
      </c>
      <c r="B138" s="9" t="s">
        <v>278</v>
      </c>
      <c r="C138" s="424">
        <v>554373.75</v>
      </c>
      <c r="D138" s="423">
        <v>12</v>
      </c>
      <c r="E138" s="424">
        <f t="shared" si="159"/>
        <v>6652485</v>
      </c>
      <c r="F138" s="424">
        <f t="shared" si="175"/>
        <v>8546.9429999999993</v>
      </c>
      <c r="G138" s="425">
        <v>464998.8</v>
      </c>
      <c r="H138" s="427"/>
      <c r="I138" s="424">
        <f t="shared" si="160"/>
        <v>6178939.2570000002</v>
      </c>
      <c r="J138" s="424">
        <v>200000</v>
      </c>
      <c r="K138" s="424">
        <v>0.2</v>
      </c>
      <c r="L138" s="424">
        <f t="shared" si="161"/>
        <v>1235787.8514</v>
      </c>
      <c r="M138" s="424">
        <f t="shared" si="162"/>
        <v>1435787.8514</v>
      </c>
      <c r="N138" s="424">
        <f t="shared" si="163"/>
        <v>1909333.5944000001</v>
      </c>
      <c r="O138" s="424">
        <f t="shared" si="164"/>
        <v>4743151.4056000002</v>
      </c>
      <c r="P138" s="424">
        <f t="shared" si="165"/>
        <v>21000</v>
      </c>
      <c r="Q138" s="424">
        <f t="shared" si="166"/>
        <v>33000</v>
      </c>
      <c r="R138" s="424">
        <f t="shared" si="167"/>
        <v>75000</v>
      </c>
      <c r="S138" s="424">
        <f t="shared" si="168"/>
        <v>95000</v>
      </c>
      <c r="T138" s="424">
        <f t="shared" si="169"/>
        <v>336000</v>
      </c>
      <c r="U138" s="424">
        <f t="shared" si="170"/>
        <v>370356.337344</v>
      </c>
      <c r="V138" s="424">
        <f t="shared" si="171"/>
        <v>930356.337344</v>
      </c>
      <c r="W138" s="431">
        <v>12</v>
      </c>
      <c r="X138" s="424">
        <f t="shared" si="172"/>
        <v>77529.694778666701</v>
      </c>
      <c r="Y138" s="427"/>
      <c r="Z138" s="424">
        <f t="shared" si="173"/>
        <v>77529.694778666701</v>
      </c>
      <c r="AA138" s="436">
        <v>46081.202598666699</v>
      </c>
      <c r="AB138" s="436">
        <f t="shared" si="174"/>
        <v>31448.492180000001</v>
      </c>
      <c r="AC138" s="436"/>
      <c r="AD138" s="436"/>
      <c r="AE138" s="436"/>
    </row>
    <row r="139" spans="1:31" ht="18" x14ac:dyDescent="0.15">
      <c r="A139" s="421">
        <v>117</v>
      </c>
      <c r="B139" s="9" t="s">
        <v>280</v>
      </c>
      <c r="C139" s="424">
        <v>554373.75</v>
      </c>
      <c r="D139" s="423">
        <v>12</v>
      </c>
      <c r="E139" s="424">
        <f t="shared" si="159"/>
        <v>6652485</v>
      </c>
      <c r="F139" s="424">
        <f t="shared" si="175"/>
        <v>8546.9429999999993</v>
      </c>
      <c r="G139" s="425">
        <v>464998.8</v>
      </c>
      <c r="H139" s="427"/>
      <c r="I139" s="424">
        <f t="shared" si="160"/>
        <v>6178939.2570000002</v>
      </c>
      <c r="J139" s="424">
        <v>200000</v>
      </c>
      <c r="K139" s="424">
        <v>0.2</v>
      </c>
      <c r="L139" s="424">
        <f t="shared" si="161"/>
        <v>1235787.8514</v>
      </c>
      <c r="M139" s="424">
        <f t="shared" si="162"/>
        <v>1435787.8514</v>
      </c>
      <c r="N139" s="424">
        <f t="shared" si="163"/>
        <v>1909333.5944000001</v>
      </c>
      <c r="O139" s="424">
        <f t="shared" si="164"/>
        <v>4743151.4056000002</v>
      </c>
      <c r="P139" s="424">
        <f t="shared" si="165"/>
        <v>21000</v>
      </c>
      <c r="Q139" s="424">
        <f t="shared" si="166"/>
        <v>33000</v>
      </c>
      <c r="R139" s="424">
        <f t="shared" si="167"/>
        <v>75000</v>
      </c>
      <c r="S139" s="424">
        <f t="shared" si="168"/>
        <v>95000</v>
      </c>
      <c r="T139" s="424">
        <f t="shared" si="169"/>
        <v>336000</v>
      </c>
      <c r="U139" s="424">
        <f t="shared" si="170"/>
        <v>370356.337344</v>
      </c>
      <c r="V139" s="424">
        <f t="shared" si="171"/>
        <v>930356.337344</v>
      </c>
      <c r="W139" s="431">
        <v>12</v>
      </c>
      <c r="X139" s="424">
        <f t="shared" si="172"/>
        <v>77529.694778666701</v>
      </c>
      <c r="Y139" s="427"/>
      <c r="Z139" s="424">
        <f t="shared" si="173"/>
        <v>77529.694778666701</v>
      </c>
      <c r="AA139" s="436">
        <v>46081.202598666699</v>
      </c>
      <c r="AB139" s="436">
        <f t="shared" si="174"/>
        <v>31448.492180000001</v>
      </c>
      <c r="AC139" s="436"/>
      <c r="AD139" s="436"/>
      <c r="AE139" s="436"/>
    </row>
    <row r="140" spans="1:31" ht="18" x14ac:dyDescent="0.15">
      <c r="A140" s="421">
        <v>118</v>
      </c>
      <c r="B140" s="9" t="s">
        <v>213</v>
      </c>
      <c r="C140" s="424">
        <v>450086.5</v>
      </c>
      <c r="D140" s="423">
        <v>12</v>
      </c>
      <c r="E140" s="424">
        <f t="shared" si="159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60"/>
        <v>5019635.5049999999</v>
      </c>
      <c r="J140" s="424">
        <v>200000</v>
      </c>
      <c r="K140" s="424">
        <v>0.2</v>
      </c>
      <c r="L140" s="424">
        <f t="shared" si="161"/>
        <v>1003927.101</v>
      </c>
      <c r="M140" s="424">
        <f t="shared" si="162"/>
        <v>1203927.101</v>
      </c>
      <c r="N140" s="424">
        <f t="shared" si="163"/>
        <v>1585329.5959999999</v>
      </c>
      <c r="O140" s="424">
        <f t="shared" si="164"/>
        <v>3815708.4040000001</v>
      </c>
      <c r="P140" s="424">
        <f t="shared" si="165"/>
        <v>21000</v>
      </c>
      <c r="Q140" s="424">
        <f t="shared" si="166"/>
        <v>33000</v>
      </c>
      <c r="R140" s="424">
        <f t="shared" si="167"/>
        <v>75000</v>
      </c>
      <c r="S140" s="424">
        <f t="shared" si="168"/>
        <v>95000</v>
      </c>
      <c r="T140" s="424">
        <f t="shared" si="169"/>
        <v>336000</v>
      </c>
      <c r="U140" s="424">
        <f t="shared" si="170"/>
        <v>147770.01696000001</v>
      </c>
      <c r="V140" s="424">
        <f t="shared" si="171"/>
        <v>707770.01696000004</v>
      </c>
      <c r="W140" s="431">
        <v>12</v>
      </c>
      <c r="X140" s="424">
        <f t="shared" si="172"/>
        <v>58980.834746666696</v>
      </c>
      <c r="Y140" s="427"/>
      <c r="Z140" s="424">
        <f t="shared" si="173"/>
        <v>58980.834746666696</v>
      </c>
      <c r="AA140" s="436">
        <v>35221.954086666701</v>
      </c>
      <c r="AB140" s="436">
        <f t="shared" si="174"/>
        <v>23758.880659999999</v>
      </c>
      <c r="AC140" s="436"/>
      <c r="AD140" s="436"/>
      <c r="AE140" s="436"/>
    </row>
    <row r="141" spans="1:31" ht="18" x14ac:dyDescent="0.15">
      <c r="A141" s="421">
        <v>119</v>
      </c>
      <c r="B141" s="9" t="s">
        <v>281</v>
      </c>
      <c r="C141" s="424">
        <v>450086.5</v>
      </c>
      <c r="D141" s="423">
        <v>12</v>
      </c>
      <c r="E141" s="424">
        <f t="shared" si="159"/>
        <v>5401038</v>
      </c>
      <c r="F141" s="424"/>
      <c r="G141" s="425">
        <v>374483.04</v>
      </c>
      <c r="H141" s="427"/>
      <c r="I141" s="424">
        <f t="shared" si="160"/>
        <v>5026554.96</v>
      </c>
      <c r="J141" s="424">
        <v>200000</v>
      </c>
      <c r="K141" s="424">
        <v>0.2</v>
      </c>
      <c r="L141" s="424">
        <f t="shared" si="161"/>
        <v>1005310.992</v>
      </c>
      <c r="M141" s="424">
        <f t="shared" si="162"/>
        <v>1205310.9920000001</v>
      </c>
      <c r="N141" s="424">
        <f t="shared" si="163"/>
        <v>1579794.0319999999</v>
      </c>
      <c r="O141" s="424">
        <f t="shared" si="164"/>
        <v>3821243.9679999999</v>
      </c>
      <c r="P141" s="424">
        <f t="shared" si="165"/>
        <v>21000</v>
      </c>
      <c r="Q141" s="424">
        <f t="shared" si="166"/>
        <v>33000</v>
      </c>
      <c r="R141" s="424">
        <f t="shared" si="167"/>
        <v>75000</v>
      </c>
      <c r="S141" s="424">
        <f t="shared" si="168"/>
        <v>95000</v>
      </c>
      <c r="T141" s="424">
        <f t="shared" si="169"/>
        <v>336000</v>
      </c>
      <c r="U141" s="424">
        <f t="shared" si="170"/>
        <v>149098.55231999999</v>
      </c>
      <c r="V141" s="424">
        <f t="shared" si="171"/>
        <v>709098.55232000002</v>
      </c>
      <c r="W141" s="431">
        <v>12</v>
      </c>
      <c r="X141" s="424">
        <f t="shared" si="172"/>
        <v>59091.5460266667</v>
      </c>
      <c r="Y141" s="427"/>
      <c r="Z141" s="424">
        <f t="shared" si="173"/>
        <v>59091.5460266667</v>
      </c>
      <c r="AA141" s="436">
        <v>35318.826456666699</v>
      </c>
      <c r="AB141" s="436">
        <f t="shared" si="174"/>
        <v>23772.719570000001</v>
      </c>
      <c r="AC141" s="436"/>
      <c r="AD141" s="436"/>
      <c r="AE141" s="436"/>
    </row>
    <row r="142" spans="1:31" ht="18" x14ac:dyDescent="0.15">
      <c r="A142" s="421">
        <v>120</v>
      </c>
      <c r="B142" s="9" t="s">
        <v>282</v>
      </c>
      <c r="C142" s="424">
        <v>450086.5</v>
      </c>
      <c r="D142" s="423">
        <v>12</v>
      </c>
      <c r="E142" s="424">
        <f t="shared" si="159"/>
        <v>5401038</v>
      </c>
      <c r="F142" s="424"/>
      <c r="G142" s="425">
        <v>374483.04</v>
      </c>
      <c r="H142" s="427"/>
      <c r="I142" s="424">
        <f t="shared" si="160"/>
        <v>5026554.96</v>
      </c>
      <c r="J142" s="424">
        <v>200000</v>
      </c>
      <c r="K142" s="424">
        <v>0.2</v>
      </c>
      <c r="L142" s="424">
        <f t="shared" si="161"/>
        <v>1005310.992</v>
      </c>
      <c r="M142" s="424">
        <f t="shared" si="162"/>
        <v>1205310.9920000001</v>
      </c>
      <c r="N142" s="424">
        <f t="shared" si="163"/>
        <v>1579794.0319999999</v>
      </c>
      <c r="O142" s="424">
        <f t="shared" si="164"/>
        <v>3821243.9679999999</v>
      </c>
      <c r="P142" s="424">
        <f t="shared" si="165"/>
        <v>21000</v>
      </c>
      <c r="Q142" s="424">
        <f t="shared" si="166"/>
        <v>33000</v>
      </c>
      <c r="R142" s="424">
        <f t="shared" si="167"/>
        <v>75000</v>
      </c>
      <c r="S142" s="424">
        <f t="shared" si="168"/>
        <v>95000</v>
      </c>
      <c r="T142" s="424">
        <f t="shared" si="169"/>
        <v>336000</v>
      </c>
      <c r="U142" s="424">
        <f t="shared" si="170"/>
        <v>149098.55231999999</v>
      </c>
      <c r="V142" s="424">
        <f t="shared" si="171"/>
        <v>709098.55232000002</v>
      </c>
      <c r="W142" s="431">
        <v>12</v>
      </c>
      <c r="X142" s="424">
        <f t="shared" si="172"/>
        <v>59091.5460266667</v>
      </c>
      <c r="Y142" s="427"/>
      <c r="Z142" s="424">
        <f t="shared" si="173"/>
        <v>59091.5460266667</v>
      </c>
      <c r="AA142" s="436">
        <v>35318.826456666699</v>
      </c>
      <c r="AB142" s="436">
        <f t="shared" si="174"/>
        <v>23772.719570000001</v>
      </c>
      <c r="AC142" s="436"/>
      <c r="AD142" s="436"/>
      <c r="AE142" s="436"/>
    </row>
    <row r="143" spans="1:31" ht="31.5" x14ac:dyDescent="0.2">
      <c r="A143" s="421">
        <v>121</v>
      </c>
      <c r="B143" s="9" t="s">
        <v>284</v>
      </c>
      <c r="C143" s="424">
        <v>437895.16666666698</v>
      </c>
      <c r="D143" s="423">
        <v>12</v>
      </c>
      <c r="E143" s="424">
        <f t="shared" si="159"/>
        <v>5254742</v>
      </c>
      <c r="F143" s="424"/>
      <c r="G143" s="425">
        <v>362779.36</v>
      </c>
      <c r="H143" s="427"/>
      <c r="I143" s="424">
        <f t="shared" si="160"/>
        <v>4891962.6399999997</v>
      </c>
      <c r="J143" s="424">
        <v>200000</v>
      </c>
      <c r="K143" s="424">
        <v>0.2</v>
      </c>
      <c r="L143" s="424">
        <f t="shared" si="161"/>
        <v>978392.52800000098</v>
      </c>
      <c r="M143" s="424">
        <f t="shared" si="162"/>
        <v>1178392.5279999999</v>
      </c>
      <c r="N143" s="424">
        <f t="shared" si="163"/>
        <v>1541171.888</v>
      </c>
      <c r="O143" s="424">
        <f t="shared" si="164"/>
        <v>3713570.1120000002</v>
      </c>
      <c r="P143" s="424">
        <f t="shared" si="165"/>
        <v>21000</v>
      </c>
      <c r="Q143" s="424">
        <f t="shared" si="166"/>
        <v>33000</v>
      </c>
      <c r="R143" s="424">
        <f t="shared" si="167"/>
        <v>75000</v>
      </c>
      <c r="S143" s="424">
        <f t="shared" si="168"/>
        <v>95000</v>
      </c>
      <c r="T143" s="424">
        <f t="shared" si="169"/>
        <v>336000</v>
      </c>
      <c r="U143" s="424">
        <f t="shared" si="170"/>
        <v>123256.826880001</v>
      </c>
      <c r="V143" s="424">
        <f t="shared" si="171"/>
        <v>683256.826880001</v>
      </c>
      <c r="W143" s="431">
        <v>12</v>
      </c>
      <c r="X143" s="424">
        <f t="shared" si="172"/>
        <v>56938.068906666696</v>
      </c>
      <c r="Y143" s="427"/>
      <c r="Z143" s="424">
        <f t="shared" si="173"/>
        <v>56938.068906666696</v>
      </c>
      <c r="AA143" s="436">
        <v>34968.882414666703</v>
      </c>
      <c r="AB143" s="436">
        <f t="shared" si="174"/>
        <v>21969.186492000001</v>
      </c>
      <c r="AC143" s="436"/>
      <c r="AD143" s="436"/>
      <c r="AE143" s="436"/>
    </row>
    <row r="144" spans="1:31" ht="18" x14ac:dyDescent="0.15">
      <c r="A144" s="421">
        <v>122</v>
      </c>
      <c r="B144" s="9" t="s">
        <v>286</v>
      </c>
      <c r="C144" s="424">
        <v>425703.83333333302</v>
      </c>
      <c r="D144" s="423">
        <v>12</v>
      </c>
      <c r="E144" s="424">
        <f t="shared" si="159"/>
        <v>5108446</v>
      </c>
      <c r="F144" s="424">
        <f>538.022*12</f>
        <v>6456.2640000000001</v>
      </c>
      <c r="G144" s="425">
        <v>351075.68</v>
      </c>
      <c r="H144" s="427"/>
      <c r="I144" s="424">
        <f t="shared" si="160"/>
        <v>4750914.0559999999</v>
      </c>
      <c r="J144" s="424">
        <v>200000</v>
      </c>
      <c r="K144" s="424">
        <v>0.2</v>
      </c>
      <c r="L144" s="424">
        <f t="shared" si="161"/>
        <v>950182.81119999895</v>
      </c>
      <c r="M144" s="424">
        <f t="shared" si="162"/>
        <v>1150182.8112000001</v>
      </c>
      <c r="N144" s="424">
        <f t="shared" si="163"/>
        <v>1507714.7552</v>
      </c>
      <c r="O144" s="424">
        <f t="shared" si="164"/>
        <v>3600731.2448</v>
      </c>
      <c r="P144" s="424">
        <f t="shared" si="165"/>
        <v>21000</v>
      </c>
      <c r="Q144" s="424">
        <f t="shared" si="166"/>
        <v>33000</v>
      </c>
      <c r="R144" s="424">
        <f t="shared" si="167"/>
        <v>75000</v>
      </c>
      <c r="S144" s="424">
        <f t="shared" si="168"/>
        <v>95000</v>
      </c>
      <c r="T144" s="424">
        <f t="shared" si="169"/>
        <v>336000</v>
      </c>
      <c r="U144" s="424">
        <f t="shared" si="170"/>
        <v>96175.498751999199</v>
      </c>
      <c r="V144" s="424">
        <f t="shared" si="171"/>
        <v>656175.498751999</v>
      </c>
      <c r="W144" s="431">
        <v>12</v>
      </c>
      <c r="X144" s="424">
        <f t="shared" si="172"/>
        <v>54681.2915626666</v>
      </c>
      <c r="Y144" s="427"/>
      <c r="Z144" s="424">
        <f t="shared" si="173"/>
        <v>54681.2915626666</v>
      </c>
      <c r="AA144" s="436">
        <v>32848.563402666703</v>
      </c>
      <c r="AB144" s="436">
        <f t="shared" si="174"/>
        <v>21832.728159999901</v>
      </c>
      <c r="AC144" s="436"/>
      <c r="AD144" s="436"/>
      <c r="AE144" s="436"/>
    </row>
    <row r="145" spans="1:31" ht="18" x14ac:dyDescent="0.15">
      <c r="A145" s="421">
        <v>123</v>
      </c>
      <c r="B145" s="9" t="s">
        <v>60</v>
      </c>
      <c r="C145" s="424">
        <v>450086.5</v>
      </c>
      <c r="D145" s="423">
        <v>12</v>
      </c>
      <c r="E145" s="424">
        <f t="shared" si="159"/>
        <v>5401038</v>
      </c>
      <c r="F145" s="424">
        <f>576.62125*12</f>
        <v>6919.4549999999999</v>
      </c>
      <c r="G145" s="425">
        <v>374483.04</v>
      </c>
      <c r="H145" s="427"/>
      <c r="I145" s="424">
        <f t="shared" si="160"/>
        <v>5019635.5049999999</v>
      </c>
      <c r="J145" s="424">
        <v>200000</v>
      </c>
      <c r="K145" s="424">
        <v>0.2</v>
      </c>
      <c r="L145" s="424">
        <f t="shared" si="161"/>
        <v>1003927.101</v>
      </c>
      <c r="M145" s="424">
        <f t="shared" si="162"/>
        <v>1203927.101</v>
      </c>
      <c r="N145" s="424">
        <f t="shared" si="163"/>
        <v>1585329.5959999999</v>
      </c>
      <c r="O145" s="424">
        <f t="shared" si="164"/>
        <v>3815708.4040000001</v>
      </c>
      <c r="P145" s="424">
        <f t="shared" si="165"/>
        <v>21000</v>
      </c>
      <c r="Q145" s="424">
        <f t="shared" si="166"/>
        <v>33000</v>
      </c>
      <c r="R145" s="424">
        <f t="shared" si="167"/>
        <v>75000</v>
      </c>
      <c r="S145" s="424">
        <f t="shared" si="168"/>
        <v>95000</v>
      </c>
      <c r="T145" s="424">
        <f t="shared" si="169"/>
        <v>336000</v>
      </c>
      <c r="U145" s="424">
        <f t="shared" si="170"/>
        <v>147770.01696000001</v>
      </c>
      <c r="V145" s="424">
        <f t="shared" si="171"/>
        <v>707770.01696000004</v>
      </c>
      <c r="W145" s="431">
        <v>12</v>
      </c>
      <c r="X145" s="424">
        <f t="shared" si="172"/>
        <v>58980.834746666696</v>
      </c>
      <c r="Y145" s="427"/>
      <c r="Z145" s="424">
        <f t="shared" si="173"/>
        <v>58980.834746666696</v>
      </c>
      <c r="AA145" s="436">
        <v>35221.954086666701</v>
      </c>
      <c r="AB145" s="436">
        <f t="shared" si="174"/>
        <v>23758.880659999999</v>
      </c>
      <c r="AC145" s="436"/>
      <c r="AD145" s="436"/>
      <c r="AE145" s="436"/>
    </row>
    <row r="146" spans="1:31" ht="18" x14ac:dyDescent="0.15">
      <c r="A146" s="421">
        <v>124</v>
      </c>
      <c r="B146" s="16" t="s">
        <v>288</v>
      </c>
      <c r="C146" s="424">
        <v>413512.5</v>
      </c>
      <c r="D146" s="423">
        <v>12</v>
      </c>
      <c r="E146" s="424">
        <f t="shared" si="159"/>
        <v>4962150</v>
      </c>
      <c r="F146" s="424">
        <v>0</v>
      </c>
      <c r="G146" s="425">
        <v>339372</v>
      </c>
      <c r="H146" s="427"/>
      <c r="I146" s="424">
        <f t="shared" si="160"/>
        <v>4622778</v>
      </c>
      <c r="J146" s="424">
        <v>200000</v>
      </c>
      <c r="K146" s="424">
        <v>0.2</v>
      </c>
      <c r="L146" s="424">
        <f t="shared" si="161"/>
        <v>924555.6</v>
      </c>
      <c r="M146" s="424">
        <f t="shared" si="162"/>
        <v>1124555.6000000001</v>
      </c>
      <c r="N146" s="424">
        <f t="shared" si="163"/>
        <v>1463927.6</v>
      </c>
      <c r="O146" s="424">
        <f t="shared" si="164"/>
        <v>3498222.4</v>
      </c>
      <c r="P146" s="424">
        <f t="shared" si="165"/>
        <v>21000</v>
      </c>
      <c r="Q146" s="424">
        <f t="shared" si="166"/>
        <v>33000</v>
      </c>
      <c r="R146" s="424">
        <f t="shared" si="167"/>
        <v>75000</v>
      </c>
      <c r="S146" s="424">
        <f t="shared" si="168"/>
        <v>95000</v>
      </c>
      <c r="T146" s="424">
        <f t="shared" si="169"/>
        <v>336000</v>
      </c>
      <c r="U146" s="424">
        <f t="shared" si="170"/>
        <v>71573.376000000004</v>
      </c>
      <c r="V146" s="424">
        <f t="shared" si="171"/>
        <v>631573.37600000005</v>
      </c>
      <c r="W146" s="431">
        <v>12</v>
      </c>
      <c r="X146" s="424">
        <f t="shared" si="172"/>
        <v>52631.114666666697</v>
      </c>
      <c r="Y146" s="427"/>
      <c r="Z146" s="424">
        <f t="shared" si="173"/>
        <v>52631.114666666697</v>
      </c>
      <c r="AA146" s="436">
        <v>31749.175266666702</v>
      </c>
      <c r="AB146" s="436">
        <f t="shared" si="174"/>
        <v>20881.939399999999</v>
      </c>
      <c r="AC146" s="436"/>
      <c r="AD146" s="436"/>
      <c r="AE146" s="436"/>
    </row>
    <row r="147" spans="1:31" ht="18" x14ac:dyDescent="0.15">
      <c r="A147" s="421">
        <v>125</v>
      </c>
      <c r="B147" s="9" t="s">
        <v>290</v>
      </c>
      <c r="C147" s="424">
        <v>368901.5</v>
      </c>
      <c r="D147" s="423">
        <v>12</v>
      </c>
      <c r="E147" s="424">
        <f t="shared" si="159"/>
        <v>4426818</v>
      </c>
      <c r="F147" s="424"/>
      <c r="G147" s="425">
        <v>296545.44</v>
      </c>
      <c r="H147" s="427"/>
      <c r="I147" s="424">
        <f t="shared" si="160"/>
        <v>4130272.56</v>
      </c>
      <c r="J147" s="424">
        <v>200000</v>
      </c>
      <c r="K147" s="424">
        <v>0.2</v>
      </c>
      <c r="L147" s="424">
        <f t="shared" si="161"/>
        <v>826054.51199999999</v>
      </c>
      <c r="M147" s="424">
        <f t="shared" si="162"/>
        <v>1026054.512</v>
      </c>
      <c r="N147" s="424">
        <f t="shared" si="163"/>
        <v>1322599.952</v>
      </c>
      <c r="O147" s="424">
        <f t="shared" si="164"/>
        <v>3104218.048</v>
      </c>
      <c r="P147" s="424">
        <f t="shared" si="165"/>
        <v>21000</v>
      </c>
      <c r="Q147" s="424">
        <f t="shared" si="166"/>
        <v>33000</v>
      </c>
      <c r="R147" s="424">
        <f t="shared" si="167"/>
        <v>75000</v>
      </c>
      <c r="S147" s="424">
        <f t="shared" si="168"/>
        <v>95000</v>
      </c>
      <c r="T147" s="424">
        <f t="shared" si="169"/>
        <v>315885.79008000001</v>
      </c>
      <c r="U147" s="424"/>
      <c r="V147" s="424">
        <f t="shared" si="171"/>
        <v>539885.79007999995</v>
      </c>
      <c r="W147" s="431">
        <v>12</v>
      </c>
      <c r="X147" s="424">
        <f t="shared" si="172"/>
        <v>44990.482506666704</v>
      </c>
      <c r="Y147" s="427"/>
      <c r="Z147" s="424">
        <f t="shared" si="173"/>
        <v>44990.482506666704</v>
      </c>
      <c r="AA147" s="436">
        <v>27105.986562666702</v>
      </c>
      <c r="AB147" s="436">
        <f t="shared" si="174"/>
        <v>17884.495943999998</v>
      </c>
      <c r="AC147" s="436"/>
      <c r="AD147" s="436"/>
      <c r="AE147" s="436"/>
    </row>
    <row r="148" spans="1:31" ht="18" x14ac:dyDescent="0.15">
      <c r="A148" s="421">
        <v>126</v>
      </c>
      <c r="B148" s="9" t="s">
        <v>291</v>
      </c>
      <c r="C148" s="424">
        <v>376837.41666666698</v>
      </c>
      <c r="D148" s="423">
        <v>12</v>
      </c>
      <c r="E148" s="424">
        <f t="shared" si="159"/>
        <v>4522049</v>
      </c>
      <c r="F148" s="424">
        <f>469.4825*12</f>
        <v>5633.79</v>
      </c>
      <c r="G148" s="425">
        <v>304163.92</v>
      </c>
      <c r="H148" s="427"/>
      <c r="I148" s="424">
        <f t="shared" si="160"/>
        <v>4212251.29</v>
      </c>
      <c r="J148" s="424">
        <v>200000</v>
      </c>
      <c r="K148" s="424">
        <v>0.2</v>
      </c>
      <c r="L148" s="424">
        <f t="shared" si="161"/>
        <v>842450.25800000096</v>
      </c>
      <c r="M148" s="424">
        <f t="shared" si="162"/>
        <v>1042450.258</v>
      </c>
      <c r="N148" s="424">
        <f t="shared" si="163"/>
        <v>1352247.9680000001</v>
      </c>
      <c r="O148" s="424">
        <f t="shared" si="164"/>
        <v>3169801.0320000001</v>
      </c>
      <c r="P148" s="424">
        <f t="shared" si="165"/>
        <v>21000</v>
      </c>
      <c r="Q148" s="424">
        <f t="shared" si="166"/>
        <v>33000</v>
      </c>
      <c r="R148" s="424">
        <f t="shared" si="167"/>
        <v>75000</v>
      </c>
      <c r="S148" s="424">
        <f t="shared" si="168"/>
        <v>95000</v>
      </c>
      <c r="T148" s="424">
        <f t="shared" si="169"/>
        <v>329658.21672000102</v>
      </c>
      <c r="U148" s="424"/>
      <c r="V148" s="424">
        <f t="shared" si="171"/>
        <v>553658.21672000096</v>
      </c>
      <c r="W148" s="431">
        <v>12</v>
      </c>
      <c r="X148" s="424">
        <f t="shared" si="172"/>
        <v>46138.184726666703</v>
      </c>
      <c r="Y148" s="427"/>
      <c r="Z148" s="424">
        <f t="shared" si="173"/>
        <v>46138.184726666703</v>
      </c>
      <c r="AA148" s="436">
        <v>27794.206626666699</v>
      </c>
      <c r="AB148" s="436">
        <f t="shared" si="174"/>
        <v>18343.9781</v>
      </c>
      <c r="AC148" s="436"/>
      <c r="AD148" s="436"/>
      <c r="AE148" s="436"/>
    </row>
    <row r="149" spans="1:31" ht="18" x14ac:dyDescent="0.15">
      <c r="A149" s="421">
        <v>127</v>
      </c>
      <c r="B149" s="9" t="s">
        <v>293</v>
      </c>
      <c r="C149" s="424">
        <v>376837.41666666698</v>
      </c>
      <c r="D149" s="423">
        <v>12</v>
      </c>
      <c r="E149" s="424">
        <f t="shared" si="159"/>
        <v>4522049</v>
      </c>
      <c r="F149" s="424"/>
      <c r="G149" s="425">
        <v>304163.92</v>
      </c>
      <c r="H149" s="427"/>
      <c r="I149" s="424">
        <f t="shared" si="160"/>
        <v>4217885.08</v>
      </c>
      <c r="J149" s="424">
        <v>200000</v>
      </c>
      <c r="K149" s="424">
        <v>0.2</v>
      </c>
      <c r="L149" s="424">
        <f t="shared" si="161"/>
        <v>843577.01600000099</v>
      </c>
      <c r="M149" s="424">
        <f t="shared" si="162"/>
        <v>1043577.0159999999</v>
      </c>
      <c r="N149" s="424">
        <f t="shared" si="163"/>
        <v>1347740.936</v>
      </c>
      <c r="O149" s="424">
        <f t="shared" si="164"/>
        <v>3174308.0639999998</v>
      </c>
      <c r="P149" s="424">
        <f t="shared" si="165"/>
        <v>21000</v>
      </c>
      <c r="Q149" s="424">
        <f t="shared" si="166"/>
        <v>33000</v>
      </c>
      <c r="R149" s="424">
        <f t="shared" si="167"/>
        <v>75000</v>
      </c>
      <c r="S149" s="424">
        <f t="shared" si="168"/>
        <v>95000</v>
      </c>
      <c r="T149" s="424">
        <f t="shared" si="169"/>
        <v>330604.69344000099</v>
      </c>
      <c r="U149" s="424"/>
      <c r="V149" s="424">
        <f t="shared" si="171"/>
        <v>554604.69344000099</v>
      </c>
      <c r="W149" s="431">
        <v>12</v>
      </c>
      <c r="X149" s="424">
        <f t="shared" si="172"/>
        <v>46217.057786666701</v>
      </c>
      <c r="Y149" s="427"/>
      <c r="Z149" s="424">
        <f t="shared" si="173"/>
        <v>46217.057786666701</v>
      </c>
      <c r="AA149" s="436">
        <v>27873.079686666701</v>
      </c>
      <c r="AB149" s="436">
        <f t="shared" si="174"/>
        <v>18343.9781</v>
      </c>
      <c r="AC149" s="436"/>
      <c r="AD149" s="436"/>
      <c r="AE149" s="436"/>
    </row>
    <row r="150" spans="1:31" ht="18" x14ac:dyDescent="0.15">
      <c r="A150" s="421">
        <v>128</v>
      </c>
      <c r="B150" s="9" t="s">
        <v>294</v>
      </c>
      <c r="C150" s="424">
        <v>360965.58333333302</v>
      </c>
      <c r="D150" s="423">
        <v>12</v>
      </c>
      <c r="E150" s="424">
        <f t="shared" si="159"/>
        <v>4331587</v>
      </c>
      <c r="F150" s="424"/>
      <c r="G150" s="425">
        <v>288926.96000000002</v>
      </c>
      <c r="H150" s="427"/>
      <c r="I150" s="424">
        <f t="shared" si="160"/>
        <v>4042660.04</v>
      </c>
      <c r="J150" s="424">
        <v>200000</v>
      </c>
      <c r="K150" s="424">
        <v>0.2</v>
      </c>
      <c r="L150" s="424">
        <f t="shared" si="161"/>
        <v>808532.00799999898</v>
      </c>
      <c r="M150" s="424">
        <f t="shared" si="162"/>
        <v>1008532.008</v>
      </c>
      <c r="N150" s="424">
        <f t="shared" si="163"/>
        <v>1297458.9680000001</v>
      </c>
      <c r="O150" s="424">
        <f t="shared" si="164"/>
        <v>3034128.0320000001</v>
      </c>
      <c r="P150" s="424">
        <f t="shared" si="165"/>
        <v>21000</v>
      </c>
      <c r="Q150" s="424">
        <f t="shared" si="166"/>
        <v>33000</v>
      </c>
      <c r="R150" s="424">
        <f t="shared" si="167"/>
        <v>75000</v>
      </c>
      <c r="S150" s="424">
        <f t="shared" si="168"/>
        <v>95000</v>
      </c>
      <c r="T150" s="424">
        <f t="shared" si="169"/>
        <v>301166.88671999902</v>
      </c>
      <c r="U150" s="424"/>
      <c r="V150" s="424">
        <f t="shared" si="171"/>
        <v>525166.88671999902</v>
      </c>
      <c r="W150" s="431">
        <v>12</v>
      </c>
      <c r="X150" s="424">
        <f t="shared" si="172"/>
        <v>43763.907226666597</v>
      </c>
      <c r="Y150" s="427"/>
      <c r="Z150" s="424">
        <f t="shared" si="173"/>
        <v>43763.907226666597</v>
      </c>
      <c r="AA150" s="436">
        <v>27105.986562666702</v>
      </c>
      <c r="AB150" s="436">
        <f t="shared" si="174"/>
        <v>16657.920663999899</v>
      </c>
      <c r="AC150" s="436"/>
      <c r="AD150" s="436"/>
      <c r="AE150" s="436"/>
    </row>
    <row r="151" spans="1:31" ht="31.5" x14ac:dyDescent="0.2">
      <c r="A151" s="421">
        <v>129</v>
      </c>
      <c r="B151" s="9" t="s">
        <v>296</v>
      </c>
      <c r="C151" s="424">
        <v>323165.33333333302</v>
      </c>
      <c r="D151" s="423">
        <v>12</v>
      </c>
      <c r="E151" s="424">
        <f t="shared" si="159"/>
        <v>3877984</v>
      </c>
      <c r="F151" s="424"/>
      <c r="G151" s="425">
        <v>252638.72</v>
      </c>
      <c r="H151" s="427"/>
      <c r="I151" s="424">
        <f t="shared" si="160"/>
        <v>3625345.28</v>
      </c>
      <c r="J151" s="424">
        <v>200000</v>
      </c>
      <c r="K151" s="424">
        <v>0.2</v>
      </c>
      <c r="L151" s="424">
        <f t="shared" si="161"/>
        <v>725069.05599999905</v>
      </c>
      <c r="M151" s="424">
        <f t="shared" si="162"/>
        <v>925069.05599999905</v>
      </c>
      <c r="N151" s="424">
        <f t="shared" si="163"/>
        <v>1177707.7760000001</v>
      </c>
      <c r="O151" s="424">
        <f t="shared" si="164"/>
        <v>2700276.2239999999</v>
      </c>
      <c r="P151" s="424">
        <f t="shared" si="165"/>
        <v>21000</v>
      </c>
      <c r="Q151" s="424">
        <f t="shared" si="166"/>
        <v>33000</v>
      </c>
      <c r="R151" s="424">
        <f t="shared" si="167"/>
        <v>75000</v>
      </c>
      <c r="S151" s="424">
        <f t="shared" si="168"/>
        <v>95000</v>
      </c>
      <c r="T151" s="424">
        <f t="shared" si="169"/>
        <v>231058.00703999901</v>
      </c>
      <c r="U151" s="424"/>
      <c r="V151" s="424">
        <f t="shared" si="171"/>
        <v>455058.00703999901</v>
      </c>
      <c r="W151" s="431">
        <v>12</v>
      </c>
      <c r="X151" s="424">
        <f t="shared" si="172"/>
        <v>37921.500586666603</v>
      </c>
      <c r="Y151" s="427"/>
      <c r="Z151" s="424">
        <f t="shared" si="173"/>
        <v>37921.500586666603</v>
      </c>
      <c r="AA151" s="436">
        <v>22338.4826046667</v>
      </c>
      <c r="AB151" s="436">
        <f t="shared" si="174"/>
        <v>15583.017981999899</v>
      </c>
      <c r="AC151" s="436"/>
      <c r="AD151" s="436"/>
      <c r="AE151" s="436"/>
    </row>
    <row r="152" spans="1:31" ht="18" x14ac:dyDescent="0.15">
      <c r="A152" s="421">
        <v>130</v>
      </c>
      <c r="B152" s="9" t="s">
        <v>298</v>
      </c>
      <c r="C152" s="424">
        <v>368901.5</v>
      </c>
      <c r="D152" s="423">
        <v>12</v>
      </c>
      <c r="E152" s="424">
        <f t="shared" si="159"/>
        <v>4426818</v>
      </c>
      <c r="F152" s="424"/>
      <c r="G152" s="425">
        <v>296545.44</v>
      </c>
      <c r="H152" s="427"/>
      <c r="I152" s="424">
        <f t="shared" si="160"/>
        <v>4130272.56</v>
      </c>
      <c r="J152" s="424">
        <v>200000</v>
      </c>
      <c r="K152" s="424">
        <v>0.2</v>
      </c>
      <c r="L152" s="424">
        <f t="shared" si="161"/>
        <v>826054.51199999999</v>
      </c>
      <c r="M152" s="424">
        <f t="shared" si="162"/>
        <v>1026054.512</v>
      </c>
      <c r="N152" s="424">
        <f t="shared" si="163"/>
        <v>1322599.952</v>
      </c>
      <c r="O152" s="424">
        <f t="shared" si="164"/>
        <v>3104218.048</v>
      </c>
      <c r="P152" s="424">
        <f t="shared" si="165"/>
        <v>21000</v>
      </c>
      <c r="Q152" s="424">
        <f t="shared" si="166"/>
        <v>33000</v>
      </c>
      <c r="R152" s="424">
        <f t="shared" si="167"/>
        <v>75000</v>
      </c>
      <c r="S152" s="424">
        <f t="shared" si="168"/>
        <v>95000</v>
      </c>
      <c r="T152" s="424">
        <f t="shared" si="169"/>
        <v>315885.79008000001</v>
      </c>
      <c r="U152" s="424"/>
      <c r="V152" s="424">
        <f t="shared" si="171"/>
        <v>539885.79007999995</v>
      </c>
      <c r="W152" s="431">
        <v>12</v>
      </c>
      <c r="X152" s="424">
        <f t="shared" si="172"/>
        <v>44990.482506666704</v>
      </c>
      <c r="Y152" s="427"/>
      <c r="Z152" s="424">
        <f t="shared" si="173"/>
        <v>44990.482506666704</v>
      </c>
      <c r="AA152" s="436">
        <v>27105.986562666702</v>
      </c>
      <c r="AB152" s="436">
        <f t="shared" si="174"/>
        <v>17884.495943999998</v>
      </c>
      <c r="AC152" s="436"/>
      <c r="AD152" s="436"/>
      <c r="AE152" s="436"/>
    </row>
    <row r="153" spans="1:31" ht="18" x14ac:dyDescent="0.15">
      <c r="A153" s="421">
        <v>131</v>
      </c>
      <c r="B153" s="9" t="s">
        <v>301</v>
      </c>
      <c r="C153" s="424">
        <v>330481.66666666698</v>
      </c>
      <c r="D153" s="423">
        <v>12</v>
      </c>
      <c r="E153" s="424">
        <f t="shared" si="159"/>
        <v>3965780</v>
      </c>
      <c r="F153" s="424"/>
      <c r="G153" s="425">
        <v>259662.4</v>
      </c>
      <c r="H153" s="427"/>
      <c r="I153" s="424">
        <f t="shared" si="160"/>
        <v>3706117.6</v>
      </c>
      <c r="J153" s="424">
        <v>200000</v>
      </c>
      <c r="K153" s="424">
        <v>0.2</v>
      </c>
      <c r="L153" s="424">
        <f t="shared" si="161"/>
        <v>741223.52000000095</v>
      </c>
      <c r="M153" s="424">
        <f t="shared" si="162"/>
        <v>941223.52000000095</v>
      </c>
      <c r="N153" s="424">
        <f t="shared" si="163"/>
        <v>1200885.92</v>
      </c>
      <c r="O153" s="424">
        <f t="shared" si="164"/>
        <v>2764894.08</v>
      </c>
      <c r="P153" s="424">
        <f t="shared" si="165"/>
        <v>21000</v>
      </c>
      <c r="Q153" s="424">
        <f t="shared" si="166"/>
        <v>33000</v>
      </c>
      <c r="R153" s="424">
        <f t="shared" si="167"/>
        <v>75000</v>
      </c>
      <c r="S153" s="424">
        <f t="shared" si="168"/>
        <v>95000</v>
      </c>
      <c r="T153" s="424">
        <f t="shared" si="169"/>
        <v>244627.75680000099</v>
      </c>
      <c r="U153" s="424"/>
      <c r="V153" s="424">
        <f t="shared" si="171"/>
        <v>468627.75680000102</v>
      </c>
      <c r="W153" s="431">
        <v>12</v>
      </c>
      <c r="X153" s="424">
        <f t="shared" si="172"/>
        <v>39052.313066666698</v>
      </c>
      <c r="Y153" s="427"/>
      <c r="Z153" s="424">
        <f t="shared" si="173"/>
        <v>39052.313066666698</v>
      </c>
      <c r="AA153" s="436">
        <v>23036.012346666699</v>
      </c>
      <c r="AB153" s="436">
        <f t="shared" si="174"/>
        <v>16016.300719999999</v>
      </c>
      <c r="AC153" s="436"/>
      <c r="AD153" s="436"/>
      <c r="AE153" s="436"/>
    </row>
    <row r="154" spans="1:31" ht="18" x14ac:dyDescent="0.15">
      <c r="A154" s="421">
        <v>132</v>
      </c>
      <c r="B154" s="9" t="s">
        <v>303</v>
      </c>
      <c r="C154" s="424">
        <v>368901.5</v>
      </c>
      <c r="D154" s="423">
        <v>12</v>
      </c>
      <c r="E154" s="424">
        <f t="shared" si="159"/>
        <v>4426818</v>
      </c>
      <c r="F154" s="424">
        <f>457.041*12</f>
        <v>5484.4920000000002</v>
      </c>
      <c r="G154" s="425">
        <v>296545.44</v>
      </c>
      <c r="H154" s="427"/>
      <c r="I154" s="424">
        <f t="shared" si="160"/>
        <v>4124788.068</v>
      </c>
      <c r="J154" s="424">
        <v>200000</v>
      </c>
      <c r="K154" s="424">
        <v>0.2</v>
      </c>
      <c r="L154" s="424">
        <f t="shared" si="161"/>
        <v>824957.61360000004</v>
      </c>
      <c r="M154" s="424">
        <f t="shared" si="162"/>
        <v>1024957.6136</v>
      </c>
      <c r="N154" s="424">
        <f t="shared" si="163"/>
        <v>1326987.5456000001</v>
      </c>
      <c r="O154" s="424">
        <f t="shared" si="164"/>
        <v>3099830.4544000002</v>
      </c>
      <c r="P154" s="424">
        <f t="shared" si="165"/>
        <v>21000</v>
      </c>
      <c r="Q154" s="424">
        <f t="shared" si="166"/>
        <v>33000</v>
      </c>
      <c r="R154" s="424">
        <f t="shared" si="167"/>
        <v>75000</v>
      </c>
      <c r="S154" s="424">
        <f t="shared" si="168"/>
        <v>95000</v>
      </c>
      <c r="T154" s="424">
        <f t="shared" si="169"/>
        <v>314964.39542399999</v>
      </c>
      <c r="U154" s="424"/>
      <c r="V154" s="424">
        <f t="shared" si="171"/>
        <v>538964.39542399999</v>
      </c>
      <c r="W154" s="431">
        <v>12</v>
      </c>
      <c r="X154" s="424">
        <f t="shared" si="172"/>
        <v>44913.699618666702</v>
      </c>
      <c r="Y154" s="427"/>
      <c r="Z154" s="424">
        <f t="shared" si="173"/>
        <v>44913.699618666702</v>
      </c>
      <c r="AA154" s="436">
        <v>27029.2036746667</v>
      </c>
      <c r="AB154" s="436">
        <f t="shared" si="174"/>
        <v>17884.495943999998</v>
      </c>
      <c r="AC154" s="436"/>
      <c r="AD154" s="436"/>
      <c r="AE154" s="436"/>
    </row>
    <row r="155" spans="1:31" ht="18" x14ac:dyDescent="0.15">
      <c r="A155" s="421">
        <v>133</v>
      </c>
      <c r="B155" s="9" t="s">
        <v>305</v>
      </c>
      <c r="C155" s="424">
        <v>330481.66666666698</v>
      </c>
      <c r="D155" s="423">
        <v>12</v>
      </c>
      <c r="E155" s="424">
        <f t="shared" si="159"/>
        <v>3965780</v>
      </c>
      <c r="F155" s="424"/>
      <c r="G155" s="425">
        <v>259662.4</v>
      </c>
      <c r="H155" s="427"/>
      <c r="I155" s="424">
        <f t="shared" si="160"/>
        <v>3706117.6</v>
      </c>
      <c r="J155" s="424">
        <v>200000</v>
      </c>
      <c r="K155" s="424">
        <v>0.2</v>
      </c>
      <c r="L155" s="424">
        <f t="shared" si="161"/>
        <v>741223.52000000095</v>
      </c>
      <c r="M155" s="424">
        <f t="shared" si="162"/>
        <v>941223.52000000095</v>
      </c>
      <c r="N155" s="424">
        <f t="shared" si="163"/>
        <v>1200885.92</v>
      </c>
      <c r="O155" s="424">
        <f t="shared" si="164"/>
        <v>2764894.08</v>
      </c>
      <c r="P155" s="424">
        <f t="shared" si="165"/>
        <v>21000</v>
      </c>
      <c r="Q155" s="424">
        <f t="shared" si="166"/>
        <v>33000</v>
      </c>
      <c r="R155" s="424">
        <f t="shared" si="167"/>
        <v>75000</v>
      </c>
      <c r="S155" s="424">
        <f t="shared" si="168"/>
        <v>95000</v>
      </c>
      <c r="T155" s="424">
        <f t="shared" si="169"/>
        <v>244627.75680000099</v>
      </c>
      <c r="U155" s="424"/>
      <c r="V155" s="424">
        <f t="shared" si="171"/>
        <v>468627.75680000102</v>
      </c>
      <c r="W155" s="431">
        <v>12</v>
      </c>
      <c r="X155" s="424">
        <f t="shared" si="172"/>
        <v>39052.313066666698</v>
      </c>
      <c r="Y155" s="427"/>
      <c r="Z155" s="424">
        <f t="shared" si="173"/>
        <v>39052.313066666698</v>
      </c>
      <c r="AA155" s="436">
        <v>22338.4826046667</v>
      </c>
      <c r="AB155" s="436">
        <f t="shared" si="174"/>
        <v>16713.830462000002</v>
      </c>
      <c r="AC155" s="436"/>
      <c r="AD155" s="436"/>
      <c r="AE155" s="436"/>
    </row>
    <row r="156" spans="1:31" ht="18" x14ac:dyDescent="0.15">
      <c r="A156" s="421">
        <v>134</v>
      </c>
      <c r="B156" s="16" t="s">
        <v>307</v>
      </c>
      <c r="C156" s="424">
        <v>315849</v>
      </c>
      <c r="D156" s="423">
        <v>12</v>
      </c>
      <c r="E156" s="424">
        <f t="shared" si="159"/>
        <v>3790188</v>
      </c>
      <c r="F156" s="424"/>
      <c r="G156" s="425">
        <v>245615.04</v>
      </c>
      <c r="H156" s="427"/>
      <c r="I156" s="424">
        <f t="shared" si="160"/>
        <v>3544572.96</v>
      </c>
      <c r="J156" s="424">
        <v>200000</v>
      </c>
      <c r="K156" s="424">
        <v>0.2</v>
      </c>
      <c r="L156" s="424">
        <f t="shared" si="161"/>
        <v>708914.59199999995</v>
      </c>
      <c r="M156" s="424">
        <f t="shared" si="162"/>
        <v>908914.59199999995</v>
      </c>
      <c r="N156" s="424">
        <f t="shared" si="163"/>
        <v>1154529.632</v>
      </c>
      <c r="O156" s="424">
        <f t="shared" si="164"/>
        <v>2635658.3679999998</v>
      </c>
      <c r="P156" s="424">
        <f t="shared" si="165"/>
        <v>21000</v>
      </c>
      <c r="Q156" s="424">
        <f t="shared" si="166"/>
        <v>33000</v>
      </c>
      <c r="R156" s="424">
        <f t="shared" si="167"/>
        <v>75000</v>
      </c>
      <c r="S156" s="424">
        <f t="shared" si="168"/>
        <v>95000</v>
      </c>
      <c r="T156" s="424">
        <f t="shared" si="169"/>
        <v>217488.25727999999</v>
      </c>
      <c r="U156" s="424"/>
      <c r="V156" s="424">
        <f t="shared" si="171"/>
        <v>441488.25728000002</v>
      </c>
      <c r="W156" s="431">
        <v>12</v>
      </c>
      <c r="X156" s="424">
        <f t="shared" si="172"/>
        <v>36790.688106666697</v>
      </c>
      <c r="Y156" s="427"/>
      <c r="Z156" s="424">
        <f t="shared" si="173"/>
        <v>36790.688106666697</v>
      </c>
      <c r="AA156" s="436">
        <v>21640.952862666702</v>
      </c>
      <c r="AB156" s="436">
        <f t="shared" si="174"/>
        <v>15149.735244</v>
      </c>
      <c r="AC156" s="436"/>
      <c r="AD156" s="436"/>
      <c r="AE156" s="436"/>
    </row>
    <row r="157" spans="1:31" ht="18" x14ac:dyDescent="0.15">
      <c r="A157" s="421">
        <v>135</v>
      </c>
      <c r="B157" s="16" t="s">
        <v>312</v>
      </c>
      <c r="C157" s="424">
        <v>274459.75</v>
      </c>
      <c r="D157" s="423">
        <v>12</v>
      </c>
      <c r="E157" s="424">
        <f t="shared" si="159"/>
        <v>3293517</v>
      </c>
      <c r="F157" s="424">
        <v>0</v>
      </c>
      <c r="G157" s="425">
        <v>215481.36</v>
      </c>
      <c r="H157" s="427"/>
      <c r="I157" s="424">
        <f t="shared" si="160"/>
        <v>3078035.64</v>
      </c>
      <c r="J157" s="424">
        <v>200000</v>
      </c>
      <c r="K157" s="424">
        <v>0.2</v>
      </c>
      <c r="L157" s="424">
        <f t="shared" si="161"/>
        <v>615607.12800000003</v>
      </c>
      <c r="M157" s="424">
        <f t="shared" si="162"/>
        <v>815607.12800000003</v>
      </c>
      <c r="N157" s="424">
        <f t="shared" si="163"/>
        <v>1031088.488</v>
      </c>
      <c r="O157" s="424">
        <f t="shared" si="164"/>
        <v>2262428.5120000001</v>
      </c>
      <c r="P157" s="424">
        <f t="shared" si="165"/>
        <v>21000</v>
      </c>
      <c r="Q157" s="424">
        <f t="shared" si="166"/>
        <v>33000</v>
      </c>
      <c r="R157" s="424">
        <f t="shared" si="167"/>
        <v>75000</v>
      </c>
      <c r="S157" s="424">
        <f t="shared" si="168"/>
        <v>95000</v>
      </c>
      <c r="T157" s="424">
        <f t="shared" si="169"/>
        <v>139109.98752</v>
      </c>
      <c r="U157" s="424"/>
      <c r="V157" s="424">
        <f t="shared" si="171"/>
        <v>363109.98752000002</v>
      </c>
      <c r="W157" s="431">
        <v>12</v>
      </c>
      <c r="X157" s="424">
        <f t="shared" si="172"/>
        <v>30259.165626666701</v>
      </c>
      <c r="Y157" s="427"/>
      <c r="Z157" s="424">
        <f t="shared" si="173"/>
        <v>30259.165626666701</v>
      </c>
      <c r="AA157" s="436">
        <v>17042.713866666702</v>
      </c>
      <c r="AB157" s="436">
        <f t="shared" si="174"/>
        <v>13216.45176</v>
      </c>
      <c r="AC157" s="436"/>
      <c r="AD157" s="436"/>
      <c r="AE157" s="436"/>
    </row>
    <row r="158" spans="1:31" ht="18" x14ac:dyDescent="0.15">
      <c r="A158" s="421">
        <v>136</v>
      </c>
      <c r="B158" s="16" t="s">
        <v>314</v>
      </c>
      <c r="C158" s="424">
        <v>274459.75</v>
      </c>
      <c r="D158" s="423">
        <v>12</v>
      </c>
      <c r="E158" s="424">
        <f t="shared" si="159"/>
        <v>3293517</v>
      </c>
      <c r="F158" s="424">
        <v>0</v>
      </c>
      <c r="G158" s="425">
        <v>215481.36</v>
      </c>
      <c r="H158" s="427"/>
      <c r="I158" s="424">
        <f t="shared" si="160"/>
        <v>3078035.64</v>
      </c>
      <c r="J158" s="424">
        <v>200000</v>
      </c>
      <c r="K158" s="424">
        <v>0.2</v>
      </c>
      <c r="L158" s="424">
        <f t="shared" si="161"/>
        <v>615607.12800000003</v>
      </c>
      <c r="M158" s="424">
        <f t="shared" si="162"/>
        <v>815607.12800000003</v>
      </c>
      <c r="N158" s="424">
        <f t="shared" si="163"/>
        <v>1031088.488</v>
      </c>
      <c r="O158" s="424">
        <f t="shared" si="164"/>
        <v>2262428.5120000001</v>
      </c>
      <c r="P158" s="424">
        <f t="shared" si="165"/>
        <v>21000</v>
      </c>
      <c r="Q158" s="424">
        <f t="shared" si="166"/>
        <v>33000</v>
      </c>
      <c r="R158" s="424">
        <f t="shared" si="167"/>
        <v>75000</v>
      </c>
      <c r="S158" s="424">
        <f t="shared" si="168"/>
        <v>95000</v>
      </c>
      <c r="T158" s="424">
        <f t="shared" si="169"/>
        <v>139109.98752</v>
      </c>
      <c r="U158" s="424"/>
      <c r="V158" s="424">
        <f t="shared" si="171"/>
        <v>363109.98752000002</v>
      </c>
      <c r="W158" s="431">
        <v>12</v>
      </c>
      <c r="X158" s="424">
        <f t="shared" si="172"/>
        <v>30259.165626666701</v>
      </c>
      <c r="Y158" s="427"/>
      <c r="Z158" s="424">
        <f t="shared" si="173"/>
        <v>30259.165626666701</v>
      </c>
      <c r="AA158" s="436">
        <v>17042.713866666702</v>
      </c>
      <c r="AB158" s="436">
        <f t="shared" si="174"/>
        <v>13216.45176</v>
      </c>
      <c r="AC158" s="436"/>
      <c r="AD158" s="436"/>
      <c r="AE158" s="436"/>
    </row>
    <row r="159" spans="1:31" ht="31.5" x14ac:dyDescent="0.2">
      <c r="A159" s="421">
        <v>137</v>
      </c>
      <c r="B159" s="16" t="s">
        <v>316</v>
      </c>
      <c r="C159" s="424">
        <v>274459.75</v>
      </c>
      <c r="D159" s="423">
        <v>12</v>
      </c>
      <c r="E159" s="424">
        <f t="shared" si="159"/>
        <v>3293517</v>
      </c>
      <c r="F159" s="424">
        <v>0</v>
      </c>
      <c r="G159" s="425">
        <v>215481.36</v>
      </c>
      <c r="H159" s="427"/>
      <c r="I159" s="424">
        <f t="shared" si="160"/>
        <v>3078035.64</v>
      </c>
      <c r="J159" s="424">
        <v>200000</v>
      </c>
      <c r="K159" s="424">
        <v>0.2</v>
      </c>
      <c r="L159" s="424">
        <f t="shared" si="161"/>
        <v>615607.12800000003</v>
      </c>
      <c r="M159" s="424">
        <f t="shared" si="162"/>
        <v>815607.12800000003</v>
      </c>
      <c r="N159" s="424">
        <f t="shared" si="163"/>
        <v>1031088.488</v>
      </c>
      <c r="O159" s="424">
        <f t="shared" si="164"/>
        <v>2262428.5120000001</v>
      </c>
      <c r="P159" s="424">
        <f t="shared" si="165"/>
        <v>21000</v>
      </c>
      <c r="Q159" s="424">
        <f t="shared" si="166"/>
        <v>33000</v>
      </c>
      <c r="R159" s="424">
        <f t="shared" si="167"/>
        <v>75000</v>
      </c>
      <c r="S159" s="424">
        <f t="shared" si="168"/>
        <v>95000</v>
      </c>
      <c r="T159" s="424">
        <f t="shared" si="169"/>
        <v>139109.98752</v>
      </c>
      <c r="U159" s="424"/>
      <c r="V159" s="424">
        <f t="shared" si="171"/>
        <v>363109.98752000002</v>
      </c>
      <c r="W159" s="431">
        <v>12</v>
      </c>
      <c r="X159" s="424">
        <f t="shared" si="172"/>
        <v>30259.165626666701</v>
      </c>
      <c r="Y159" s="427"/>
      <c r="Z159" s="424">
        <f t="shared" si="173"/>
        <v>30259.165626666701</v>
      </c>
      <c r="AA159" s="436">
        <v>17042.713866666702</v>
      </c>
      <c r="AB159" s="436">
        <f t="shared" si="174"/>
        <v>13216.45176</v>
      </c>
      <c r="AC159" s="436"/>
      <c r="AD159" s="436"/>
      <c r="AE159" s="436"/>
    </row>
    <row r="160" spans="1:31" ht="18" x14ac:dyDescent="0.15">
      <c r="A160" s="421">
        <v>138</v>
      </c>
      <c r="B160" s="16" t="s">
        <v>318</v>
      </c>
      <c r="C160" s="424">
        <v>280631.91666666698</v>
      </c>
      <c r="D160" s="423">
        <v>12</v>
      </c>
      <c r="E160" s="424">
        <f t="shared" si="159"/>
        <v>3367583</v>
      </c>
      <c r="F160" s="424">
        <v>0</v>
      </c>
      <c r="G160" s="425">
        <v>221406.64</v>
      </c>
      <c r="H160" s="427"/>
      <c r="I160" s="424">
        <f t="shared" si="160"/>
        <v>3146176.36</v>
      </c>
      <c r="J160" s="424">
        <v>200000</v>
      </c>
      <c r="K160" s="424">
        <v>0.2</v>
      </c>
      <c r="L160" s="424">
        <f t="shared" si="161"/>
        <v>629235.27200000104</v>
      </c>
      <c r="M160" s="424">
        <f t="shared" si="162"/>
        <v>829235.27200000104</v>
      </c>
      <c r="N160" s="424">
        <f t="shared" si="163"/>
        <v>1050641.912</v>
      </c>
      <c r="O160" s="424">
        <f t="shared" si="164"/>
        <v>2316941.088</v>
      </c>
      <c r="P160" s="424">
        <f t="shared" si="165"/>
        <v>21000</v>
      </c>
      <c r="Q160" s="424">
        <f t="shared" si="166"/>
        <v>33000</v>
      </c>
      <c r="R160" s="424">
        <f t="shared" si="167"/>
        <v>75000</v>
      </c>
      <c r="S160" s="424">
        <f t="shared" si="168"/>
        <v>95000</v>
      </c>
      <c r="T160" s="424">
        <f t="shared" si="169"/>
        <v>150557.628480001</v>
      </c>
      <c r="U160" s="424"/>
      <c r="V160" s="424">
        <f t="shared" si="171"/>
        <v>374557.628480001</v>
      </c>
      <c r="W160" s="431">
        <v>12</v>
      </c>
      <c r="X160" s="424">
        <f t="shared" si="172"/>
        <v>31213.135706666701</v>
      </c>
      <c r="Y160" s="427"/>
      <c r="Z160" s="424">
        <f t="shared" si="173"/>
        <v>31213.135706666701</v>
      </c>
      <c r="AA160" s="436">
        <v>17572.885002666699</v>
      </c>
      <c r="AB160" s="436">
        <f t="shared" si="174"/>
        <v>13640.250704</v>
      </c>
      <c r="AC160" s="436"/>
      <c r="AD160" s="436"/>
      <c r="AE160" s="436"/>
    </row>
    <row r="161" spans="1:31" ht="18" x14ac:dyDescent="0.15">
      <c r="A161" s="421">
        <v>139</v>
      </c>
      <c r="B161" s="16" t="s">
        <v>320</v>
      </c>
      <c r="C161" s="424">
        <v>274459.75</v>
      </c>
      <c r="D161" s="423">
        <v>12</v>
      </c>
      <c r="E161" s="424">
        <f t="shared" si="159"/>
        <v>3293517</v>
      </c>
      <c r="F161" s="424">
        <v>0</v>
      </c>
      <c r="G161" s="425">
        <v>215481.36</v>
      </c>
      <c r="H161" s="427"/>
      <c r="I161" s="424">
        <f t="shared" si="160"/>
        <v>3078035.64</v>
      </c>
      <c r="J161" s="424">
        <v>200000</v>
      </c>
      <c r="K161" s="424">
        <v>0.2</v>
      </c>
      <c r="L161" s="424">
        <f t="shared" si="161"/>
        <v>615607.12800000003</v>
      </c>
      <c r="M161" s="424">
        <f t="shared" si="162"/>
        <v>815607.12800000003</v>
      </c>
      <c r="N161" s="424">
        <f t="shared" si="163"/>
        <v>1031088.488</v>
      </c>
      <c r="O161" s="424">
        <f t="shared" si="164"/>
        <v>2262428.5120000001</v>
      </c>
      <c r="P161" s="424">
        <f t="shared" si="165"/>
        <v>21000</v>
      </c>
      <c r="Q161" s="424">
        <f t="shared" si="166"/>
        <v>33000</v>
      </c>
      <c r="R161" s="424">
        <f t="shared" si="167"/>
        <v>75000</v>
      </c>
      <c r="S161" s="424">
        <f t="shared" si="168"/>
        <v>95000</v>
      </c>
      <c r="T161" s="424">
        <f t="shared" si="169"/>
        <v>139109.98752</v>
      </c>
      <c r="U161" s="424"/>
      <c r="V161" s="424">
        <f t="shared" si="171"/>
        <v>363109.98752000002</v>
      </c>
      <c r="W161" s="431">
        <v>12</v>
      </c>
      <c r="X161" s="424">
        <f t="shared" si="172"/>
        <v>30259.165626666701</v>
      </c>
      <c r="Y161" s="427"/>
      <c r="Z161" s="424">
        <f t="shared" si="173"/>
        <v>30259.165626666701</v>
      </c>
      <c r="AA161" s="436">
        <v>17042.713866666702</v>
      </c>
      <c r="AB161" s="436">
        <f t="shared" si="174"/>
        <v>13216.45176</v>
      </c>
      <c r="AC161" s="436"/>
      <c r="AD161" s="436"/>
      <c r="AE161" s="436"/>
    </row>
    <row r="162" spans="1:31" ht="18" x14ac:dyDescent="0.15">
      <c r="A162" s="421">
        <v>140</v>
      </c>
      <c r="B162" s="9" t="s">
        <v>329</v>
      </c>
      <c r="C162" s="424">
        <v>202598.16666666701</v>
      </c>
      <c r="D162" s="423">
        <v>12</v>
      </c>
      <c r="E162" s="424">
        <f t="shared" si="159"/>
        <v>2431178</v>
      </c>
      <c r="F162" s="424">
        <f>263.19*12</f>
        <v>3158.28</v>
      </c>
      <c r="G162" s="425">
        <v>161854.24</v>
      </c>
      <c r="H162" s="427"/>
      <c r="I162" s="424">
        <f t="shared" si="160"/>
        <v>2266165.48</v>
      </c>
      <c r="J162" s="424">
        <v>200000</v>
      </c>
      <c r="K162" s="424">
        <v>0.2</v>
      </c>
      <c r="L162" s="424">
        <f t="shared" si="161"/>
        <v>453233.09600000101</v>
      </c>
      <c r="M162" s="424">
        <f t="shared" si="162"/>
        <v>653233.09600000095</v>
      </c>
      <c r="N162" s="424">
        <f t="shared" si="163"/>
        <v>818245.61600000097</v>
      </c>
      <c r="O162" s="424">
        <f t="shared" si="164"/>
        <v>1612932.3840000001</v>
      </c>
      <c r="P162" s="424">
        <f t="shared" si="165"/>
        <v>21000</v>
      </c>
      <c r="Q162" s="424">
        <f t="shared" si="166"/>
        <v>33000</v>
      </c>
      <c r="R162" s="424">
        <f t="shared" si="167"/>
        <v>75000</v>
      </c>
      <c r="S162" s="424">
        <f t="shared" si="168"/>
        <v>95000</v>
      </c>
      <c r="T162" s="424">
        <f t="shared" si="169"/>
        <v>2715.8006400006998</v>
      </c>
      <c r="U162" s="424"/>
      <c r="V162" s="424">
        <f t="shared" si="171"/>
        <v>226715.80064000099</v>
      </c>
      <c r="W162" s="431">
        <v>12</v>
      </c>
      <c r="X162" s="424">
        <f t="shared" si="172"/>
        <v>18892.9833866667</v>
      </c>
      <c r="Y162" s="427"/>
      <c r="Z162" s="424">
        <f t="shared" si="173"/>
        <v>18892.9833866667</v>
      </c>
      <c r="AA162" s="436">
        <v>10739.3048</v>
      </c>
      <c r="AB162" s="436">
        <f t="shared" si="174"/>
        <v>8153.6785866667296</v>
      </c>
      <c r="AC162" s="436"/>
      <c r="AD162" s="436"/>
      <c r="AE162" s="436"/>
    </row>
    <row r="163" spans="1:31" ht="18" x14ac:dyDescent="0.15">
      <c r="A163" s="421">
        <v>141</v>
      </c>
      <c r="B163" s="9" t="s">
        <v>332</v>
      </c>
      <c r="C163" s="424">
        <v>205598.16666666701</v>
      </c>
      <c r="D163" s="423">
        <v>12</v>
      </c>
      <c r="E163" s="424">
        <f t="shared" si="159"/>
        <v>2467178</v>
      </c>
      <c r="F163" s="424"/>
      <c r="G163" s="425">
        <v>161854.24</v>
      </c>
      <c r="H163" s="427"/>
      <c r="I163" s="424">
        <f t="shared" si="160"/>
        <v>2305323.7599999998</v>
      </c>
      <c r="J163" s="424">
        <v>200000</v>
      </c>
      <c r="K163" s="424">
        <v>0.2</v>
      </c>
      <c r="L163" s="424">
        <f t="shared" si="161"/>
        <v>461064.75200000103</v>
      </c>
      <c r="M163" s="424">
        <f t="shared" si="162"/>
        <v>661064.75200000103</v>
      </c>
      <c r="N163" s="424">
        <f t="shared" si="163"/>
        <v>822918.99200000102</v>
      </c>
      <c r="O163" s="424">
        <f t="shared" si="164"/>
        <v>1644259.0079999999</v>
      </c>
      <c r="P163" s="424">
        <f t="shared" si="165"/>
        <v>21000</v>
      </c>
      <c r="Q163" s="424">
        <f t="shared" si="166"/>
        <v>33000</v>
      </c>
      <c r="R163" s="424">
        <f t="shared" si="167"/>
        <v>75000</v>
      </c>
      <c r="S163" s="424">
        <f t="shared" si="168"/>
        <v>95000</v>
      </c>
      <c r="T163" s="424">
        <f t="shared" si="169"/>
        <v>9294.39168000067</v>
      </c>
      <c r="U163" s="424"/>
      <c r="V163" s="424">
        <f t="shared" si="171"/>
        <v>233294.39168000099</v>
      </c>
      <c r="W163" s="431">
        <v>12</v>
      </c>
      <c r="X163" s="424">
        <f t="shared" si="172"/>
        <v>19441.199306666698</v>
      </c>
      <c r="Y163" s="427"/>
      <c r="Z163" s="424">
        <f t="shared" si="173"/>
        <v>19441.199306666698</v>
      </c>
      <c r="AA163" s="436">
        <v>11232.457626666701</v>
      </c>
      <c r="AB163" s="436">
        <f t="shared" si="174"/>
        <v>8208.7416800000192</v>
      </c>
      <c r="AC163" s="436"/>
      <c r="AD163" s="436"/>
      <c r="AE163" s="436"/>
    </row>
    <row r="164" spans="1:31" ht="15.75" customHeight="1" x14ac:dyDescent="0.15">
      <c r="A164" s="421">
        <v>142</v>
      </c>
      <c r="B164" s="9" t="s">
        <v>333</v>
      </c>
      <c r="C164" s="424">
        <v>202598.16666666701</v>
      </c>
      <c r="D164" s="423">
        <v>12</v>
      </c>
      <c r="E164" s="424">
        <f t="shared" si="159"/>
        <v>2431178</v>
      </c>
      <c r="F164" s="424"/>
      <c r="G164" s="425">
        <v>161854.24</v>
      </c>
      <c r="H164" s="427"/>
      <c r="I164" s="424">
        <f t="shared" si="160"/>
        <v>2269323.7599999998</v>
      </c>
      <c r="J164" s="424">
        <v>200000</v>
      </c>
      <c r="K164" s="424">
        <v>0.2</v>
      </c>
      <c r="L164" s="424">
        <f t="shared" si="161"/>
        <v>453864.75200000103</v>
      </c>
      <c r="M164" s="424">
        <f t="shared" si="162"/>
        <v>653864.75200000103</v>
      </c>
      <c r="N164" s="424">
        <f t="shared" si="163"/>
        <v>815718.99200000102</v>
      </c>
      <c r="O164" s="424">
        <f t="shared" si="164"/>
        <v>1615459.0079999999</v>
      </c>
      <c r="P164" s="424">
        <f t="shared" si="165"/>
        <v>21000</v>
      </c>
      <c r="Q164" s="424">
        <f t="shared" si="166"/>
        <v>33000</v>
      </c>
      <c r="R164" s="424">
        <f t="shared" si="167"/>
        <v>75000</v>
      </c>
      <c r="S164" s="424">
        <f t="shared" si="168"/>
        <v>95000</v>
      </c>
      <c r="T164" s="424">
        <f t="shared" si="169"/>
        <v>3246.39168000067</v>
      </c>
      <c r="U164" s="424"/>
      <c r="V164" s="424">
        <f t="shared" si="171"/>
        <v>227246.39168000099</v>
      </c>
      <c r="W164" s="431">
        <v>12</v>
      </c>
      <c r="X164" s="424">
        <f t="shared" si="172"/>
        <v>18937.199306666698</v>
      </c>
      <c r="Y164" s="427"/>
      <c r="Z164" s="424">
        <f t="shared" si="173"/>
        <v>18937.199306666698</v>
      </c>
      <c r="AA164" s="436">
        <v>10776.457626666701</v>
      </c>
      <c r="AB164" s="436">
        <f t="shared" si="174"/>
        <v>8160.7416800000201</v>
      </c>
      <c r="AC164" s="436"/>
      <c r="AD164" s="436"/>
      <c r="AE164" s="436"/>
    </row>
    <row r="165" spans="1:31" ht="18" x14ac:dyDescent="0.15">
      <c r="A165" s="421">
        <v>143</v>
      </c>
      <c r="B165" s="9" t="s">
        <v>334</v>
      </c>
      <c r="C165" s="424">
        <v>202598.16666666701</v>
      </c>
      <c r="D165" s="423">
        <v>12</v>
      </c>
      <c r="E165" s="424">
        <f t="shared" si="159"/>
        <v>2431178</v>
      </c>
      <c r="F165" s="424">
        <f>263.19*12</f>
        <v>3158.28</v>
      </c>
      <c r="G165" s="425">
        <v>161854.24</v>
      </c>
      <c r="H165" s="427"/>
      <c r="I165" s="424">
        <f t="shared" si="160"/>
        <v>2266165.48</v>
      </c>
      <c r="J165" s="424">
        <v>200000</v>
      </c>
      <c r="K165" s="424">
        <v>0.2</v>
      </c>
      <c r="L165" s="424">
        <f t="shared" si="161"/>
        <v>453233.09600000101</v>
      </c>
      <c r="M165" s="424">
        <f t="shared" si="162"/>
        <v>653233.09600000095</v>
      </c>
      <c r="N165" s="424">
        <f t="shared" si="163"/>
        <v>818245.61600000097</v>
      </c>
      <c r="O165" s="424">
        <f t="shared" si="164"/>
        <v>1612932.3840000001</v>
      </c>
      <c r="P165" s="424">
        <f t="shared" si="165"/>
        <v>21000</v>
      </c>
      <c r="Q165" s="424">
        <f t="shared" si="166"/>
        <v>33000</v>
      </c>
      <c r="R165" s="424">
        <f t="shared" si="167"/>
        <v>75000</v>
      </c>
      <c r="S165" s="424">
        <f t="shared" si="168"/>
        <v>95000</v>
      </c>
      <c r="T165" s="424">
        <f t="shared" si="169"/>
        <v>2715.8006400006998</v>
      </c>
      <c r="U165" s="424"/>
      <c r="V165" s="424">
        <f t="shared" si="171"/>
        <v>226715.80064000099</v>
      </c>
      <c r="W165" s="431">
        <v>12</v>
      </c>
      <c r="X165" s="424">
        <f t="shared" si="172"/>
        <v>18892.9833866667</v>
      </c>
      <c r="Y165" s="427"/>
      <c r="Z165" s="424">
        <f t="shared" si="173"/>
        <v>18892.9833866667</v>
      </c>
      <c r="AA165" s="436">
        <v>10739.3048</v>
      </c>
      <c r="AB165" s="436">
        <f t="shared" si="174"/>
        <v>8153.6785866667296</v>
      </c>
      <c r="AC165" s="436"/>
      <c r="AD165" s="436"/>
      <c r="AE165" s="436"/>
    </row>
    <row r="166" spans="1:31" ht="18" x14ac:dyDescent="0.15">
      <c r="A166" s="421">
        <v>144</v>
      </c>
      <c r="B166" s="9" t="s">
        <v>335</v>
      </c>
      <c r="C166" s="424">
        <v>202598.16666666701</v>
      </c>
      <c r="D166" s="423">
        <v>12</v>
      </c>
      <c r="E166" s="424">
        <f t="shared" si="159"/>
        <v>2431178</v>
      </c>
      <c r="F166" s="424"/>
      <c r="G166" s="425">
        <v>161854.24</v>
      </c>
      <c r="H166" s="427"/>
      <c r="I166" s="424">
        <f t="shared" si="160"/>
        <v>2269323.7599999998</v>
      </c>
      <c r="J166" s="424">
        <v>200000</v>
      </c>
      <c r="K166" s="424">
        <v>0.2</v>
      </c>
      <c r="L166" s="424">
        <f t="shared" si="161"/>
        <v>453864.75200000103</v>
      </c>
      <c r="M166" s="424">
        <f t="shared" si="162"/>
        <v>653864.75200000103</v>
      </c>
      <c r="N166" s="424">
        <f t="shared" si="163"/>
        <v>815718.99200000102</v>
      </c>
      <c r="O166" s="424">
        <f t="shared" si="164"/>
        <v>1615459.0079999999</v>
      </c>
      <c r="P166" s="424">
        <f t="shared" si="165"/>
        <v>21000</v>
      </c>
      <c r="Q166" s="424">
        <f t="shared" si="166"/>
        <v>33000</v>
      </c>
      <c r="R166" s="424">
        <f t="shared" si="167"/>
        <v>75000</v>
      </c>
      <c r="S166" s="424">
        <f t="shared" si="168"/>
        <v>95000</v>
      </c>
      <c r="T166" s="424">
        <f t="shared" si="169"/>
        <v>3246.39168000067</v>
      </c>
      <c r="U166" s="424"/>
      <c r="V166" s="424">
        <f t="shared" si="171"/>
        <v>227246.39168000099</v>
      </c>
      <c r="W166" s="431">
        <v>12</v>
      </c>
      <c r="X166" s="424">
        <f t="shared" si="172"/>
        <v>18937.199306666698</v>
      </c>
      <c r="Y166" s="427"/>
      <c r="Z166" s="424">
        <f t="shared" si="173"/>
        <v>18937.199306666698</v>
      </c>
      <c r="AA166" s="436">
        <v>10776.457626666701</v>
      </c>
      <c r="AB166" s="436">
        <f t="shared" si="174"/>
        <v>8160.7416800000201</v>
      </c>
      <c r="AC166" s="436"/>
      <c r="AD166" s="436"/>
      <c r="AE166" s="436"/>
    </row>
    <row r="167" spans="1:31" ht="18" x14ac:dyDescent="0.15">
      <c r="A167" s="421">
        <v>145</v>
      </c>
      <c r="B167" s="9" t="s">
        <v>336</v>
      </c>
      <c r="C167" s="424">
        <v>200336.83333333299</v>
      </c>
      <c r="D167" s="423">
        <v>12</v>
      </c>
      <c r="E167" s="424">
        <f t="shared" si="159"/>
        <v>2404042</v>
      </c>
      <c r="F167" s="424"/>
      <c r="G167" s="425">
        <v>156803.35999999999</v>
      </c>
      <c r="H167" s="427"/>
      <c r="I167" s="424">
        <f t="shared" si="160"/>
        <v>2247238.64</v>
      </c>
      <c r="J167" s="424">
        <v>200000</v>
      </c>
      <c r="K167" s="424">
        <v>0.2</v>
      </c>
      <c r="L167" s="424">
        <f t="shared" si="161"/>
        <v>449447.72799999901</v>
      </c>
      <c r="M167" s="424">
        <f t="shared" si="162"/>
        <v>649447.72799999896</v>
      </c>
      <c r="N167" s="424">
        <f t="shared" si="163"/>
        <v>806251.08799999906</v>
      </c>
      <c r="O167" s="424">
        <f t="shared" si="164"/>
        <v>1597790.912</v>
      </c>
      <c r="P167" s="424">
        <f t="shared" si="165"/>
        <v>21000</v>
      </c>
      <c r="Q167" s="424">
        <f t="shared" si="166"/>
        <v>33000</v>
      </c>
      <c r="R167" s="424">
        <f t="shared" si="167"/>
        <v>75000</v>
      </c>
      <c r="S167" s="424">
        <f t="shared" si="168"/>
        <v>94580.273279999397</v>
      </c>
      <c r="T167" s="424">
        <f t="shared" si="169"/>
        <v>0</v>
      </c>
      <c r="U167" s="424"/>
      <c r="V167" s="424">
        <f t="shared" si="171"/>
        <v>223580.273279999</v>
      </c>
      <c r="W167" s="431">
        <v>12</v>
      </c>
      <c r="X167" s="424">
        <f t="shared" si="172"/>
        <v>18631.6894399999</v>
      </c>
      <c r="Y167" s="427"/>
      <c r="Z167" s="424">
        <f t="shared" si="173"/>
        <v>18631.6894399999</v>
      </c>
      <c r="AA167" s="436">
        <v>11232.457626666701</v>
      </c>
      <c r="AB167" s="436">
        <f t="shared" si="174"/>
        <v>7399.2318133332501</v>
      </c>
      <c r="AC167" s="436"/>
      <c r="AD167" s="436"/>
      <c r="AE167" s="436"/>
    </row>
    <row r="168" spans="1:31" ht="18" x14ac:dyDescent="0.15">
      <c r="A168" s="421">
        <v>146</v>
      </c>
      <c r="B168" s="9" t="s">
        <v>338</v>
      </c>
      <c r="C168" s="424">
        <v>197336.83333333299</v>
      </c>
      <c r="D168" s="423">
        <v>12</v>
      </c>
      <c r="E168" s="424">
        <f t="shared" si="159"/>
        <v>2368042</v>
      </c>
      <c r="F168" s="424"/>
      <c r="G168" s="425">
        <v>156803.35999999999</v>
      </c>
      <c r="H168" s="427"/>
      <c r="I168" s="424">
        <f t="shared" si="160"/>
        <v>2211238.64</v>
      </c>
      <c r="J168" s="424">
        <v>200000</v>
      </c>
      <c r="K168" s="424">
        <v>0.2</v>
      </c>
      <c r="L168" s="424">
        <f t="shared" si="161"/>
        <v>442247.72799999901</v>
      </c>
      <c r="M168" s="424">
        <f t="shared" si="162"/>
        <v>642247.72799999896</v>
      </c>
      <c r="N168" s="424">
        <f t="shared" si="163"/>
        <v>799051.08799999906</v>
      </c>
      <c r="O168" s="424">
        <f t="shared" si="164"/>
        <v>1568990.912</v>
      </c>
      <c r="P168" s="424">
        <f t="shared" si="165"/>
        <v>21000</v>
      </c>
      <c r="Q168" s="424">
        <f t="shared" si="166"/>
        <v>33000</v>
      </c>
      <c r="R168" s="424">
        <f t="shared" si="167"/>
        <v>75000</v>
      </c>
      <c r="S168" s="424">
        <f t="shared" si="168"/>
        <v>89108.273279999397</v>
      </c>
      <c r="T168" s="424">
        <f t="shared" si="169"/>
        <v>0</v>
      </c>
      <c r="U168" s="424"/>
      <c r="V168" s="424">
        <f t="shared" si="171"/>
        <v>218108.273279999</v>
      </c>
      <c r="W168" s="431">
        <v>12</v>
      </c>
      <c r="X168" s="424">
        <f t="shared" si="172"/>
        <v>18175.6894399999</v>
      </c>
      <c r="Y168" s="427"/>
      <c r="Z168" s="424">
        <f t="shared" si="173"/>
        <v>18175.6894399999</v>
      </c>
      <c r="AA168" s="436">
        <v>10776.457626666701</v>
      </c>
      <c r="AB168" s="436">
        <f t="shared" si="174"/>
        <v>7399.2318133332501</v>
      </c>
      <c r="AC168" s="436"/>
      <c r="AD168" s="436"/>
      <c r="AE168" s="436"/>
    </row>
    <row r="169" spans="1:31" ht="18" x14ac:dyDescent="0.15">
      <c r="A169" s="421">
        <v>147</v>
      </c>
      <c r="B169" s="12" t="s">
        <v>339</v>
      </c>
      <c r="C169" s="424">
        <v>200336.83333333299</v>
      </c>
      <c r="D169" s="423">
        <v>12</v>
      </c>
      <c r="E169" s="424">
        <f t="shared" si="159"/>
        <v>2404042</v>
      </c>
      <c r="F169" s="424"/>
      <c r="G169" s="425">
        <v>156803.35999999999</v>
      </c>
      <c r="H169" s="427"/>
      <c r="I169" s="424">
        <f t="shared" si="160"/>
        <v>2247238.64</v>
      </c>
      <c r="J169" s="424">
        <v>200000</v>
      </c>
      <c r="K169" s="424">
        <v>0.2</v>
      </c>
      <c r="L169" s="424">
        <f t="shared" si="161"/>
        <v>449447.72799999901</v>
      </c>
      <c r="M169" s="424">
        <f t="shared" si="162"/>
        <v>649447.72799999896</v>
      </c>
      <c r="N169" s="424">
        <f t="shared" si="163"/>
        <v>806251.08799999906</v>
      </c>
      <c r="O169" s="424">
        <f t="shared" si="164"/>
        <v>1597790.912</v>
      </c>
      <c r="P169" s="424">
        <f t="shared" si="165"/>
        <v>21000</v>
      </c>
      <c r="Q169" s="424">
        <f t="shared" si="166"/>
        <v>33000</v>
      </c>
      <c r="R169" s="424">
        <f t="shared" si="167"/>
        <v>75000</v>
      </c>
      <c r="S169" s="424">
        <f t="shared" si="168"/>
        <v>94580.273279999397</v>
      </c>
      <c r="T169" s="424">
        <f t="shared" si="169"/>
        <v>0</v>
      </c>
      <c r="U169" s="424"/>
      <c r="V169" s="424">
        <f t="shared" si="171"/>
        <v>223580.273279999</v>
      </c>
      <c r="W169" s="431">
        <v>12</v>
      </c>
      <c r="X169" s="424">
        <f t="shared" si="172"/>
        <v>18631.6894399999</v>
      </c>
      <c r="Y169" s="427"/>
      <c r="Z169" s="424">
        <f t="shared" si="173"/>
        <v>18631.6894399999</v>
      </c>
      <c r="AA169" s="436">
        <v>11232.457626666701</v>
      </c>
      <c r="AB169" s="436">
        <f t="shared" si="174"/>
        <v>7399.2318133332501</v>
      </c>
      <c r="AC169" s="436"/>
      <c r="AD169" s="436"/>
      <c r="AE169" s="436"/>
    </row>
    <row r="170" spans="1:31" ht="18" x14ac:dyDescent="0.15">
      <c r="A170" s="421">
        <v>148</v>
      </c>
      <c r="B170" s="9" t="s">
        <v>340</v>
      </c>
      <c r="C170" s="424">
        <v>197336.83333333299</v>
      </c>
      <c r="D170" s="423">
        <v>12</v>
      </c>
      <c r="E170" s="424">
        <f t="shared" si="159"/>
        <v>2368042</v>
      </c>
      <c r="F170" s="424"/>
      <c r="G170" s="425">
        <v>156803.35999999999</v>
      </c>
      <c r="H170" s="427"/>
      <c r="I170" s="424">
        <f t="shared" si="160"/>
        <v>2211238.64</v>
      </c>
      <c r="J170" s="424">
        <v>200000</v>
      </c>
      <c r="K170" s="424">
        <v>0.2</v>
      </c>
      <c r="L170" s="424">
        <f t="shared" si="161"/>
        <v>442247.72799999901</v>
      </c>
      <c r="M170" s="424">
        <f t="shared" si="162"/>
        <v>642247.72799999896</v>
      </c>
      <c r="N170" s="424">
        <f t="shared" si="163"/>
        <v>799051.08799999906</v>
      </c>
      <c r="O170" s="424">
        <f t="shared" si="164"/>
        <v>1568990.912</v>
      </c>
      <c r="P170" s="424">
        <f t="shared" si="165"/>
        <v>21000</v>
      </c>
      <c r="Q170" s="424">
        <f t="shared" si="166"/>
        <v>33000</v>
      </c>
      <c r="R170" s="424">
        <f t="shared" si="167"/>
        <v>75000</v>
      </c>
      <c r="S170" s="424">
        <f t="shared" si="168"/>
        <v>89108.273279999397</v>
      </c>
      <c r="T170" s="424">
        <f t="shared" si="169"/>
        <v>0</v>
      </c>
      <c r="U170" s="424"/>
      <c r="V170" s="424">
        <f t="shared" si="171"/>
        <v>218108.273279999</v>
      </c>
      <c r="W170" s="431">
        <v>12</v>
      </c>
      <c r="X170" s="424">
        <f t="shared" si="172"/>
        <v>18175.6894399999</v>
      </c>
      <c r="Y170" s="427"/>
      <c r="Z170" s="424">
        <f t="shared" si="173"/>
        <v>18175.6894399999</v>
      </c>
      <c r="AA170" s="436">
        <v>10776.457626666701</v>
      </c>
      <c r="AB170" s="436">
        <f t="shared" si="174"/>
        <v>7399.2318133332501</v>
      </c>
      <c r="AC170" s="436"/>
      <c r="AD170" s="436"/>
      <c r="AE170" s="436"/>
    </row>
    <row r="171" spans="1:31" ht="18" x14ac:dyDescent="0.15">
      <c r="A171" s="421">
        <v>149</v>
      </c>
      <c r="B171" s="16" t="s">
        <v>341</v>
      </c>
      <c r="C171" s="424">
        <v>197336.83333333299</v>
      </c>
      <c r="D171" s="423">
        <v>12</v>
      </c>
      <c r="E171" s="424">
        <f t="shared" si="159"/>
        <v>2368042</v>
      </c>
      <c r="F171" s="424"/>
      <c r="G171" s="425">
        <v>156803.35999999999</v>
      </c>
      <c r="H171" s="427"/>
      <c r="I171" s="424">
        <f t="shared" si="160"/>
        <v>2211238.64</v>
      </c>
      <c r="J171" s="424">
        <v>200000</v>
      </c>
      <c r="K171" s="424">
        <v>0.2</v>
      </c>
      <c r="L171" s="424">
        <f t="shared" si="161"/>
        <v>442247.72799999901</v>
      </c>
      <c r="M171" s="424">
        <f t="shared" si="162"/>
        <v>642247.72799999896</v>
      </c>
      <c r="N171" s="424">
        <f t="shared" si="163"/>
        <v>799051.08799999906</v>
      </c>
      <c r="O171" s="424">
        <f t="shared" si="164"/>
        <v>1568990.912</v>
      </c>
      <c r="P171" s="424">
        <f t="shared" si="165"/>
        <v>21000</v>
      </c>
      <c r="Q171" s="424">
        <f t="shared" si="166"/>
        <v>33000</v>
      </c>
      <c r="R171" s="424">
        <f t="shared" si="167"/>
        <v>75000</v>
      </c>
      <c r="S171" s="424">
        <f t="shared" si="168"/>
        <v>89108.273279999397</v>
      </c>
      <c r="T171" s="424">
        <f t="shared" si="169"/>
        <v>0</v>
      </c>
      <c r="U171" s="424"/>
      <c r="V171" s="424">
        <f t="shared" si="171"/>
        <v>218108.273279999</v>
      </c>
      <c r="W171" s="431">
        <v>12</v>
      </c>
      <c r="X171" s="424">
        <f t="shared" si="172"/>
        <v>18175.6894399999</v>
      </c>
      <c r="Y171" s="427"/>
      <c r="Z171" s="424">
        <f t="shared" si="173"/>
        <v>18175.6894399999</v>
      </c>
      <c r="AA171" s="436">
        <v>10776.457626666701</v>
      </c>
      <c r="AB171" s="436">
        <f t="shared" si="174"/>
        <v>7399.2318133332501</v>
      </c>
      <c r="AC171" s="436"/>
      <c r="AD171" s="436"/>
      <c r="AE171" s="436"/>
    </row>
    <row r="172" spans="1:31" ht="18" x14ac:dyDescent="0.15">
      <c r="A172" s="421">
        <v>150</v>
      </c>
      <c r="B172" s="16" t="s">
        <v>342</v>
      </c>
      <c r="C172" s="424">
        <v>200336.83333333299</v>
      </c>
      <c r="D172" s="423">
        <v>12</v>
      </c>
      <c r="E172" s="424">
        <f t="shared" si="159"/>
        <v>2404042</v>
      </c>
      <c r="F172" s="424"/>
      <c r="G172" s="425">
        <v>156803.35999999999</v>
      </c>
      <c r="H172" s="427"/>
      <c r="I172" s="424">
        <f t="shared" si="160"/>
        <v>2247238.64</v>
      </c>
      <c r="J172" s="424">
        <v>200000</v>
      </c>
      <c r="K172" s="424">
        <v>0.2</v>
      </c>
      <c r="L172" s="424">
        <f t="shared" si="161"/>
        <v>449447.72799999901</v>
      </c>
      <c r="M172" s="424">
        <f t="shared" si="162"/>
        <v>649447.72799999896</v>
      </c>
      <c r="N172" s="424">
        <f t="shared" si="163"/>
        <v>806251.08799999906</v>
      </c>
      <c r="O172" s="424">
        <f t="shared" si="164"/>
        <v>1597790.912</v>
      </c>
      <c r="P172" s="424">
        <f t="shared" si="165"/>
        <v>21000</v>
      </c>
      <c r="Q172" s="424">
        <f t="shared" si="166"/>
        <v>33000</v>
      </c>
      <c r="R172" s="424">
        <f t="shared" si="167"/>
        <v>75000</v>
      </c>
      <c r="S172" s="424">
        <f t="shared" si="168"/>
        <v>94580.273279999397</v>
      </c>
      <c r="T172" s="424">
        <f t="shared" si="169"/>
        <v>0</v>
      </c>
      <c r="U172" s="424"/>
      <c r="V172" s="424">
        <f t="shared" si="171"/>
        <v>223580.273279999</v>
      </c>
      <c r="W172" s="431">
        <v>12</v>
      </c>
      <c r="X172" s="424">
        <f t="shared" si="172"/>
        <v>18631.6894399999</v>
      </c>
      <c r="Y172" s="427"/>
      <c r="Z172" s="424">
        <f t="shared" si="173"/>
        <v>18631.6894399999</v>
      </c>
      <c r="AA172" s="436">
        <v>11232.457626666701</v>
      </c>
      <c r="AB172" s="436">
        <f t="shared" si="174"/>
        <v>7399.2318133332501</v>
      </c>
      <c r="AC172" s="436"/>
      <c r="AD172" s="436"/>
      <c r="AE172" s="436"/>
    </row>
    <row r="173" spans="1:31" ht="31.5" x14ac:dyDescent="0.2">
      <c r="A173" s="421">
        <v>151</v>
      </c>
      <c r="B173" s="9" t="s">
        <v>343</v>
      </c>
      <c r="C173" s="424">
        <v>189814.16666666701</v>
      </c>
      <c r="D173" s="423">
        <v>12</v>
      </c>
      <c r="E173" s="424">
        <f t="shared" si="159"/>
        <v>2277770</v>
      </c>
      <c r="F173" s="424"/>
      <c r="G173" s="425">
        <v>146701.6</v>
      </c>
      <c r="H173" s="427"/>
      <c r="I173" s="424">
        <f t="shared" si="160"/>
        <v>2131068.4</v>
      </c>
      <c r="J173" s="424">
        <v>200000</v>
      </c>
      <c r="K173" s="424">
        <v>0.2</v>
      </c>
      <c r="L173" s="424">
        <f t="shared" si="161"/>
        <v>426213.68000000098</v>
      </c>
      <c r="M173" s="424">
        <f t="shared" si="162"/>
        <v>626213.68000000098</v>
      </c>
      <c r="N173" s="424">
        <f t="shared" si="163"/>
        <v>772915.28000000096</v>
      </c>
      <c r="O173" s="424">
        <f t="shared" si="164"/>
        <v>1504854.72</v>
      </c>
      <c r="P173" s="424">
        <f t="shared" si="165"/>
        <v>21000</v>
      </c>
      <c r="Q173" s="424">
        <f t="shared" si="166"/>
        <v>33000</v>
      </c>
      <c r="R173" s="424">
        <f t="shared" si="167"/>
        <v>75000</v>
      </c>
      <c r="S173" s="424">
        <f t="shared" si="168"/>
        <v>76922.396800000701</v>
      </c>
      <c r="T173" s="424">
        <f t="shared" si="169"/>
        <v>0</v>
      </c>
      <c r="U173" s="424"/>
      <c r="V173" s="424">
        <f t="shared" si="171"/>
        <v>205922.39680000101</v>
      </c>
      <c r="W173" s="431">
        <v>12</v>
      </c>
      <c r="X173" s="424">
        <f t="shared" si="172"/>
        <v>17160.1997333334</v>
      </c>
      <c r="Y173" s="427"/>
      <c r="Z173" s="424">
        <f t="shared" si="173"/>
        <v>17160.1997333334</v>
      </c>
      <c r="AA173" s="436">
        <v>9152.5997900000002</v>
      </c>
      <c r="AB173" s="436">
        <f t="shared" si="174"/>
        <v>8007.59994333339</v>
      </c>
      <c r="AC173" s="436"/>
      <c r="AD173" s="436"/>
      <c r="AE173" s="436"/>
    </row>
    <row r="174" spans="1:31" ht="18" x14ac:dyDescent="0.15">
      <c r="A174" s="421">
        <v>152</v>
      </c>
      <c r="B174" s="9" t="s">
        <v>346</v>
      </c>
      <c r="C174" s="424">
        <v>189814.16666666701</v>
      </c>
      <c r="D174" s="423">
        <v>12</v>
      </c>
      <c r="E174" s="424">
        <f t="shared" si="159"/>
        <v>2277770</v>
      </c>
      <c r="F174" s="424"/>
      <c r="G174" s="425">
        <v>146701.6</v>
      </c>
      <c r="H174" s="427"/>
      <c r="I174" s="424">
        <f t="shared" si="160"/>
        <v>2131068.4</v>
      </c>
      <c r="J174" s="424">
        <v>200000</v>
      </c>
      <c r="K174" s="424">
        <v>0.2</v>
      </c>
      <c r="L174" s="424">
        <f t="shared" si="161"/>
        <v>426213.68000000098</v>
      </c>
      <c r="M174" s="424">
        <f t="shared" si="162"/>
        <v>626213.68000000098</v>
      </c>
      <c r="N174" s="424">
        <f t="shared" si="163"/>
        <v>772915.28000000096</v>
      </c>
      <c r="O174" s="424">
        <f t="shared" si="164"/>
        <v>1504854.72</v>
      </c>
      <c r="P174" s="424">
        <f t="shared" si="165"/>
        <v>21000</v>
      </c>
      <c r="Q174" s="424">
        <f t="shared" si="166"/>
        <v>33000</v>
      </c>
      <c r="R174" s="424">
        <f t="shared" si="167"/>
        <v>75000</v>
      </c>
      <c r="S174" s="424">
        <f t="shared" si="168"/>
        <v>76922.396800000701</v>
      </c>
      <c r="T174" s="424">
        <f t="shared" si="169"/>
        <v>0</v>
      </c>
      <c r="U174" s="424"/>
      <c r="V174" s="424">
        <f t="shared" si="171"/>
        <v>205922.39680000101</v>
      </c>
      <c r="W174" s="431">
        <v>12</v>
      </c>
      <c r="X174" s="424">
        <f t="shared" si="172"/>
        <v>17160.1997333334</v>
      </c>
      <c r="Y174" s="427"/>
      <c r="Z174" s="424">
        <f t="shared" si="173"/>
        <v>17160.1997333334</v>
      </c>
      <c r="AA174" s="436">
        <v>9152.5997900000002</v>
      </c>
      <c r="AB174" s="436">
        <f t="shared" si="174"/>
        <v>8007.59994333339</v>
      </c>
      <c r="AC174" s="436"/>
      <c r="AD174" s="436"/>
      <c r="AE174" s="436"/>
    </row>
    <row r="175" spans="1:31" ht="18" x14ac:dyDescent="0.15">
      <c r="A175" s="421">
        <v>153</v>
      </c>
      <c r="B175" s="16" t="s">
        <v>347</v>
      </c>
      <c r="C175" s="424">
        <v>195075.5</v>
      </c>
      <c r="D175" s="423">
        <v>12</v>
      </c>
      <c r="E175" s="424">
        <f t="shared" si="159"/>
        <v>2340906</v>
      </c>
      <c r="F175" s="424"/>
      <c r="G175" s="425">
        <v>151752.48000000001</v>
      </c>
      <c r="H175" s="427"/>
      <c r="I175" s="424">
        <f t="shared" si="160"/>
        <v>2189153.52</v>
      </c>
      <c r="J175" s="424">
        <v>200000</v>
      </c>
      <c r="K175" s="424">
        <v>0.2</v>
      </c>
      <c r="L175" s="424">
        <f t="shared" si="161"/>
        <v>437830.70400000003</v>
      </c>
      <c r="M175" s="424">
        <f t="shared" si="162"/>
        <v>637830.70400000003</v>
      </c>
      <c r="N175" s="424">
        <f t="shared" si="163"/>
        <v>789583.18400000001</v>
      </c>
      <c r="O175" s="424">
        <f t="shared" si="164"/>
        <v>1551322.8160000001</v>
      </c>
      <c r="P175" s="424">
        <f t="shared" si="165"/>
        <v>21000</v>
      </c>
      <c r="Q175" s="424">
        <f t="shared" si="166"/>
        <v>33000</v>
      </c>
      <c r="R175" s="424">
        <f t="shared" si="167"/>
        <v>75000</v>
      </c>
      <c r="S175" s="424">
        <f t="shared" si="168"/>
        <v>85751.335040000005</v>
      </c>
      <c r="T175" s="424">
        <f t="shared" si="169"/>
        <v>0</v>
      </c>
      <c r="U175" s="424"/>
      <c r="V175" s="424">
        <f t="shared" si="171"/>
        <v>214751.33504000001</v>
      </c>
      <c r="W175" s="431">
        <v>12</v>
      </c>
      <c r="X175" s="424">
        <f t="shared" si="172"/>
        <v>17895.944586666701</v>
      </c>
      <c r="Y175" s="427"/>
      <c r="Z175" s="424">
        <f t="shared" si="173"/>
        <v>17895.944586666701</v>
      </c>
      <c r="AA175" s="436">
        <v>9504.2041399999998</v>
      </c>
      <c r="AB175" s="436">
        <f t="shared" si="174"/>
        <v>8391.7404466666703</v>
      </c>
      <c r="AC175" s="436"/>
      <c r="AD175" s="436"/>
      <c r="AE175" s="436"/>
    </row>
    <row r="176" spans="1:31" ht="29.25" customHeight="1" x14ac:dyDescent="0.15">
      <c r="A176" s="421">
        <v>154</v>
      </c>
      <c r="B176" s="9" t="s">
        <v>349</v>
      </c>
      <c r="C176" s="424">
        <v>121145.75</v>
      </c>
      <c r="D176" s="423">
        <v>12</v>
      </c>
      <c r="E176" s="424">
        <f t="shared" si="159"/>
        <v>1453749</v>
      </c>
      <c r="F176" s="424"/>
      <c r="G176" s="425">
        <v>90379.92</v>
      </c>
      <c r="H176" s="427"/>
      <c r="I176" s="424">
        <f t="shared" si="160"/>
        <v>1363369.08</v>
      </c>
      <c r="J176" s="424">
        <v>200000</v>
      </c>
      <c r="K176" s="424">
        <v>0.2</v>
      </c>
      <c r="L176" s="424">
        <f t="shared" si="161"/>
        <v>272673.81599999999</v>
      </c>
      <c r="M176" s="424">
        <f t="shared" si="162"/>
        <v>472673.81599999999</v>
      </c>
      <c r="N176" s="424">
        <f t="shared" si="163"/>
        <v>563053.73600000003</v>
      </c>
      <c r="O176" s="424">
        <f t="shared" si="164"/>
        <v>890695.26399999997</v>
      </c>
      <c r="P176" s="424">
        <f t="shared" si="165"/>
        <v>21000</v>
      </c>
      <c r="Q176" s="424">
        <f t="shared" si="166"/>
        <v>33000</v>
      </c>
      <c r="R176" s="424">
        <f t="shared" si="167"/>
        <v>43604.289599999996</v>
      </c>
      <c r="S176" s="424">
        <f t="shared" si="168"/>
        <v>0</v>
      </c>
      <c r="T176" s="424">
        <f t="shared" si="169"/>
        <v>0</v>
      </c>
      <c r="U176" s="424"/>
      <c r="V176" s="424">
        <f t="shared" si="171"/>
        <v>97604.289600000004</v>
      </c>
      <c r="W176" s="431">
        <v>12</v>
      </c>
      <c r="X176" s="424">
        <f t="shared" si="172"/>
        <v>8133.6908000000003</v>
      </c>
      <c r="Y176" s="427"/>
      <c r="Z176" s="424">
        <f t="shared" si="173"/>
        <v>8133.6908000000003</v>
      </c>
      <c r="AA176" s="436">
        <v>4365.3307546666701</v>
      </c>
      <c r="AB176" s="436">
        <f t="shared" si="174"/>
        <v>3768.3600453333302</v>
      </c>
      <c r="AC176" s="436"/>
      <c r="AD176" s="436"/>
      <c r="AE176" s="436"/>
    </row>
    <row r="177" spans="1:31" ht="18" x14ac:dyDescent="0.15">
      <c r="A177" s="421">
        <v>155</v>
      </c>
      <c r="B177" s="9" t="s">
        <v>352</v>
      </c>
      <c r="C177" s="424">
        <v>118598</v>
      </c>
      <c r="D177" s="423">
        <v>12</v>
      </c>
      <c r="E177" s="424">
        <f t="shared" si="159"/>
        <v>1423176</v>
      </c>
      <c r="F177" s="424"/>
      <c r="G177" s="425">
        <v>87934.080000000002</v>
      </c>
      <c r="H177" s="427"/>
      <c r="I177" s="424">
        <f t="shared" si="160"/>
        <v>1335241.92</v>
      </c>
      <c r="J177" s="424">
        <v>200000</v>
      </c>
      <c r="K177" s="424">
        <v>0.2</v>
      </c>
      <c r="L177" s="424">
        <f t="shared" si="161"/>
        <v>267048.38400000002</v>
      </c>
      <c r="M177" s="424">
        <f t="shared" si="162"/>
        <v>467048.38400000002</v>
      </c>
      <c r="N177" s="424">
        <f t="shared" si="163"/>
        <v>554982.46400000004</v>
      </c>
      <c r="O177" s="424">
        <f t="shared" si="164"/>
        <v>868193.53599999996</v>
      </c>
      <c r="P177" s="424">
        <f t="shared" si="165"/>
        <v>21000</v>
      </c>
      <c r="Q177" s="424">
        <f t="shared" si="166"/>
        <v>33000</v>
      </c>
      <c r="R177" s="424">
        <f t="shared" si="167"/>
        <v>40229.030400000003</v>
      </c>
      <c r="S177" s="424">
        <f t="shared" si="168"/>
        <v>0</v>
      </c>
      <c r="T177" s="424">
        <f t="shared" si="169"/>
        <v>0</v>
      </c>
      <c r="U177" s="424"/>
      <c r="V177" s="424">
        <f t="shared" si="171"/>
        <v>94229.030400000003</v>
      </c>
      <c r="W177" s="431">
        <v>12</v>
      </c>
      <c r="X177" s="424">
        <f t="shared" si="172"/>
        <v>7852.4192000000003</v>
      </c>
      <c r="Y177" s="427"/>
      <c r="Z177" s="424">
        <f t="shared" si="173"/>
        <v>7852.4192000000003</v>
      </c>
      <c r="AA177" s="436">
        <v>4227.5237226666704</v>
      </c>
      <c r="AB177" s="436">
        <f t="shared" si="174"/>
        <v>3624.8954773333298</v>
      </c>
      <c r="AC177" s="436"/>
      <c r="AD177" s="436"/>
      <c r="AE177" s="436"/>
    </row>
    <row r="178" spans="1:31" ht="18" x14ac:dyDescent="0.15">
      <c r="A178" s="421">
        <v>156</v>
      </c>
      <c r="B178" s="9" t="s">
        <v>355</v>
      </c>
      <c r="C178" s="424">
        <v>115598</v>
      </c>
      <c r="D178" s="423">
        <v>12</v>
      </c>
      <c r="E178" s="424">
        <f t="shared" si="159"/>
        <v>1387176</v>
      </c>
      <c r="F178" s="424"/>
      <c r="G178" s="425">
        <v>87934.080000000002</v>
      </c>
      <c r="H178" s="427"/>
      <c r="I178" s="424">
        <f t="shared" si="160"/>
        <v>1299241.92</v>
      </c>
      <c r="J178" s="424">
        <v>200000</v>
      </c>
      <c r="K178" s="424">
        <v>0.2</v>
      </c>
      <c r="L178" s="424">
        <f t="shared" si="161"/>
        <v>259848.38399999999</v>
      </c>
      <c r="M178" s="424">
        <f t="shared" si="162"/>
        <v>459848.38400000002</v>
      </c>
      <c r="N178" s="424">
        <f t="shared" si="163"/>
        <v>547782.46400000004</v>
      </c>
      <c r="O178" s="424">
        <f t="shared" si="164"/>
        <v>839393.53599999996</v>
      </c>
      <c r="P178" s="424">
        <f t="shared" si="165"/>
        <v>21000</v>
      </c>
      <c r="Q178" s="424">
        <f t="shared" si="166"/>
        <v>33000</v>
      </c>
      <c r="R178" s="424">
        <f t="shared" si="167"/>
        <v>35909.030400000003</v>
      </c>
      <c r="S178" s="424">
        <f t="shared" si="168"/>
        <v>0</v>
      </c>
      <c r="T178" s="424">
        <f t="shared" si="169"/>
        <v>0</v>
      </c>
      <c r="U178" s="424"/>
      <c r="V178" s="424">
        <f t="shared" si="171"/>
        <v>89909.030400000003</v>
      </c>
      <c r="W178" s="431">
        <v>12</v>
      </c>
      <c r="X178" s="424">
        <f t="shared" si="172"/>
        <v>7492.4192000000003</v>
      </c>
      <c r="Y178" s="427"/>
      <c r="Z178" s="424">
        <f t="shared" si="173"/>
        <v>7492.4192000000003</v>
      </c>
      <c r="AA178" s="436">
        <v>3963.52372266667</v>
      </c>
      <c r="AB178" s="436">
        <f t="shared" si="174"/>
        <v>3528.8954773333298</v>
      </c>
      <c r="AC178" s="436"/>
      <c r="AD178" s="436"/>
      <c r="AE178" s="436"/>
    </row>
    <row r="179" spans="1:31" ht="18" x14ac:dyDescent="0.15">
      <c r="A179" s="421">
        <v>157</v>
      </c>
      <c r="B179" s="9" t="s">
        <v>356</v>
      </c>
      <c r="C179" s="424">
        <v>118598</v>
      </c>
      <c r="D179" s="423">
        <v>12</v>
      </c>
      <c r="E179" s="424">
        <f t="shared" si="159"/>
        <v>1423176</v>
      </c>
      <c r="F179" s="424"/>
      <c r="G179" s="425">
        <v>87934.080000000002</v>
      </c>
      <c r="H179" s="427"/>
      <c r="I179" s="424">
        <f t="shared" si="160"/>
        <v>1335241.92</v>
      </c>
      <c r="J179" s="424">
        <v>200000</v>
      </c>
      <c r="K179" s="424">
        <v>0.2</v>
      </c>
      <c r="L179" s="424">
        <f t="shared" si="161"/>
        <v>267048.38400000002</v>
      </c>
      <c r="M179" s="424">
        <f t="shared" si="162"/>
        <v>467048.38400000002</v>
      </c>
      <c r="N179" s="424">
        <f t="shared" si="163"/>
        <v>554982.46400000004</v>
      </c>
      <c r="O179" s="424">
        <f t="shared" si="164"/>
        <v>868193.53599999996</v>
      </c>
      <c r="P179" s="424">
        <f t="shared" si="165"/>
        <v>21000</v>
      </c>
      <c r="Q179" s="424">
        <f t="shared" si="166"/>
        <v>33000</v>
      </c>
      <c r="R179" s="424">
        <f t="shared" si="167"/>
        <v>40229.030400000003</v>
      </c>
      <c r="S179" s="424">
        <f t="shared" si="168"/>
        <v>0</v>
      </c>
      <c r="T179" s="424">
        <f t="shared" si="169"/>
        <v>0</v>
      </c>
      <c r="U179" s="424"/>
      <c r="V179" s="424">
        <f t="shared" si="171"/>
        <v>94229.030400000003</v>
      </c>
      <c r="W179" s="431">
        <v>12</v>
      </c>
      <c r="X179" s="424">
        <f t="shared" si="172"/>
        <v>7852.4192000000003</v>
      </c>
      <c r="Y179" s="427"/>
      <c r="Z179" s="424">
        <f t="shared" si="173"/>
        <v>7852.4192000000003</v>
      </c>
      <c r="AA179" s="436">
        <v>4227.5237226666704</v>
      </c>
      <c r="AB179" s="436">
        <f t="shared" si="174"/>
        <v>3624.8954773333298</v>
      </c>
      <c r="AC179" s="436"/>
      <c r="AD179" s="436"/>
      <c r="AE179" s="436"/>
    </row>
    <row r="180" spans="1:31" ht="18" x14ac:dyDescent="0.15">
      <c r="A180" s="432"/>
      <c r="B180" s="9" t="s">
        <v>357</v>
      </c>
      <c r="C180" s="440">
        <v>115598</v>
      </c>
      <c r="D180" s="423">
        <v>12</v>
      </c>
      <c r="E180" s="424">
        <f t="shared" si="159"/>
        <v>1387176</v>
      </c>
      <c r="F180" s="424"/>
      <c r="G180" s="425">
        <v>87934.080000000002</v>
      </c>
      <c r="H180" s="427"/>
      <c r="I180" s="424">
        <f t="shared" si="160"/>
        <v>1299241.92</v>
      </c>
      <c r="J180" s="424">
        <v>200000</v>
      </c>
      <c r="K180" s="424">
        <v>0.2</v>
      </c>
      <c r="L180" s="424">
        <f t="shared" si="161"/>
        <v>259848.38399999999</v>
      </c>
      <c r="M180" s="424">
        <f t="shared" si="162"/>
        <v>459848.38400000002</v>
      </c>
      <c r="N180" s="424">
        <f t="shared" si="163"/>
        <v>547782.46400000004</v>
      </c>
      <c r="O180" s="424">
        <f t="shared" si="164"/>
        <v>839393.53599999996</v>
      </c>
      <c r="P180" s="424">
        <f t="shared" si="165"/>
        <v>21000</v>
      </c>
      <c r="Q180" s="424">
        <f t="shared" si="166"/>
        <v>33000</v>
      </c>
      <c r="R180" s="424">
        <f t="shared" si="167"/>
        <v>35909.030400000003</v>
      </c>
      <c r="S180" s="424">
        <f t="shared" si="168"/>
        <v>0</v>
      </c>
      <c r="T180" s="424">
        <f t="shared" si="169"/>
        <v>0</v>
      </c>
      <c r="U180" s="424"/>
      <c r="V180" s="424">
        <f t="shared" si="171"/>
        <v>89909.030400000003</v>
      </c>
      <c r="W180" s="431">
        <v>12</v>
      </c>
      <c r="X180" s="424">
        <f t="shared" si="172"/>
        <v>7492.4192000000003</v>
      </c>
      <c r="Y180" s="427"/>
      <c r="Z180" s="424">
        <f t="shared" si="173"/>
        <v>7492.4192000000003</v>
      </c>
      <c r="AA180" s="436">
        <v>3963.52372266667</v>
      </c>
      <c r="AB180" s="436">
        <f t="shared" si="174"/>
        <v>3528.8954773333298</v>
      </c>
      <c r="AC180" s="436"/>
      <c r="AD180" s="436"/>
      <c r="AE180" s="436"/>
    </row>
    <row r="181" spans="1:31" ht="18" x14ac:dyDescent="0.15">
      <c r="A181" s="432"/>
      <c r="B181" s="9" t="s">
        <v>358</v>
      </c>
      <c r="C181" s="440">
        <v>118598</v>
      </c>
      <c r="D181" s="423">
        <v>12</v>
      </c>
      <c r="E181" s="424">
        <f t="shared" si="159"/>
        <v>1423176</v>
      </c>
      <c r="F181" s="424"/>
      <c r="G181" s="425">
        <v>87934.080000000002</v>
      </c>
      <c r="H181" s="427"/>
      <c r="I181" s="424">
        <f t="shared" si="160"/>
        <v>1335241.92</v>
      </c>
      <c r="J181" s="424">
        <v>200000</v>
      </c>
      <c r="K181" s="424">
        <v>0.2</v>
      </c>
      <c r="L181" s="424">
        <f t="shared" si="161"/>
        <v>267048.38400000002</v>
      </c>
      <c r="M181" s="424">
        <f t="shared" si="162"/>
        <v>467048.38400000002</v>
      </c>
      <c r="N181" s="424">
        <f t="shared" si="163"/>
        <v>554982.46400000004</v>
      </c>
      <c r="O181" s="424">
        <f t="shared" si="164"/>
        <v>868193.53599999996</v>
      </c>
      <c r="P181" s="424">
        <f t="shared" si="165"/>
        <v>21000</v>
      </c>
      <c r="Q181" s="424">
        <f t="shared" si="166"/>
        <v>33000</v>
      </c>
      <c r="R181" s="424">
        <f t="shared" si="167"/>
        <v>40229.030400000003</v>
      </c>
      <c r="S181" s="424">
        <f t="shared" si="168"/>
        <v>0</v>
      </c>
      <c r="T181" s="424">
        <f t="shared" si="169"/>
        <v>0</v>
      </c>
      <c r="U181" s="424"/>
      <c r="V181" s="424">
        <f t="shared" si="171"/>
        <v>94229.030400000003</v>
      </c>
      <c r="W181" s="431">
        <v>12</v>
      </c>
      <c r="X181" s="424">
        <f t="shared" si="172"/>
        <v>7852.4192000000003</v>
      </c>
      <c r="Y181" s="427"/>
      <c r="Z181" s="424">
        <f t="shared" si="173"/>
        <v>7852.4192000000003</v>
      </c>
      <c r="AA181" s="436">
        <v>4227.5237226666704</v>
      </c>
      <c r="AB181" s="436">
        <f t="shared" si="174"/>
        <v>3624.8954773333298</v>
      </c>
    </row>
    <row r="182" spans="1:31" ht="18" x14ac:dyDescent="0.15">
      <c r="B182" s="16" t="s">
        <v>359</v>
      </c>
      <c r="C182" s="436">
        <v>115598</v>
      </c>
      <c r="D182" s="423">
        <v>12</v>
      </c>
      <c r="E182" s="424">
        <f t="shared" si="159"/>
        <v>1387176</v>
      </c>
      <c r="G182" s="425">
        <v>87934.080000000002</v>
      </c>
      <c r="I182" s="424">
        <f t="shared" si="160"/>
        <v>1299241.92</v>
      </c>
      <c r="J182" s="424">
        <v>200000</v>
      </c>
      <c r="K182" s="424">
        <v>0.2</v>
      </c>
      <c r="L182" s="424">
        <f t="shared" si="161"/>
        <v>259848.38399999999</v>
      </c>
      <c r="M182" s="424">
        <f t="shared" si="162"/>
        <v>459848.38400000002</v>
      </c>
      <c r="N182" s="424">
        <f t="shared" si="163"/>
        <v>547782.46400000004</v>
      </c>
      <c r="O182" s="424">
        <f t="shared" si="164"/>
        <v>839393.53599999996</v>
      </c>
      <c r="P182" s="424">
        <f t="shared" si="165"/>
        <v>21000</v>
      </c>
      <c r="Q182" s="424">
        <f t="shared" si="166"/>
        <v>33000</v>
      </c>
      <c r="R182" s="424">
        <f t="shared" si="167"/>
        <v>35909.030400000003</v>
      </c>
      <c r="S182" s="424">
        <f t="shared" si="168"/>
        <v>0</v>
      </c>
      <c r="T182" s="424">
        <f t="shared" si="169"/>
        <v>0</v>
      </c>
      <c r="U182" s="424"/>
      <c r="V182" s="424">
        <f t="shared" si="171"/>
        <v>89909.030400000003</v>
      </c>
      <c r="W182" s="431">
        <v>12</v>
      </c>
      <c r="X182" s="424">
        <f t="shared" si="172"/>
        <v>7492.4192000000003</v>
      </c>
      <c r="Z182" s="424">
        <f t="shared" si="173"/>
        <v>7492.4192000000003</v>
      </c>
      <c r="AA182" s="436">
        <v>3963.52372266667</v>
      </c>
      <c r="AB182" s="436">
        <f t="shared" si="174"/>
        <v>3528.8954773333298</v>
      </c>
    </row>
    <row r="183" spans="1:31" ht="18" x14ac:dyDescent="0.15">
      <c r="B183" s="16" t="s">
        <v>360</v>
      </c>
      <c r="C183" s="436">
        <v>118598</v>
      </c>
      <c r="D183" s="423">
        <v>12</v>
      </c>
      <c r="E183" s="424">
        <f t="shared" si="159"/>
        <v>1423176</v>
      </c>
      <c r="G183" s="425">
        <v>87934.080000000002</v>
      </c>
      <c r="I183" s="424">
        <f t="shared" si="160"/>
        <v>1335241.92</v>
      </c>
      <c r="J183" s="424">
        <v>200000</v>
      </c>
      <c r="K183" s="424">
        <v>0.2</v>
      </c>
      <c r="L183" s="424">
        <f t="shared" si="161"/>
        <v>267048.38400000002</v>
      </c>
      <c r="M183" s="424">
        <f t="shared" si="162"/>
        <v>467048.38400000002</v>
      </c>
      <c r="N183" s="424">
        <f t="shared" si="163"/>
        <v>554982.46400000004</v>
      </c>
      <c r="O183" s="424">
        <f t="shared" si="164"/>
        <v>868193.53599999996</v>
      </c>
      <c r="P183" s="424">
        <f t="shared" si="165"/>
        <v>21000</v>
      </c>
      <c r="Q183" s="424">
        <f t="shared" si="166"/>
        <v>33000</v>
      </c>
      <c r="R183" s="424">
        <f t="shared" si="167"/>
        <v>40229.030400000003</v>
      </c>
      <c r="S183" s="424">
        <f t="shared" si="168"/>
        <v>0</v>
      </c>
      <c r="T183" s="424">
        <f t="shared" si="169"/>
        <v>0</v>
      </c>
      <c r="U183" s="424"/>
      <c r="V183" s="424">
        <f t="shared" si="171"/>
        <v>94229.030400000003</v>
      </c>
      <c r="W183" s="431">
        <v>12</v>
      </c>
      <c r="X183" s="424">
        <f t="shared" si="172"/>
        <v>7852.4192000000003</v>
      </c>
      <c r="Z183" s="424">
        <f t="shared" si="173"/>
        <v>7852.4192000000003</v>
      </c>
      <c r="AA183" s="436">
        <v>4227.5237226666704</v>
      </c>
      <c r="AB183" s="436">
        <f t="shared" si="174"/>
        <v>3624.8954773333298</v>
      </c>
    </row>
    <row r="184" spans="1:31" ht="18" x14ac:dyDescent="0.15">
      <c r="B184" s="9" t="s">
        <v>493</v>
      </c>
      <c r="C184" s="436">
        <v>118598</v>
      </c>
      <c r="D184" s="423">
        <v>12</v>
      </c>
      <c r="E184" s="424">
        <f t="shared" si="159"/>
        <v>1423176</v>
      </c>
      <c r="G184" s="425">
        <v>87934.080000000002</v>
      </c>
      <c r="I184" s="424">
        <f t="shared" si="160"/>
        <v>1335241.92</v>
      </c>
      <c r="J184" s="424">
        <v>200000</v>
      </c>
      <c r="K184" s="424">
        <v>0.2</v>
      </c>
      <c r="L184" s="424">
        <f t="shared" si="161"/>
        <v>267048.38400000002</v>
      </c>
      <c r="M184" s="424">
        <f t="shared" si="162"/>
        <v>467048.38400000002</v>
      </c>
      <c r="N184" s="424">
        <f t="shared" si="163"/>
        <v>554982.46400000004</v>
      </c>
      <c r="O184" s="424">
        <f t="shared" si="164"/>
        <v>868193.53599999996</v>
      </c>
      <c r="P184" s="424">
        <f t="shared" si="165"/>
        <v>21000</v>
      </c>
      <c r="Q184" s="424">
        <f t="shared" si="166"/>
        <v>33000</v>
      </c>
      <c r="R184" s="424">
        <f t="shared" si="167"/>
        <v>40229.030400000003</v>
      </c>
      <c r="S184" s="424">
        <f t="shared" si="168"/>
        <v>0</v>
      </c>
      <c r="T184" s="424">
        <f t="shared" si="169"/>
        <v>0</v>
      </c>
      <c r="V184" s="424">
        <f t="shared" si="171"/>
        <v>94229.030400000003</v>
      </c>
      <c r="W184" s="431">
        <v>12</v>
      </c>
      <c r="X184" s="424">
        <f t="shared" si="172"/>
        <v>7852.4192000000003</v>
      </c>
      <c r="Z184" s="424">
        <f t="shared" si="173"/>
        <v>7852.4192000000003</v>
      </c>
      <c r="AA184" s="436">
        <v>4089.7166906666698</v>
      </c>
      <c r="AB184" s="436">
        <f t="shared" si="174"/>
        <v>3762.70250933333</v>
      </c>
    </row>
    <row r="185" spans="1:31" ht="18" x14ac:dyDescent="0.15">
      <c r="B185" s="9" t="s">
        <v>361</v>
      </c>
      <c r="C185" s="436">
        <v>118598</v>
      </c>
      <c r="D185" s="423">
        <v>12</v>
      </c>
      <c r="E185" s="424">
        <f t="shared" si="159"/>
        <v>1423176</v>
      </c>
      <c r="G185" s="425">
        <v>87934.080000000002</v>
      </c>
      <c r="I185" s="424">
        <f t="shared" si="160"/>
        <v>1335241.92</v>
      </c>
      <c r="J185" s="424">
        <v>200000</v>
      </c>
      <c r="K185" s="424">
        <v>0.2</v>
      </c>
      <c r="L185" s="424">
        <f t="shared" si="161"/>
        <v>267048.38400000002</v>
      </c>
      <c r="M185" s="424">
        <f t="shared" si="162"/>
        <v>467048.38400000002</v>
      </c>
      <c r="N185" s="424">
        <f t="shared" si="163"/>
        <v>554982.46400000004</v>
      </c>
      <c r="O185" s="424">
        <f t="shared" si="164"/>
        <v>868193.53599999996</v>
      </c>
      <c r="P185" s="424">
        <f t="shared" si="165"/>
        <v>21000</v>
      </c>
      <c r="Q185" s="424">
        <f t="shared" si="166"/>
        <v>33000</v>
      </c>
      <c r="R185" s="424">
        <f t="shared" si="167"/>
        <v>40229.030400000003</v>
      </c>
      <c r="S185" s="424">
        <f t="shared" si="168"/>
        <v>0</v>
      </c>
      <c r="T185" s="424">
        <f t="shared" si="169"/>
        <v>0</v>
      </c>
      <c r="V185" s="424">
        <f t="shared" si="171"/>
        <v>94229.030400000003</v>
      </c>
      <c r="W185" s="431">
        <v>12</v>
      </c>
      <c r="X185" s="424">
        <f t="shared" si="172"/>
        <v>7852.4192000000003</v>
      </c>
      <c r="Z185" s="424">
        <f t="shared" si="173"/>
        <v>7852.4192000000003</v>
      </c>
      <c r="AA185" s="436">
        <v>4227.5237226666704</v>
      </c>
      <c r="AB185" s="436">
        <f t="shared" si="174"/>
        <v>3624.8954773333298</v>
      </c>
    </row>
    <row r="186" spans="1:31" ht="18" x14ac:dyDescent="0.15">
      <c r="B186" s="16" t="s">
        <v>362</v>
      </c>
      <c r="C186" s="436">
        <v>116050.25</v>
      </c>
      <c r="D186" s="423">
        <v>12</v>
      </c>
      <c r="E186" s="424">
        <f t="shared" si="159"/>
        <v>1392603</v>
      </c>
      <c r="G186" s="425">
        <v>85488.24</v>
      </c>
      <c r="I186" s="424">
        <f t="shared" si="160"/>
        <v>1307114.76</v>
      </c>
      <c r="J186" s="424">
        <v>200000</v>
      </c>
      <c r="K186" s="424">
        <v>0.2</v>
      </c>
      <c r="L186" s="424">
        <f t="shared" si="161"/>
        <v>261422.95199999999</v>
      </c>
      <c r="M186" s="424">
        <f t="shared" si="162"/>
        <v>461422.95199999999</v>
      </c>
      <c r="N186" s="424">
        <f t="shared" si="163"/>
        <v>546911.19200000004</v>
      </c>
      <c r="O186" s="424">
        <f t="shared" si="164"/>
        <v>845691.80799999996</v>
      </c>
      <c r="P186" s="424">
        <f t="shared" si="165"/>
        <v>21000</v>
      </c>
      <c r="Q186" s="424">
        <f t="shared" si="166"/>
        <v>33000</v>
      </c>
      <c r="R186" s="424">
        <f t="shared" si="167"/>
        <v>36853.771200000003</v>
      </c>
      <c r="S186" s="424">
        <f t="shared" si="168"/>
        <v>0</v>
      </c>
      <c r="T186" s="424">
        <f t="shared" si="169"/>
        <v>0</v>
      </c>
      <c r="V186" s="424">
        <f t="shared" si="171"/>
        <v>90853.771200000003</v>
      </c>
      <c r="W186" s="431">
        <v>12</v>
      </c>
      <c r="X186" s="424">
        <f t="shared" si="172"/>
        <v>7571.1476000000002</v>
      </c>
      <c r="Z186" s="424">
        <f t="shared" si="173"/>
        <v>7571.1476000000002</v>
      </c>
      <c r="AA186" s="436">
        <v>4089.7166906666698</v>
      </c>
      <c r="AB186" s="436">
        <f t="shared" si="174"/>
        <v>3481.43090933333</v>
      </c>
    </row>
    <row r="187" spans="1:31" ht="18" x14ac:dyDescent="0.15">
      <c r="B187" s="16" t="s">
        <v>367</v>
      </c>
      <c r="C187" s="436">
        <v>102926.91666666701</v>
      </c>
      <c r="D187" s="423">
        <v>12</v>
      </c>
      <c r="E187" s="424">
        <f t="shared" si="159"/>
        <v>1235123</v>
      </c>
      <c r="G187" s="425">
        <v>77689.84</v>
      </c>
      <c r="I187" s="424">
        <f t="shared" si="160"/>
        <v>1157433.1599999999</v>
      </c>
      <c r="J187" s="424">
        <v>200000</v>
      </c>
      <c r="K187" s="424">
        <v>0.2</v>
      </c>
      <c r="L187" s="424">
        <f t="shared" si="161"/>
        <v>231486.632000001</v>
      </c>
      <c r="M187" s="424">
        <f t="shared" si="162"/>
        <v>431486.63200000097</v>
      </c>
      <c r="N187" s="424">
        <f t="shared" si="163"/>
        <v>509176.472000001</v>
      </c>
      <c r="O187" s="424">
        <f t="shared" si="164"/>
        <v>725946.52800000296</v>
      </c>
      <c r="P187" s="424">
        <f t="shared" si="165"/>
        <v>21000</v>
      </c>
      <c r="Q187" s="424">
        <f t="shared" si="166"/>
        <v>33000</v>
      </c>
      <c r="R187" s="424">
        <f t="shared" si="167"/>
        <v>18891.9792000005</v>
      </c>
      <c r="S187" s="424">
        <f t="shared" si="168"/>
        <v>0</v>
      </c>
      <c r="T187" s="424">
        <f t="shared" si="169"/>
        <v>0</v>
      </c>
      <c r="V187" s="424">
        <f t="shared" si="171"/>
        <v>72891.979200000496</v>
      </c>
      <c r="W187" s="431">
        <v>12</v>
      </c>
      <c r="X187" s="424">
        <f t="shared" si="172"/>
        <v>6074.3316000000405</v>
      </c>
      <c r="Z187" s="424">
        <f t="shared" si="173"/>
        <v>6074.3316000000405</v>
      </c>
      <c r="AA187" s="436">
        <v>3210.1544048666701</v>
      </c>
      <c r="AB187" s="436">
        <f t="shared" si="174"/>
        <v>2864.1771951333699</v>
      </c>
    </row>
    <row r="188" spans="1:31" ht="18" x14ac:dyDescent="0.15">
      <c r="B188" s="16" t="s">
        <v>369</v>
      </c>
      <c r="C188" s="436">
        <v>95540.75</v>
      </c>
      <c r="D188" s="423">
        <v>12</v>
      </c>
      <c r="E188" s="424">
        <f t="shared" si="159"/>
        <v>1146489</v>
      </c>
      <c r="G188" s="425">
        <f t="shared" ref="G188:G190" si="176">6123.26*12</f>
        <v>73479.12</v>
      </c>
      <c r="I188" s="424">
        <f t="shared" si="160"/>
        <v>1073009.8799999999</v>
      </c>
      <c r="J188" s="424">
        <v>200000</v>
      </c>
      <c r="K188" s="424">
        <v>0.2</v>
      </c>
      <c r="L188" s="424">
        <f t="shared" si="161"/>
        <v>214601.976</v>
      </c>
      <c r="M188" s="424">
        <f t="shared" si="162"/>
        <v>414601.97600000002</v>
      </c>
      <c r="N188" s="424">
        <f t="shared" si="163"/>
        <v>488081.09600000002</v>
      </c>
      <c r="O188" s="424">
        <f t="shared" si="164"/>
        <v>658407.90399999998</v>
      </c>
      <c r="P188" s="424">
        <f t="shared" si="165"/>
        <v>21000</v>
      </c>
      <c r="Q188" s="424">
        <f t="shared" si="166"/>
        <v>33000</v>
      </c>
      <c r="R188" s="424">
        <f t="shared" si="167"/>
        <v>8761.1856000000007</v>
      </c>
      <c r="S188" s="424">
        <f t="shared" si="168"/>
        <v>0</v>
      </c>
      <c r="T188" s="424">
        <f t="shared" si="169"/>
        <v>0</v>
      </c>
      <c r="V188" s="424">
        <f t="shared" si="171"/>
        <v>62761.185599999997</v>
      </c>
      <c r="W188" s="431">
        <v>12</v>
      </c>
      <c r="X188" s="424">
        <f t="shared" si="172"/>
        <v>5230.0987999999998</v>
      </c>
      <c r="Z188" s="424">
        <f t="shared" si="173"/>
        <v>5230.0987999999998</v>
      </c>
      <c r="AA188" s="436">
        <v>2708.9136406666698</v>
      </c>
      <c r="AB188" s="436">
        <f t="shared" si="174"/>
        <v>2521.1851593333299</v>
      </c>
    </row>
    <row r="189" spans="1:31" ht="18" x14ac:dyDescent="0.15">
      <c r="B189" s="16" t="s">
        <v>372</v>
      </c>
      <c r="C189" s="436">
        <v>95540.75</v>
      </c>
      <c r="D189" s="423">
        <v>12</v>
      </c>
      <c r="E189" s="424">
        <f t="shared" si="159"/>
        <v>1146489</v>
      </c>
      <c r="G189" s="425">
        <f t="shared" si="176"/>
        <v>73479.12</v>
      </c>
      <c r="I189" s="424">
        <f t="shared" si="160"/>
        <v>1073009.8799999999</v>
      </c>
      <c r="J189" s="424">
        <v>200000</v>
      </c>
      <c r="K189" s="424">
        <v>0.2</v>
      </c>
      <c r="L189" s="424">
        <f t="shared" si="161"/>
        <v>214601.976</v>
      </c>
      <c r="M189" s="424">
        <f t="shared" si="162"/>
        <v>414601.97600000002</v>
      </c>
      <c r="N189" s="424">
        <f t="shared" si="163"/>
        <v>488081.09600000002</v>
      </c>
      <c r="O189" s="424">
        <f t="shared" si="164"/>
        <v>658407.90399999998</v>
      </c>
      <c r="P189" s="424">
        <f t="shared" si="165"/>
        <v>21000</v>
      </c>
      <c r="Q189" s="424">
        <f t="shared" si="166"/>
        <v>33000</v>
      </c>
      <c r="R189" s="424">
        <f t="shared" si="167"/>
        <v>8761.1856000000007</v>
      </c>
      <c r="S189" s="424">
        <f t="shared" si="168"/>
        <v>0</v>
      </c>
      <c r="T189" s="424">
        <f t="shared" si="169"/>
        <v>0</v>
      </c>
      <c r="V189" s="424">
        <f t="shared" si="171"/>
        <v>62761.185599999997</v>
      </c>
      <c r="W189" s="431">
        <v>12</v>
      </c>
      <c r="X189" s="424">
        <f t="shared" si="172"/>
        <v>5230.0987999999998</v>
      </c>
      <c r="Z189" s="424">
        <f t="shared" si="173"/>
        <v>5230.0987999999998</v>
      </c>
      <c r="AA189" s="436">
        <v>2708.9136406666698</v>
      </c>
      <c r="AB189" s="436">
        <f t="shared" si="174"/>
        <v>2521.1851593333299</v>
      </c>
    </row>
    <row r="190" spans="1:31" ht="18" x14ac:dyDescent="0.15">
      <c r="B190" s="16" t="s">
        <v>373</v>
      </c>
      <c r="C190" s="436">
        <v>95540.75</v>
      </c>
      <c r="D190" s="423">
        <v>12</v>
      </c>
      <c r="E190" s="424">
        <f t="shared" si="159"/>
        <v>1146489</v>
      </c>
      <c r="G190" s="425">
        <f t="shared" si="176"/>
        <v>73479.12</v>
      </c>
      <c r="I190" s="424">
        <f t="shared" si="160"/>
        <v>1073009.8799999999</v>
      </c>
      <c r="J190" s="424">
        <v>200000</v>
      </c>
      <c r="K190" s="424">
        <v>0.2</v>
      </c>
      <c r="L190" s="424">
        <f t="shared" si="161"/>
        <v>214601.976</v>
      </c>
      <c r="M190" s="424">
        <f t="shared" si="162"/>
        <v>414601.97600000002</v>
      </c>
      <c r="N190" s="424">
        <f t="shared" si="163"/>
        <v>488081.09600000002</v>
      </c>
      <c r="O190" s="424">
        <f t="shared" si="164"/>
        <v>658407.90399999998</v>
      </c>
      <c r="P190" s="424">
        <f t="shared" si="165"/>
        <v>21000</v>
      </c>
      <c r="Q190" s="424">
        <f t="shared" si="166"/>
        <v>33000</v>
      </c>
      <c r="R190" s="424">
        <f t="shared" si="167"/>
        <v>8761.1856000000007</v>
      </c>
      <c r="S190" s="424">
        <f t="shared" si="168"/>
        <v>0</v>
      </c>
      <c r="T190" s="424">
        <f t="shared" si="169"/>
        <v>0</v>
      </c>
      <c r="V190" s="424">
        <f t="shared" si="171"/>
        <v>62761.185599999997</v>
      </c>
      <c r="W190" s="431">
        <v>12</v>
      </c>
      <c r="X190" s="424">
        <f t="shared" si="172"/>
        <v>5230.0987999999998</v>
      </c>
      <c r="Z190" s="424">
        <f t="shared" si="173"/>
        <v>5230.0987999999998</v>
      </c>
      <c r="AA190" s="436">
        <v>2708.9136406666698</v>
      </c>
      <c r="AB190" s="436">
        <f t="shared" si="174"/>
        <v>2521.1851593333299</v>
      </c>
    </row>
    <row r="191" spans="1:31" ht="18" x14ac:dyDescent="0.15">
      <c r="B191" s="441" t="s">
        <v>374</v>
      </c>
      <c r="C191" s="436">
        <v>108502.5</v>
      </c>
      <c r="D191" s="442">
        <v>12</v>
      </c>
      <c r="E191" s="443">
        <f t="shared" si="159"/>
        <v>1302030</v>
      </c>
      <c r="G191" s="444">
        <f>6920.2*12</f>
        <v>83042.399999999994</v>
      </c>
      <c r="I191" s="443">
        <f t="shared" si="160"/>
        <v>1218987.6000000001</v>
      </c>
      <c r="J191" s="424">
        <v>200000</v>
      </c>
      <c r="K191" s="424">
        <v>0.2</v>
      </c>
      <c r="L191" s="424">
        <f t="shared" si="161"/>
        <v>243797.52</v>
      </c>
      <c r="M191" s="424">
        <f t="shared" si="162"/>
        <v>443797.52</v>
      </c>
      <c r="N191" s="424">
        <f t="shared" si="163"/>
        <v>526839.92000000004</v>
      </c>
      <c r="O191" s="424">
        <f t="shared" si="164"/>
        <v>775190.08</v>
      </c>
      <c r="P191" s="424">
        <f t="shared" si="165"/>
        <v>21000</v>
      </c>
      <c r="Q191" s="424">
        <f t="shared" si="166"/>
        <v>33000</v>
      </c>
      <c r="R191" s="424">
        <f t="shared" si="167"/>
        <v>26278.511999999999</v>
      </c>
      <c r="S191" s="424">
        <f t="shared" si="168"/>
        <v>0</v>
      </c>
      <c r="T191" s="424">
        <f t="shared" si="169"/>
        <v>0</v>
      </c>
      <c r="V191" s="424">
        <f t="shared" si="171"/>
        <v>80278.512000000002</v>
      </c>
      <c r="W191" s="431">
        <v>12</v>
      </c>
      <c r="X191" s="424">
        <f t="shared" si="172"/>
        <v>6689.8760000000002</v>
      </c>
      <c r="Z191" s="424">
        <f t="shared" si="173"/>
        <v>6689.8760000000002</v>
      </c>
      <c r="AA191" s="436">
        <v>3511.7966226666699</v>
      </c>
      <c r="AB191" s="436">
        <f t="shared" si="174"/>
        <v>3178.0793773333298</v>
      </c>
    </row>
    <row r="192" spans="1:31" ht="18" x14ac:dyDescent="0.15">
      <c r="B192" s="441" t="s">
        <v>377</v>
      </c>
      <c r="C192" s="445">
        <v>108502.5</v>
      </c>
      <c r="D192" s="442">
        <v>12</v>
      </c>
      <c r="E192" s="443">
        <f t="shared" si="159"/>
        <v>1302030</v>
      </c>
      <c r="F192" s="446"/>
      <c r="G192" s="444">
        <f>6920.2*12</f>
        <v>83042.399999999994</v>
      </c>
      <c r="H192" s="446"/>
      <c r="I192" s="443">
        <f t="shared" si="160"/>
        <v>1218987.6000000001</v>
      </c>
      <c r="J192" s="443">
        <v>200000</v>
      </c>
      <c r="K192" s="443">
        <v>0.2</v>
      </c>
      <c r="L192" s="443">
        <f t="shared" si="161"/>
        <v>243797.52</v>
      </c>
      <c r="M192" s="443">
        <f t="shared" si="162"/>
        <v>443797.52</v>
      </c>
      <c r="N192" s="443">
        <f t="shared" si="163"/>
        <v>526839.92000000004</v>
      </c>
      <c r="O192" s="443">
        <f t="shared" si="164"/>
        <v>775190.08</v>
      </c>
      <c r="P192" s="443">
        <f t="shared" si="165"/>
        <v>21000</v>
      </c>
      <c r="Q192" s="443">
        <f t="shared" si="166"/>
        <v>33000</v>
      </c>
      <c r="R192" s="443">
        <f t="shared" si="167"/>
        <v>26278.511999999999</v>
      </c>
      <c r="S192" s="443">
        <f t="shared" si="168"/>
        <v>0</v>
      </c>
      <c r="T192" s="443">
        <f t="shared" si="169"/>
        <v>0</v>
      </c>
      <c r="V192" s="443">
        <f t="shared" si="171"/>
        <v>80278.512000000002</v>
      </c>
      <c r="W192" s="457">
        <v>12</v>
      </c>
      <c r="X192" s="443">
        <f t="shared" si="172"/>
        <v>6689.8760000000002</v>
      </c>
      <c r="Z192" s="443">
        <f t="shared" si="173"/>
        <v>6689.8760000000002</v>
      </c>
      <c r="AA192" s="436">
        <v>3511.7966226666699</v>
      </c>
      <c r="AB192" s="436">
        <f t="shared" si="174"/>
        <v>3178.0793773333298</v>
      </c>
    </row>
    <row r="193" spans="2:28" ht="35.25" customHeight="1" x14ac:dyDescent="0.2">
      <c r="B193" s="6" t="s">
        <v>650</v>
      </c>
      <c r="C193" s="571">
        <f>SUM(C6:C192)</f>
        <v>71132716.639271602</v>
      </c>
      <c r="D193" s="572"/>
      <c r="E193" s="426"/>
      <c r="F193" s="573">
        <f>SUM(F6:F192)</f>
        <v>276375.74699999997</v>
      </c>
      <c r="G193" s="573">
        <f>SUM(G6:G192)</f>
        <v>56238065.283200003</v>
      </c>
      <c r="H193" s="574"/>
      <c r="I193" s="574"/>
      <c r="J193" s="574"/>
      <c r="K193" s="574"/>
      <c r="L193" s="574"/>
      <c r="M193" s="574"/>
      <c r="N193" s="574"/>
      <c r="O193" s="574"/>
      <c r="P193" s="574"/>
      <c r="Q193" s="574"/>
      <c r="R193" s="574"/>
      <c r="S193" s="574"/>
      <c r="T193" s="574"/>
      <c r="U193" s="574"/>
      <c r="V193" s="573">
        <f>SUM(V6:V192)</f>
        <v>116900305.455643</v>
      </c>
      <c r="W193" s="573"/>
      <c r="X193" s="573">
        <f>SUM(X6:X192)</f>
        <v>9741692.1213036198</v>
      </c>
      <c r="Y193" s="573"/>
      <c r="Z193" s="573">
        <f>SUM(Z6:Z192)</f>
        <v>9741692.1213036198</v>
      </c>
      <c r="AA193" s="574"/>
      <c r="AB193" s="574"/>
    </row>
    <row r="194" spans="2:28" ht="26.25" customHeight="1" x14ac:dyDescent="0.2">
      <c r="B194" s="28" t="s">
        <v>651</v>
      </c>
      <c r="C194" s="571"/>
      <c r="D194" s="572"/>
      <c r="E194" s="572"/>
      <c r="F194" s="575">
        <f>F193/12</f>
        <v>23031.312249999999</v>
      </c>
      <c r="G194" s="575">
        <f>G193/12</f>
        <v>4686505.4402666604</v>
      </c>
      <c r="H194" s="574"/>
      <c r="I194" s="574"/>
      <c r="J194" s="574"/>
      <c r="K194" s="574"/>
      <c r="L194" s="574"/>
      <c r="M194" s="574"/>
      <c r="N194" s="574"/>
      <c r="O194" s="574"/>
      <c r="P194" s="574"/>
      <c r="Q194" s="574"/>
      <c r="R194" s="574"/>
      <c r="S194" s="574"/>
      <c r="T194" s="574"/>
      <c r="U194" s="574"/>
      <c r="V194" s="575">
        <f>V193/12</f>
        <v>9741692.1213035993</v>
      </c>
      <c r="W194" s="572"/>
      <c r="X194" s="572"/>
      <c r="Y194" s="572"/>
      <c r="Z194" s="572"/>
      <c r="AA194" s="574"/>
      <c r="AB194" s="574"/>
    </row>
    <row r="195" spans="2:28" ht="18" x14ac:dyDescent="0.2">
      <c r="B195" s="31"/>
      <c r="C195" s="436"/>
      <c r="F195" s="455"/>
    </row>
    <row r="196" spans="2:28" x14ac:dyDescent="0.15">
      <c r="F196" s="456"/>
      <c r="Z196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"/>
  <sheetViews>
    <sheetView workbookViewId="0"/>
  </sheetViews>
  <sheetFormatPr defaultColWidth="8.76171875" defaultRowHeight="12.75" x14ac:dyDescent="0.1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4:M8"/>
  <sheetViews>
    <sheetView workbookViewId="0">
      <selection activeCell="G10" sqref="G10"/>
    </sheetView>
  </sheetViews>
  <sheetFormatPr defaultColWidth="9.03515625" defaultRowHeight="12.75" x14ac:dyDescent="0.15"/>
  <cols>
    <col min="1" max="1" width="5.52734375" customWidth="1"/>
    <col min="2" max="2" width="18.33984375" customWidth="1"/>
    <col min="3" max="3" width="17.125" customWidth="1"/>
    <col min="4" max="4" width="10.11328125" customWidth="1"/>
    <col min="5" max="5" width="14.96875" customWidth="1"/>
    <col min="6" max="6" width="12.67578125" customWidth="1"/>
    <col min="7" max="7" width="11.59375" customWidth="1"/>
    <col min="8" max="8" width="15.23828125" customWidth="1"/>
    <col min="9" max="9" width="14.42578125" customWidth="1"/>
    <col min="10" max="10" width="14.15625" customWidth="1"/>
    <col min="11" max="11" width="17.39453125" customWidth="1"/>
    <col min="12" max="12" width="16.046875" customWidth="1"/>
  </cols>
  <sheetData>
    <row r="4" spans="1:13" s="1" customFormat="1" ht="49.5" customHeight="1" x14ac:dyDescent="0.2">
      <c r="B4" s="642" t="s">
        <v>2</v>
      </c>
      <c r="C4" s="643" t="s">
        <v>3</v>
      </c>
      <c r="D4" s="644" t="s">
        <v>4</v>
      </c>
      <c r="E4" s="636" t="s">
        <v>5</v>
      </c>
      <c r="F4" s="636" t="s">
        <v>7</v>
      </c>
      <c r="G4" s="636" t="s">
        <v>8</v>
      </c>
      <c r="H4" s="645" t="s">
        <v>9</v>
      </c>
      <c r="I4" s="636" t="s">
        <v>730</v>
      </c>
      <c r="J4" s="636" t="s">
        <v>16</v>
      </c>
      <c r="K4" s="646" t="s">
        <v>17</v>
      </c>
      <c r="L4" s="647" t="s">
        <v>731</v>
      </c>
    </row>
    <row r="5" spans="1:13" s="1" customFormat="1" ht="37.5" customHeight="1" x14ac:dyDescent="0.2">
      <c r="A5" s="1">
        <v>1</v>
      </c>
      <c r="B5" s="313" t="s">
        <v>365</v>
      </c>
      <c r="C5" s="68" t="s">
        <v>363</v>
      </c>
      <c r="D5" s="13" t="s">
        <v>368</v>
      </c>
      <c r="E5" s="70">
        <v>83955</v>
      </c>
      <c r="F5" s="186">
        <f>20000</f>
        <v>20000</v>
      </c>
      <c r="G5" s="70">
        <f>4000+3000</f>
        <v>7000</v>
      </c>
      <c r="H5" s="466">
        <f>SUM(E5:G5)</f>
        <v>110955</v>
      </c>
      <c r="I5" s="70">
        <v>5719.04</v>
      </c>
      <c r="J5" s="70"/>
      <c r="K5" s="467">
        <v>5719.04</v>
      </c>
      <c r="L5" s="466">
        <f>H5-K5</f>
        <v>105235.96</v>
      </c>
      <c r="M5" s="11"/>
    </row>
    <row r="6" spans="1:13" ht="27.75" x14ac:dyDescent="0.2">
      <c r="B6" s="313" t="s">
        <v>732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6">
        <f>SUM(E6:G6)*(12/31)</f>
        <v>42950.322580645203</v>
      </c>
      <c r="I6" s="70">
        <v>3127.74</v>
      </c>
      <c r="J6" s="70">
        <v>0</v>
      </c>
      <c r="K6" s="467">
        <v>3127.74</v>
      </c>
      <c r="L6" s="466">
        <f t="shared" ref="L6:L7" si="1">H6-K6</f>
        <v>39822.582580645198</v>
      </c>
    </row>
    <row r="7" spans="1:13" ht="27.75" x14ac:dyDescent="0.2">
      <c r="A7" s="1">
        <v>2</v>
      </c>
      <c r="B7" s="313" t="s">
        <v>91</v>
      </c>
      <c r="C7" s="68" t="s">
        <v>78</v>
      </c>
      <c r="D7" s="13" t="s">
        <v>733</v>
      </c>
      <c r="E7" s="70">
        <v>255849</v>
      </c>
      <c r="F7" s="186">
        <v>60000</v>
      </c>
      <c r="G7" s="70"/>
      <c r="H7" s="466">
        <f>SUM(E7:G7)</f>
        <v>315849</v>
      </c>
      <c r="I7" s="70">
        <f>36790.6881</f>
        <v>36790.688099999999</v>
      </c>
      <c r="J7" s="70">
        <f>'JULY 2025'!Q34</f>
        <v>27096.9333333334</v>
      </c>
      <c r="K7" s="467">
        <f>I7+J7</f>
        <v>63887.621433333399</v>
      </c>
      <c r="L7" s="466">
        <f t="shared" si="1"/>
        <v>251961.378566667</v>
      </c>
    </row>
    <row r="8" spans="1:13" ht="28.5" customHeight="1" x14ac:dyDescent="0.2">
      <c r="A8" s="1"/>
      <c r="B8" s="20" t="s">
        <v>111</v>
      </c>
      <c r="C8" s="10"/>
      <c r="D8" s="13"/>
      <c r="E8" s="70"/>
      <c r="F8" s="186"/>
      <c r="G8" s="70"/>
      <c r="H8" s="466"/>
      <c r="I8" s="70"/>
      <c r="J8" s="70"/>
      <c r="K8" s="467"/>
      <c r="L8" s="473">
        <f>SUM(L6:L7)</f>
        <v>291783.96114731202</v>
      </c>
    </row>
  </sheetData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7"/>
  <sheetViews>
    <sheetView topLeftCell="A7" workbookViewId="0">
      <selection activeCell="D15" sqref="D15"/>
    </sheetView>
  </sheetViews>
  <sheetFormatPr defaultColWidth="9.03515625" defaultRowHeight="12.75" x14ac:dyDescent="0.15"/>
  <cols>
    <col min="1" max="1" width="6.06640625" customWidth="1"/>
    <col min="2" max="2" width="28.31640625" customWidth="1"/>
    <col min="3" max="3" width="13.6171875" customWidth="1"/>
    <col min="4" max="4" width="16.046875" customWidth="1"/>
    <col min="5" max="5" width="12.5390625" customWidth="1"/>
    <col min="6" max="6" width="14.96875" customWidth="1"/>
    <col min="7" max="7" width="12.26953125" customWidth="1"/>
  </cols>
  <sheetData>
    <row r="1" spans="1:6" ht="27.95" customHeight="1" x14ac:dyDescent="0.2">
      <c r="A1" s="962" t="s">
        <v>734</v>
      </c>
      <c r="B1" s="962"/>
      <c r="C1" s="962"/>
      <c r="D1" s="962"/>
      <c r="E1" s="962"/>
      <c r="F1" s="962"/>
    </row>
    <row r="2" spans="1:6" ht="48.95" customHeight="1" x14ac:dyDescent="0.2">
      <c r="A2" s="55" t="s">
        <v>21</v>
      </c>
      <c r="B2" s="40" t="s">
        <v>501</v>
      </c>
      <c r="C2" s="640" t="s">
        <v>4</v>
      </c>
      <c r="D2" s="225" t="s">
        <v>735</v>
      </c>
      <c r="E2" s="225" t="s">
        <v>736</v>
      </c>
      <c r="F2" s="225" t="s">
        <v>737</v>
      </c>
    </row>
    <row r="3" spans="1:6" ht="30" customHeight="1" x14ac:dyDescent="0.2">
      <c r="A3" s="45">
        <v>1</v>
      </c>
      <c r="B3" s="41" t="s">
        <v>738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 x14ac:dyDescent="0.2">
      <c r="A4" s="45">
        <v>2</v>
      </c>
      <c r="B4" s="164" t="s">
        <v>739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 x14ac:dyDescent="0.2">
      <c r="A5" s="45">
        <v>3</v>
      </c>
      <c r="B5" s="164" t="s">
        <v>740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 x14ac:dyDescent="0.2">
      <c r="A6" s="45">
        <v>4</v>
      </c>
      <c r="B6" s="164" t="s">
        <v>741</v>
      </c>
      <c r="C6" s="927" t="s">
        <v>589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 x14ac:dyDescent="0.2">
      <c r="A7" s="45">
        <v>5</v>
      </c>
      <c r="B7" s="164" t="s">
        <v>742</v>
      </c>
      <c r="C7" s="927" t="s">
        <v>591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 x14ac:dyDescent="0.2">
      <c r="A8" s="45">
        <v>6</v>
      </c>
      <c r="B8" s="164" t="s">
        <v>743</v>
      </c>
      <c r="C8" s="927" t="s">
        <v>591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 x14ac:dyDescent="0.2">
      <c r="A9" s="45">
        <v>7</v>
      </c>
      <c r="B9" s="41" t="s">
        <v>744</v>
      </c>
      <c r="C9" s="927" t="s">
        <v>591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 x14ac:dyDescent="0.2">
      <c r="A10" s="45">
        <v>8</v>
      </c>
      <c r="B10" s="164" t="s">
        <v>745</v>
      </c>
      <c r="C10" s="927" t="s">
        <v>591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 x14ac:dyDescent="0.2">
      <c r="A11" s="41"/>
      <c r="B11" s="40" t="s">
        <v>111</v>
      </c>
      <c r="C11" s="40"/>
      <c r="D11" s="641">
        <f>SUM(D3:D10)</f>
        <v>4760000</v>
      </c>
      <c r="E11" s="641">
        <f t="shared" ref="E11:F11" si="3">SUM(E3:E10)</f>
        <v>725370.68</v>
      </c>
      <c r="F11" s="641">
        <f t="shared" si="3"/>
        <v>4034629.32</v>
      </c>
    </row>
    <row r="14" spans="1:6" ht="47.25" x14ac:dyDescent="0.2">
      <c r="A14" s="55" t="s">
        <v>21</v>
      </c>
      <c r="B14" s="40" t="s">
        <v>501</v>
      </c>
      <c r="C14" s="640" t="s">
        <v>4</v>
      </c>
      <c r="D14" s="225" t="s">
        <v>735</v>
      </c>
      <c r="E14" s="225" t="s">
        <v>736</v>
      </c>
      <c r="F14" s="225" t="s">
        <v>737</v>
      </c>
    </row>
    <row r="15" spans="1:6" ht="31.5" x14ac:dyDescent="0.2">
      <c r="B15" s="164" t="s">
        <v>746</v>
      </c>
      <c r="C15" s="927" t="s">
        <v>589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" x14ac:dyDescent="0.2">
      <c r="B16" s="164" t="s">
        <v>747</v>
      </c>
      <c r="C16" s="927" t="s">
        <v>595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" x14ac:dyDescent="0.2">
      <c r="B17" s="40" t="s">
        <v>111</v>
      </c>
      <c r="C17" s="40"/>
      <c r="D17" s="641">
        <f>SUM(D15:D16)</f>
        <v>840000</v>
      </c>
      <c r="E17" s="641">
        <f t="shared" ref="E17:F17" si="8">SUM(E15:E16)</f>
        <v>117459.55</v>
      </c>
      <c r="F17" s="641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9"/>
  <sheetViews>
    <sheetView topLeftCell="D1" workbookViewId="0">
      <selection activeCell="N5" sqref="N5:N7"/>
    </sheetView>
  </sheetViews>
  <sheetFormatPr defaultColWidth="9.03515625" defaultRowHeight="12.75" x14ac:dyDescent="0.15"/>
  <cols>
    <col min="1" max="1" width="4.3125" customWidth="1"/>
    <col min="2" max="2" width="23.19140625" customWidth="1"/>
    <col min="3" max="3" width="19.41796875" customWidth="1"/>
    <col min="4" max="4" width="14.5625" customWidth="1"/>
    <col min="5" max="5" width="15.5078125" customWidth="1"/>
    <col min="6" max="6" width="14.5625" customWidth="1"/>
    <col min="7" max="7" width="12.26953125" customWidth="1"/>
    <col min="8" max="8" width="15.5078125" customWidth="1"/>
    <col min="9" max="9" width="13.21484375" customWidth="1"/>
    <col min="10" max="10" width="9.84375" customWidth="1"/>
    <col min="11" max="11" width="14.15625" customWidth="1"/>
    <col min="12" max="12" width="14.83203125" customWidth="1"/>
    <col min="13" max="13" width="13.6171875" customWidth="1"/>
    <col min="14" max="14" width="16.1796875" customWidth="1"/>
  </cols>
  <sheetData>
    <row r="1" spans="1:14" ht="45" customHeight="1" x14ac:dyDescent="0.15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748</v>
      </c>
      <c r="F1" s="625" t="s">
        <v>749</v>
      </c>
      <c r="G1" s="625" t="s">
        <v>709</v>
      </c>
      <c r="H1" s="625" t="s">
        <v>9</v>
      </c>
      <c r="I1" s="963" t="s">
        <v>400</v>
      </c>
      <c r="J1" s="963"/>
      <c r="K1" s="963"/>
      <c r="L1" s="963"/>
      <c r="M1" s="963"/>
      <c r="N1" s="964" t="s">
        <v>750</v>
      </c>
    </row>
    <row r="2" spans="1:14" ht="54.95" customHeight="1" x14ac:dyDescent="0.15">
      <c r="A2" s="624"/>
      <c r="B2" s="75"/>
      <c r="C2" s="75"/>
      <c r="D2" s="75"/>
      <c r="E2" s="75"/>
      <c r="F2" s="625"/>
      <c r="G2" s="625"/>
      <c r="H2" s="75"/>
      <c r="I2" s="636" t="s">
        <v>751</v>
      </c>
      <c r="J2" s="636" t="s">
        <v>752</v>
      </c>
      <c r="K2" s="636" t="s">
        <v>753</v>
      </c>
      <c r="L2" s="636" t="s">
        <v>754</v>
      </c>
      <c r="M2" s="636" t="s">
        <v>17</v>
      </c>
      <c r="N2" s="964"/>
    </row>
    <row r="3" spans="1:14" ht="18" x14ac:dyDescent="0.2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" x14ac:dyDescent="0.2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18" x14ac:dyDescent="0.2">
      <c r="A5" s="2">
        <v>1</v>
      </c>
      <c r="B5" s="9" t="s">
        <v>755</v>
      </c>
      <c r="C5" s="41" t="s">
        <v>756</v>
      </c>
      <c r="D5" s="45" t="s">
        <v>108</v>
      </c>
      <c r="E5" s="630">
        <f>'[4]Annual &amp; Monthly'!$H$36</f>
        <v>218287.58333333299</v>
      </c>
      <c r="F5" s="631">
        <v>50000</v>
      </c>
      <c r="G5" s="631"/>
      <c r="H5" s="632">
        <f t="shared" ref="H5:H8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8" si="1">H5-M5</f>
        <v>221519.38112000001</v>
      </c>
    </row>
    <row r="6" spans="1:14" ht="18" x14ac:dyDescent="0.2">
      <c r="A6" s="2">
        <v>2</v>
      </c>
      <c r="B6" s="9" t="s">
        <v>757</v>
      </c>
      <c r="C6" s="41" t="s">
        <v>758</v>
      </c>
      <c r="D6" s="45" t="s">
        <v>108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7" si="2">218287.583333333*0.08</f>
        <v>17463.006666666599</v>
      </c>
      <c r="M6" s="639">
        <f t="shared" ref="M6:M8" si="3">I6+J6+K6+L6</f>
        <v>46768.202213333301</v>
      </c>
      <c r="N6" s="633">
        <f t="shared" si="1"/>
        <v>221519.38112000001</v>
      </c>
    </row>
    <row r="7" spans="1:14" ht="18" x14ac:dyDescent="0.2">
      <c r="A7" s="2">
        <v>3</v>
      </c>
      <c r="B7" s="9" t="s">
        <v>759</v>
      </c>
      <c r="C7" s="41" t="s">
        <v>760</v>
      </c>
      <c r="D7" s="45" t="s">
        <v>108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19.5" customHeight="1" x14ac:dyDescent="0.2">
      <c r="A8" s="2">
        <v>5</v>
      </c>
      <c r="B8" s="9" t="s">
        <v>761</v>
      </c>
      <c r="C8" s="9" t="s">
        <v>762</v>
      </c>
      <c r="D8" s="8" t="s">
        <v>49</v>
      </c>
      <c r="E8" s="70">
        <v>582118.08333333302</v>
      </c>
      <c r="F8" s="70">
        <v>160000</v>
      </c>
      <c r="G8" s="186"/>
      <c r="H8" s="633">
        <f t="shared" si="0"/>
        <v>742118.08333333302</v>
      </c>
      <c r="J8" s="70"/>
      <c r="K8" s="70">
        <v>112212.004906667</v>
      </c>
      <c r="L8" s="70">
        <v>46569.446666666699</v>
      </c>
      <c r="M8" s="639">
        <f t="shared" si="3"/>
        <v>158781.45157333399</v>
      </c>
      <c r="N8" s="633">
        <f t="shared" si="1"/>
        <v>583336.63175999897</v>
      </c>
    </row>
    <row r="9" spans="1:14" ht="24" customHeight="1" x14ac:dyDescent="0.2">
      <c r="A9" s="8"/>
      <c r="B9" s="634" t="s">
        <v>111</v>
      </c>
      <c r="C9" s="18"/>
      <c r="D9" s="18"/>
      <c r="E9" s="635">
        <f t="shared" ref="E9:N9" si="4">SUM(E5:E8)</f>
        <v>1236980.83333333</v>
      </c>
      <c r="F9" s="635">
        <f t="shared" si="4"/>
        <v>310000</v>
      </c>
      <c r="G9" s="635">
        <f t="shared" si="4"/>
        <v>0</v>
      </c>
      <c r="H9" s="635">
        <f t="shared" si="4"/>
        <v>1546980.83333333</v>
      </c>
      <c r="I9" s="635">
        <f t="shared" si="4"/>
        <v>0</v>
      </c>
      <c r="J9" s="635">
        <f t="shared" si="4"/>
        <v>0</v>
      </c>
      <c r="K9" s="635">
        <f t="shared" si="4"/>
        <v>200127.59154666701</v>
      </c>
      <c r="L9" s="635">
        <f t="shared" si="4"/>
        <v>98958.466666666602</v>
      </c>
      <c r="M9" s="635">
        <f t="shared" si="4"/>
        <v>299086.05821333401</v>
      </c>
      <c r="N9" s="635">
        <f t="shared" si="4"/>
        <v>1247894.7751199999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10"/>
  <sheetViews>
    <sheetView workbookViewId="0">
      <selection activeCell="D10" sqref="D10"/>
    </sheetView>
  </sheetViews>
  <sheetFormatPr defaultColWidth="9.03515625" defaultRowHeight="12.75" x14ac:dyDescent="0.15"/>
  <cols>
    <col min="1" max="1" width="4.3125" customWidth="1"/>
    <col min="2" max="2" width="23.19140625" customWidth="1"/>
    <col min="3" max="3" width="19.41796875" customWidth="1"/>
    <col min="4" max="4" width="14.5625" customWidth="1"/>
    <col min="5" max="5" width="15.5078125" customWidth="1"/>
    <col min="6" max="6" width="14.5625" customWidth="1"/>
    <col min="7" max="7" width="12.26953125" customWidth="1"/>
    <col min="8" max="8" width="15.5078125" customWidth="1"/>
    <col min="9" max="9" width="13.21484375" customWidth="1"/>
    <col min="10" max="10" width="9.84375" customWidth="1"/>
    <col min="11" max="11" width="14.15625" customWidth="1"/>
    <col min="12" max="12" width="14.83203125" customWidth="1"/>
    <col min="13" max="13" width="13.6171875" customWidth="1"/>
    <col min="14" max="14" width="16.1796875" customWidth="1"/>
  </cols>
  <sheetData>
    <row r="1" spans="1:14" ht="45" customHeight="1" x14ac:dyDescent="0.15">
      <c r="A1" s="624" t="s">
        <v>21</v>
      </c>
      <c r="B1" s="75" t="s">
        <v>2</v>
      </c>
      <c r="C1" s="75" t="s">
        <v>3</v>
      </c>
      <c r="D1" s="625" t="s">
        <v>4</v>
      </c>
      <c r="E1" s="75" t="s">
        <v>748</v>
      </c>
      <c r="F1" s="625" t="s">
        <v>749</v>
      </c>
      <c r="G1" s="625" t="s">
        <v>709</v>
      </c>
      <c r="H1" s="625" t="s">
        <v>9</v>
      </c>
      <c r="I1" s="963" t="s">
        <v>400</v>
      </c>
      <c r="J1" s="963"/>
      <c r="K1" s="963"/>
      <c r="L1" s="963"/>
      <c r="M1" s="963"/>
      <c r="N1" s="964" t="s">
        <v>750</v>
      </c>
    </row>
    <row r="2" spans="1:14" ht="54.95" customHeight="1" x14ac:dyDescent="0.15">
      <c r="A2" s="624"/>
      <c r="B2" s="75"/>
      <c r="C2" s="75"/>
      <c r="D2" s="75"/>
      <c r="E2" s="75"/>
      <c r="F2" s="625"/>
      <c r="G2" s="625"/>
      <c r="H2" s="75"/>
      <c r="I2" s="636" t="s">
        <v>751</v>
      </c>
      <c r="J2" s="636" t="s">
        <v>752</v>
      </c>
      <c r="K2" s="636" t="s">
        <v>753</v>
      </c>
      <c r="L2" s="636" t="s">
        <v>754</v>
      </c>
      <c r="M2" s="636" t="s">
        <v>17</v>
      </c>
      <c r="N2" s="964"/>
    </row>
    <row r="3" spans="1:14" ht="18" x14ac:dyDescent="0.2">
      <c r="A3" s="7"/>
      <c r="B3" s="3"/>
      <c r="C3" s="3"/>
      <c r="D3" s="3"/>
      <c r="E3" s="3"/>
      <c r="F3" s="626"/>
      <c r="G3" s="626"/>
      <c r="H3" s="627"/>
      <c r="I3" s="626"/>
      <c r="J3" s="626"/>
      <c r="K3" s="626"/>
      <c r="L3" s="626"/>
      <c r="M3" s="626"/>
      <c r="N3" s="637"/>
    </row>
    <row r="4" spans="1:14" ht="18" x14ac:dyDescent="0.2">
      <c r="A4" s="2"/>
      <c r="B4" s="2"/>
      <c r="C4" s="2"/>
      <c r="D4" s="2"/>
      <c r="E4" s="628" t="s">
        <v>20</v>
      </c>
      <c r="F4" s="628" t="s">
        <v>20</v>
      </c>
      <c r="G4" s="628" t="s">
        <v>20</v>
      </c>
      <c r="H4" s="629" t="s">
        <v>20</v>
      </c>
      <c r="I4" s="628" t="s">
        <v>20</v>
      </c>
      <c r="J4" s="628" t="s">
        <v>20</v>
      </c>
      <c r="K4" s="628" t="s">
        <v>20</v>
      </c>
      <c r="L4" s="628" t="s">
        <v>20</v>
      </c>
      <c r="M4" s="628" t="s">
        <v>20</v>
      </c>
      <c r="N4" s="629" t="s">
        <v>20</v>
      </c>
    </row>
    <row r="5" spans="1:14" ht="18" x14ac:dyDescent="0.2">
      <c r="A5" s="2">
        <v>1</v>
      </c>
      <c r="B5" s="9" t="s">
        <v>755</v>
      </c>
      <c r="C5" s="41" t="s">
        <v>756</v>
      </c>
      <c r="D5" s="45" t="s">
        <v>108</v>
      </c>
      <c r="E5" s="630">
        <f>'[4]Annual &amp; Monthly'!$H$36</f>
        <v>218287.58333333299</v>
      </c>
      <c r="F5" s="631">
        <v>50000</v>
      </c>
      <c r="G5" s="631"/>
      <c r="H5" s="632">
        <f t="shared" ref="H5:H9" si="0">E5+F5+G5</f>
        <v>268287.58333333302</v>
      </c>
      <c r="I5" s="638"/>
      <c r="J5" s="638"/>
      <c r="K5" s="638">
        <v>29305.195546666699</v>
      </c>
      <c r="L5" s="639">
        <v>17463.006666666599</v>
      </c>
      <c r="M5" s="639">
        <f>I5+J5+K5+L5</f>
        <v>46768.202213333301</v>
      </c>
      <c r="N5" s="633">
        <f t="shared" ref="N5:N9" si="1">H5-M5</f>
        <v>221519.38112000001</v>
      </c>
    </row>
    <row r="6" spans="1:14" ht="18" x14ac:dyDescent="0.2">
      <c r="A6" s="2">
        <v>2</v>
      </c>
      <c r="B6" s="9" t="s">
        <v>757</v>
      </c>
      <c r="C6" s="41" t="s">
        <v>758</v>
      </c>
      <c r="D6" s="45" t="s">
        <v>108</v>
      </c>
      <c r="E6" s="630">
        <f>'[4]Annual &amp; Monthly'!$H$36</f>
        <v>218287.58333333299</v>
      </c>
      <c r="F6" s="631">
        <v>50000</v>
      </c>
      <c r="G6" s="631"/>
      <c r="H6" s="633">
        <f t="shared" si="0"/>
        <v>268287.58333333302</v>
      </c>
      <c r="I6" s="638"/>
      <c r="J6" s="638"/>
      <c r="K6" s="638">
        <v>29305.195546666699</v>
      </c>
      <c r="L6" s="639">
        <f t="shared" ref="L6:L8" si="2">218287.583333333*0.08</f>
        <v>17463.006666666599</v>
      </c>
      <c r="M6" s="639">
        <f t="shared" ref="M6:M9" si="3">I6+J6+K6+L6</f>
        <v>46768.202213333301</v>
      </c>
      <c r="N6" s="633">
        <f t="shared" si="1"/>
        <v>221519.38112000001</v>
      </c>
    </row>
    <row r="7" spans="1:14" ht="18" x14ac:dyDescent="0.2">
      <c r="A7" s="2">
        <v>3</v>
      </c>
      <c r="B7" s="9" t="s">
        <v>759</v>
      </c>
      <c r="C7" s="41" t="s">
        <v>760</v>
      </c>
      <c r="D7" s="45" t="s">
        <v>108</v>
      </c>
      <c r="E7" s="630">
        <f>'[4]Annual &amp; Monthly'!$H$36</f>
        <v>218287.58333333299</v>
      </c>
      <c r="F7" s="631">
        <v>50000</v>
      </c>
      <c r="G7" s="631"/>
      <c r="H7" s="633">
        <f t="shared" si="0"/>
        <v>268287.58333333302</v>
      </c>
      <c r="I7" s="638"/>
      <c r="J7" s="638"/>
      <c r="K7" s="638">
        <v>29305.195546666699</v>
      </c>
      <c r="L7" s="639">
        <f t="shared" si="2"/>
        <v>17463.006666666599</v>
      </c>
      <c r="M7" s="639">
        <f t="shared" si="3"/>
        <v>46768.202213333301</v>
      </c>
      <c r="N7" s="633">
        <f t="shared" si="1"/>
        <v>221519.38112000001</v>
      </c>
    </row>
    <row r="8" spans="1:14" ht="18" x14ac:dyDescent="0.2">
      <c r="A8" s="2">
        <v>4</v>
      </c>
      <c r="B8" s="9" t="s">
        <v>763</v>
      </c>
      <c r="C8" s="41" t="s">
        <v>764</v>
      </c>
      <c r="D8" s="45" t="s">
        <v>108</v>
      </c>
      <c r="E8" s="630">
        <f>'[4]Annual &amp; Monthly'!$H$36</f>
        <v>218287.58333333299</v>
      </c>
      <c r="F8" s="631">
        <v>50000</v>
      </c>
      <c r="G8" s="631"/>
      <c r="H8" s="633">
        <f t="shared" si="0"/>
        <v>268287.58333333302</v>
      </c>
      <c r="I8" s="638"/>
      <c r="J8" s="638"/>
      <c r="K8" s="638">
        <v>29305.195546666699</v>
      </c>
      <c r="L8" s="639">
        <f t="shared" si="2"/>
        <v>17463.006666666599</v>
      </c>
      <c r="M8" s="639">
        <f t="shared" si="3"/>
        <v>46768.202213333301</v>
      </c>
      <c r="N8" s="633">
        <f t="shared" si="1"/>
        <v>221519.38112000001</v>
      </c>
    </row>
    <row r="9" spans="1:14" ht="19.5" customHeight="1" x14ac:dyDescent="0.2">
      <c r="A9" s="2">
        <v>5</v>
      </c>
      <c r="B9" s="9" t="s">
        <v>761</v>
      </c>
      <c r="C9" s="9" t="s">
        <v>762</v>
      </c>
      <c r="D9" s="8" t="s">
        <v>49</v>
      </c>
      <c r="E9" s="70">
        <v>582118.08333333302</v>
      </c>
      <c r="F9" s="70">
        <v>160000</v>
      </c>
      <c r="G9" s="186"/>
      <c r="H9" s="633">
        <f t="shared" si="0"/>
        <v>742118.08333333302</v>
      </c>
      <c r="J9" s="70"/>
      <c r="K9" s="70">
        <v>112212.004906667</v>
      </c>
      <c r="L9" s="70">
        <v>46569.446666666699</v>
      </c>
      <c r="M9" s="639">
        <f t="shared" si="3"/>
        <v>158781.45157333399</v>
      </c>
      <c r="N9" s="633">
        <f t="shared" si="1"/>
        <v>583336.63175999897</v>
      </c>
    </row>
    <row r="10" spans="1:14" ht="24" customHeight="1" x14ac:dyDescent="0.2">
      <c r="A10" s="8"/>
      <c r="B10" s="634" t="s">
        <v>111</v>
      </c>
      <c r="C10" s="18"/>
      <c r="D10" s="18"/>
      <c r="E10" s="635">
        <f>SUM(E5:E9)</f>
        <v>1455268.41666667</v>
      </c>
      <c r="F10" s="635">
        <f t="shared" ref="F10:N10" si="4">SUM(F5:F9)</f>
        <v>360000</v>
      </c>
      <c r="G10" s="635">
        <f t="shared" si="4"/>
        <v>0</v>
      </c>
      <c r="H10" s="635">
        <f t="shared" si="4"/>
        <v>1815268.41666667</v>
      </c>
      <c r="I10" s="635">
        <f t="shared" si="4"/>
        <v>0</v>
      </c>
      <c r="J10" s="635">
        <f t="shared" si="4"/>
        <v>0</v>
      </c>
      <c r="K10" s="635">
        <f t="shared" si="4"/>
        <v>229432.78709333399</v>
      </c>
      <c r="L10" s="635">
        <f t="shared" si="4"/>
        <v>116421.47333333299</v>
      </c>
      <c r="M10" s="635">
        <f t="shared" si="4"/>
        <v>345854.260426667</v>
      </c>
      <c r="N10" s="635">
        <f t="shared" si="4"/>
        <v>1469414.1562399999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C25"/>
  <sheetViews>
    <sheetView topLeftCell="C4" workbookViewId="0">
      <selection activeCell="C6" sqref="C6"/>
    </sheetView>
  </sheetViews>
  <sheetFormatPr defaultColWidth="9.16796875" defaultRowHeight="12.75" x14ac:dyDescent="0.15"/>
  <cols>
    <col min="1" max="1" width="6.875" style="259" customWidth="1"/>
    <col min="2" max="2" width="39.1054687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259" customWidth="1"/>
    <col min="27" max="27" width="27.375" style="259" customWidth="1"/>
    <col min="28" max="16384" width="9.16796875" style="259"/>
  </cols>
  <sheetData>
    <row r="1" spans="1:29" ht="13.5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29" ht="13.5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29" ht="13.5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29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33" t="s">
        <v>521</v>
      </c>
    </row>
    <row r="5" spans="1:29" ht="18" x14ac:dyDescent="0.2">
      <c r="A5" s="421">
        <v>1</v>
      </c>
      <c r="B5" s="6"/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</row>
    <row r="6" spans="1:29" ht="18" x14ac:dyDescent="0.15">
      <c r="A6" s="421">
        <v>3</v>
      </c>
      <c r="B6" s="9" t="s">
        <v>765</v>
      </c>
      <c r="C6" s="422">
        <v>268287.58333333302</v>
      </c>
      <c r="D6" s="423">
        <v>12</v>
      </c>
      <c r="E6" s="424">
        <f>C6*D6</f>
        <v>3219451</v>
      </c>
      <c r="F6" s="424"/>
      <c r="G6" s="424">
        <v>209556.08</v>
      </c>
      <c r="H6" s="424"/>
      <c r="I6" s="424">
        <f t="shared" ref="I6:I13" si="0">E6-F6-G6-H6</f>
        <v>3009894.92</v>
      </c>
      <c r="J6" s="424">
        <v>200000</v>
      </c>
      <c r="K6" s="424">
        <v>0.2</v>
      </c>
      <c r="L6" s="424">
        <f t="shared" ref="L6:L13" si="1">I6*K6</f>
        <v>601978.98399999901</v>
      </c>
      <c r="M6" s="424">
        <f t="shared" ref="M6:M13" si="2">J6+L6</f>
        <v>801978.98399999901</v>
      </c>
      <c r="N6" s="424">
        <f t="shared" ref="N6:N13" si="3">F6+G6+H6+M6</f>
        <v>1011535.064</v>
      </c>
      <c r="O6" s="424">
        <f t="shared" ref="O6:O13" si="4">E6-N6</f>
        <v>2207915.9360000002</v>
      </c>
      <c r="P6" s="424">
        <f t="shared" ref="P6:P13" si="5">IF(O6&lt;300000,0.07*O6,21000)</f>
        <v>21000</v>
      </c>
      <c r="Q6" s="424">
        <f t="shared" ref="Q6:Q13" si="6">IF((O6-300000)&lt;0,0,IF((O6-300000)&lt;300000,0.11*(O6-300000),33000))</f>
        <v>33000</v>
      </c>
      <c r="R6" s="424">
        <f t="shared" ref="R6:R13" si="7">IF((O6-600000)&lt;0,0,IF((O6-600000)&lt;500000,0.15*(O6-600000),75000))</f>
        <v>75000</v>
      </c>
      <c r="S6" s="424">
        <f t="shared" ref="S6:S13" si="8">IF((O6-1100000)&lt;0,0,IF((O6-1100000)&lt;500000,0.19*(O6-1100000),95000))</f>
        <v>95000</v>
      </c>
      <c r="T6" s="424">
        <f t="shared" ref="T6:T13" si="9">IF((O6-1600000)&lt;0,0,IF((O6-1600000)&lt;1600000,0.21*(O6-1600000),336000))</f>
        <v>127662.346559999</v>
      </c>
      <c r="U6" s="424"/>
      <c r="V6" s="424">
        <f t="shared" ref="V6:V13" si="10">P6+Q6+R6+S6+T6+U6</f>
        <v>351662.34655999899</v>
      </c>
      <c r="W6" s="431">
        <v>12</v>
      </c>
      <c r="X6" s="424">
        <f t="shared" ref="X6:X13" si="11">V6/W6</f>
        <v>29305.1955466666</v>
      </c>
      <c r="Y6" s="424"/>
      <c r="Z6" s="435">
        <f t="shared" ref="Z6:Z13" si="12">X6</f>
        <v>29305.1955466666</v>
      </c>
      <c r="AA6" s="436"/>
      <c r="AB6" s="436"/>
      <c r="AC6" s="436"/>
    </row>
    <row r="7" spans="1:29" s="608" customFormat="1" ht="18" x14ac:dyDescent="0.15">
      <c r="A7" s="609">
        <v>4</v>
      </c>
      <c r="B7" s="9" t="s">
        <v>739</v>
      </c>
      <c r="C7" s="610">
        <v>460248.91666666698</v>
      </c>
      <c r="D7" s="611">
        <v>12</v>
      </c>
      <c r="E7" s="612">
        <f t="shared" ref="E7:E13" si="13">C7*D7</f>
        <v>5522987</v>
      </c>
      <c r="F7" s="612"/>
      <c r="G7" s="612">
        <v>374638.96</v>
      </c>
      <c r="H7" s="612"/>
      <c r="I7" s="612">
        <f t="shared" si="0"/>
        <v>5148348.04</v>
      </c>
      <c r="J7" s="612">
        <v>200000</v>
      </c>
      <c r="K7" s="612">
        <v>0.2</v>
      </c>
      <c r="L7" s="612">
        <f t="shared" si="1"/>
        <v>1029669.608</v>
      </c>
      <c r="M7" s="612">
        <f t="shared" si="2"/>
        <v>1229669.608</v>
      </c>
      <c r="N7" s="612">
        <f t="shared" si="3"/>
        <v>1604308.568</v>
      </c>
      <c r="O7" s="612">
        <f t="shared" si="4"/>
        <v>3918678.432</v>
      </c>
      <c r="P7" s="612">
        <f t="shared" si="5"/>
        <v>21000</v>
      </c>
      <c r="Q7" s="612">
        <f t="shared" si="6"/>
        <v>33000</v>
      </c>
      <c r="R7" s="612">
        <f t="shared" si="7"/>
        <v>75000</v>
      </c>
      <c r="S7" s="612">
        <f t="shared" si="8"/>
        <v>95000</v>
      </c>
      <c r="T7" s="612">
        <f t="shared" si="9"/>
        <v>336000</v>
      </c>
      <c r="U7" s="612">
        <f t="shared" ref="U7:U11" si="14">24%*(O7-3200000)</f>
        <v>172482.82368000099</v>
      </c>
      <c r="V7" s="612">
        <f t="shared" si="10"/>
        <v>732482.82368000096</v>
      </c>
      <c r="W7" s="622">
        <v>12</v>
      </c>
      <c r="X7" s="612">
        <f t="shared" si="11"/>
        <v>61040.235306666698</v>
      </c>
      <c r="Y7" s="612"/>
      <c r="Z7" s="435">
        <f t="shared" si="12"/>
        <v>61040.235306666698</v>
      </c>
      <c r="AA7" s="623"/>
      <c r="AB7" s="623"/>
      <c r="AC7" s="623"/>
    </row>
    <row r="8" spans="1:29" s="608" customFormat="1" ht="18" x14ac:dyDescent="0.15">
      <c r="A8" s="609">
        <v>5</v>
      </c>
      <c r="B8" s="9" t="s">
        <v>766</v>
      </c>
      <c r="C8" s="610">
        <v>315849</v>
      </c>
      <c r="D8" s="611">
        <v>12</v>
      </c>
      <c r="E8" s="612">
        <f t="shared" si="13"/>
        <v>3790188</v>
      </c>
      <c r="F8" s="612"/>
      <c r="G8" s="612">
        <v>245615.04</v>
      </c>
      <c r="H8" s="612"/>
      <c r="I8" s="612">
        <f t="shared" si="0"/>
        <v>3544572.96</v>
      </c>
      <c r="J8" s="612">
        <v>200000</v>
      </c>
      <c r="K8" s="612">
        <v>0.2</v>
      </c>
      <c r="L8" s="612">
        <f t="shared" si="1"/>
        <v>708914.59199999995</v>
      </c>
      <c r="M8" s="612">
        <f t="shared" si="2"/>
        <v>908914.59199999995</v>
      </c>
      <c r="N8" s="612">
        <f t="shared" si="3"/>
        <v>1154529.632</v>
      </c>
      <c r="O8" s="612">
        <f t="shared" si="4"/>
        <v>2635658.3679999998</v>
      </c>
      <c r="P8" s="612">
        <f t="shared" si="5"/>
        <v>21000</v>
      </c>
      <c r="Q8" s="612">
        <f t="shared" si="6"/>
        <v>33000</v>
      </c>
      <c r="R8" s="612">
        <f t="shared" si="7"/>
        <v>75000</v>
      </c>
      <c r="S8" s="612">
        <f t="shared" si="8"/>
        <v>95000</v>
      </c>
      <c r="T8" s="612">
        <f t="shared" si="9"/>
        <v>217488.25727999999</v>
      </c>
      <c r="U8" s="612"/>
      <c r="V8" s="612">
        <f t="shared" si="10"/>
        <v>441488.25728000002</v>
      </c>
      <c r="W8" s="622">
        <v>12</v>
      </c>
      <c r="X8" s="612">
        <f t="shared" si="11"/>
        <v>36790.688106666697</v>
      </c>
      <c r="Y8" s="612"/>
      <c r="Z8" s="435">
        <f t="shared" si="12"/>
        <v>36790.688106666697</v>
      </c>
      <c r="AA8" s="623"/>
      <c r="AB8" s="623"/>
      <c r="AC8" s="623"/>
    </row>
    <row r="9" spans="1:29" ht="18" x14ac:dyDescent="0.15">
      <c r="A9" s="421">
        <v>6</v>
      </c>
      <c r="B9" s="9" t="s">
        <v>767</v>
      </c>
      <c r="C9" s="422">
        <v>268287.58333333302</v>
      </c>
      <c r="D9" s="423">
        <v>12</v>
      </c>
      <c r="E9" s="424">
        <f t="shared" si="13"/>
        <v>3219451</v>
      </c>
      <c r="F9" s="424"/>
      <c r="G9" s="424">
        <v>209556.08</v>
      </c>
      <c r="H9" s="424"/>
      <c r="I9" s="424">
        <f t="shared" si="0"/>
        <v>3009894.92</v>
      </c>
      <c r="J9" s="424">
        <v>200000</v>
      </c>
      <c r="K9" s="424">
        <v>0.2</v>
      </c>
      <c r="L9" s="424">
        <f t="shared" si="1"/>
        <v>601978.98399999901</v>
      </c>
      <c r="M9" s="424">
        <f t="shared" si="2"/>
        <v>801978.98399999901</v>
      </c>
      <c r="N9" s="424">
        <f t="shared" si="3"/>
        <v>1011535.064</v>
      </c>
      <c r="O9" s="424">
        <f t="shared" si="4"/>
        <v>2207915.9360000002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127662.346559999</v>
      </c>
      <c r="U9" s="424"/>
      <c r="V9" s="424">
        <f t="shared" si="10"/>
        <v>351662.34655999899</v>
      </c>
      <c r="W9" s="431">
        <v>12</v>
      </c>
      <c r="X9" s="424">
        <f t="shared" si="11"/>
        <v>29305.1955466666</v>
      </c>
      <c r="Y9" s="424"/>
      <c r="Z9" s="435">
        <f t="shared" si="12"/>
        <v>29305.1955466666</v>
      </c>
      <c r="AA9" s="436"/>
      <c r="AB9" s="436"/>
      <c r="AC9" s="436"/>
    </row>
    <row r="10" spans="1:29" s="608" customFormat="1" ht="18" x14ac:dyDescent="0.15">
      <c r="A10" s="609">
        <v>7</v>
      </c>
      <c r="B10" s="9" t="s">
        <v>768</v>
      </c>
      <c r="C10" s="610">
        <v>353029.66666666698</v>
      </c>
      <c r="D10" s="611">
        <v>12</v>
      </c>
      <c r="E10" s="612">
        <f t="shared" si="13"/>
        <v>4236356</v>
      </c>
      <c r="F10" s="612"/>
      <c r="G10" s="612">
        <v>281308.48</v>
      </c>
      <c r="H10" s="612"/>
      <c r="I10" s="612">
        <f t="shared" si="0"/>
        <v>3955047.52</v>
      </c>
      <c r="J10" s="612">
        <v>200000</v>
      </c>
      <c r="K10" s="612">
        <v>0.2</v>
      </c>
      <c r="L10" s="612">
        <f t="shared" si="1"/>
        <v>791009.504000001</v>
      </c>
      <c r="M10" s="612">
        <f t="shared" si="2"/>
        <v>991009.504000001</v>
      </c>
      <c r="N10" s="612">
        <f t="shared" si="3"/>
        <v>1272317.9839999999</v>
      </c>
      <c r="O10" s="612">
        <f t="shared" si="4"/>
        <v>2964038.0159999998</v>
      </c>
      <c r="P10" s="612">
        <f t="shared" si="5"/>
        <v>21000</v>
      </c>
      <c r="Q10" s="612">
        <f t="shared" si="6"/>
        <v>33000</v>
      </c>
      <c r="R10" s="612">
        <f t="shared" si="7"/>
        <v>75000</v>
      </c>
      <c r="S10" s="612">
        <f t="shared" si="8"/>
        <v>95000</v>
      </c>
      <c r="T10" s="612">
        <f t="shared" si="9"/>
        <v>286447.983360001</v>
      </c>
      <c r="U10" s="612"/>
      <c r="V10" s="612">
        <f t="shared" si="10"/>
        <v>510447.983360001</v>
      </c>
      <c r="W10" s="622">
        <v>12</v>
      </c>
      <c r="X10" s="612">
        <f t="shared" si="11"/>
        <v>42537.331946666702</v>
      </c>
      <c r="Y10" s="612"/>
      <c r="Z10" s="435">
        <f t="shared" si="12"/>
        <v>42537.331946666702</v>
      </c>
      <c r="AA10" s="623"/>
      <c r="AB10" s="623"/>
      <c r="AC10" s="623"/>
    </row>
    <row r="11" spans="1:29" s="608" customFormat="1" ht="18" x14ac:dyDescent="0.15">
      <c r="A11" s="609">
        <v>8</v>
      </c>
      <c r="B11" s="9" t="s">
        <v>769</v>
      </c>
      <c r="C11" s="610">
        <v>510248.91666666698</v>
      </c>
      <c r="D11" s="611">
        <v>12</v>
      </c>
      <c r="E11" s="612">
        <f t="shared" si="13"/>
        <v>6122987</v>
      </c>
      <c r="F11" s="612"/>
      <c r="G11" s="612">
        <v>374638.96</v>
      </c>
      <c r="H11" s="612"/>
      <c r="I11" s="612">
        <f t="shared" si="0"/>
        <v>5748348.04</v>
      </c>
      <c r="J11" s="612">
        <v>200000</v>
      </c>
      <c r="K11" s="612">
        <v>0.2</v>
      </c>
      <c r="L11" s="612">
        <f t="shared" si="1"/>
        <v>1149669.608</v>
      </c>
      <c r="M11" s="612">
        <f t="shared" si="2"/>
        <v>1349669.608</v>
      </c>
      <c r="N11" s="612">
        <f t="shared" si="3"/>
        <v>1724308.568</v>
      </c>
      <c r="O11" s="612">
        <f t="shared" si="4"/>
        <v>4398678.432</v>
      </c>
      <c r="P11" s="612">
        <f t="shared" si="5"/>
        <v>21000</v>
      </c>
      <c r="Q11" s="612">
        <f t="shared" si="6"/>
        <v>33000</v>
      </c>
      <c r="R11" s="612">
        <f t="shared" si="7"/>
        <v>75000</v>
      </c>
      <c r="S11" s="612">
        <f t="shared" si="8"/>
        <v>95000</v>
      </c>
      <c r="T11" s="612">
        <f t="shared" si="9"/>
        <v>336000</v>
      </c>
      <c r="U11" s="612">
        <f t="shared" si="14"/>
        <v>287682.82368000102</v>
      </c>
      <c r="V11" s="612">
        <f t="shared" si="10"/>
        <v>847682.82368000096</v>
      </c>
      <c r="W11" s="622">
        <v>12</v>
      </c>
      <c r="X11" s="612">
        <f t="shared" si="11"/>
        <v>70640.235306666698</v>
      </c>
      <c r="Y11" s="612"/>
      <c r="Z11" s="435">
        <f t="shared" si="12"/>
        <v>70640.235306666698</v>
      </c>
      <c r="AA11" s="623"/>
      <c r="AB11" s="623"/>
      <c r="AC11" s="623"/>
    </row>
    <row r="12" spans="1:29" ht="18" x14ac:dyDescent="0.15">
      <c r="A12" s="421">
        <v>9</v>
      </c>
      <c r="B12" s="9" t="s">
        <v>744</v>
      </c>
      <c r="C12" s="422">
        <v>268287.58333333302</v>
      </c>
      <c r="D12" s="423">
        <v>12</v>
      </c>
      <c r="E12" s="424">
        <f t="shared" si="13"/>
        <v>3219451</v>
      </c>
      <c r="F12" s="424"/>
      <c r="G12" s="424">
        <v>209556.08</v>
      </c>
      <c r="H12" s="424"/>
      <c r="I12" s="424">
        <f t="shared" si="0"/>
        <v>3009894.92</v>
      </c>
      <c r="J12" s="424">
        <v>200000</v>
      </c>
      <c r="K12" s="424">
        <v>0.2</v>
      </c>
      <c r="L12" s="424">
        <f t="shared" si="1"/>
        <v>601978.98399999901</v>
      </c>
      <c r="M12" s="424">
        <f t="shared" si="2"/>
        <v>801978.98399999901</v>
      </c>
      <c r="N12" s="424">
        <f t="shared" si="3"/>
        <v>1011535.064</v>
      </c>
      <c r="O12" s="424">
        <f t="shared" si="4"/>
        <v>2207915.9360000002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127662.346559999</v>
      </c>
      <c r="U12" s="424"/>
      <c r="V12" s="424">
        <f t="shared" si="10"/>
        <v>351662.34655999899</v>
      </c>
      <c r="W12" s="431">
        <v>12</v>
      </c>
      <c r="X12" s="424">
        <f t="shared" si="11"/>
        <v>29305.1955466666</v>
      </c>
      <c r="Y12" s="424"/>
      <c r="Z12" s="435">
        <f t="shared" si="12"/>
        <v>29305.1955466666</v>
      </c>
      <c r="AA12" s="436"/>
      <c r="AB12" s="436"/>
      <c r="AC12" s="436"/>
    </row>
    <row r="13" spans="1:29" s="608" customFormat="1" ht="18" x14ac:dyDescent="0.15">
      <c r="A13" s="609">
        <v>10</v>
      </c>
      <c r="B13" s="9" t="s">
        <v>745</v>
      </c>
      <c r="C13" s="610">
        <v>268287.58333333302</v>
      </c>
      <c r="D13" s="611">
        <v>12</v>
      </c>
      <c r="E13" s="612">
        <f t="shared" si="13"/>
        <v>3219451</v>
      </c>
      <c r="F13" s="612"/>
      <c r="G13" s="612">
        <v>209556.08</v>
      </c>
      <c r="H13" s="612"/>
      <c r="I13" s="612">
        <f t="shared" si="0"/>
        <v>3009894.92</v>
      </c>
      <c r="J13" s="612">
        <v>200000</v>
      </c>
      <c r="K13" s="612">
        <v>0.2</v>
      </c>
      <c r="L13" s="612">
        <f t="shared" si="1"/>
        <v>601978.98399999901</v>
      </c>
      <c r="M13" s="612">
        <f t="shared" si="2"/>
        <v>801978.98399999901</v>
      </c>
      <c r="N13" s="612">
        <f t="shared" si="3"/>
        <v>1011535.064</v>
      </c>
      <c r="O13" s="612">
        <f t="shared" si="4"/>
        <v>2207915.9360000002</v>
      </c>
      <c r="P13" s="612">
        <f t="shared" si="5"/>
        <v>21000</v>
      </c>
      <c r="Q13" s="612">
        <f t="shared" si="6"/>
        <v>33000</v>
      </c>
      <c r="R13" s="612">
        <f t="shared" si="7"/>
        <v>75000</v>
      </c>
      <c r="S13" s="612">
        <f t="shared" si="8"/>
        <v>95000</v>
      </c>
      <c r="T13" s="612">
        <f t="shared" si="9"/>
        <v>127662.346559999</v>
      </c>
      <c r="U13" s="612"/>
      <c r="V13" s="612">
        <f t="shared" si="10"/>
        <v>351662.34655999899</v>
      </c>
      <c r="W13" s="622">
        <v>12</v>
      </c>
      <c r="X13" s="612">
        <f t="shared" si="11"/>
        <v>29305.1955466666</v>
      </c>
      <c r="Y13" s="612"/>
      <c r="Z13" s="435">
        <f t="shared" si="12"/>
        <v>29305.1955466666</v>
      </c>
      <c r="AA13" s="623"/>
      <c r="AB13" s="623"/>
      <c r="AC13" s="623"/>
    </row>
    <row r="14" spans="1:29" ht="26.25" customHeight="1" x14ac:dyDescent="0.2">
      <c r="B14" s="453" t="s">
        <v>651</v>
      </c>
      <c r="C14" s="448"/>
      <c r="D14" s="449"/>
      <c r="E14" s="449"/>
      <c r="F14" s="454"/>
      <c r="G14" s="454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4"/>
      <c r="W14" s="449"/>
      <c r="X14" s="449"/>
      <c r="Y14" s="449"/>
      <c r="Z14" s="451">
        <f>SUM(Z6:Z13)</f>
        <v>328229.27285333298</v>
      </c>
    </row>
    <row r="15" spans="1:29" ht="26.25" customHeight="1" x14ac:dyDescent="0.2">
      <c r="B15" s="613"/>
      <c r="C15" s="614"/>
      <c r="D15" s="615"/>
      <c r="E15" s="615"/>
      <c r="F15" s="616"/>
      <c r="G15" s="616"/>
      <c r="H15" s="617"/>
      <c r="I15" s="617"/>
      <c r="J15" s="617"/>
      <c r="K15" s="617"/>
      <c r="L15" s="617"/>
      <c r="M15" s="617"/>
      <c r="N15" s="617"/>
      <c r="O15" s="617"/>
      <c r="P15" s="617"/>
      <c r="Q15" s="617"/>
      <c r="R15" s="617"/>
      <c r="S15" s="617"/>
      <c r="T15" s="617"/>
      <c r="U15" s="617"/>
      <c r="V15" s="616"/>
      <c r="W15" s="615"/>
      <c r="X15" s="615"/>
      <c r="Y15" s="615"/>
      <c r="Z15" s="615"/>
    </row>
    <row r="16" spans="1:29" ht="18" x14ac:dyDescent="0.2">
      <c r="B16" s="31"/>
      <c r="C16" s="259" t="s">
        <v>770</v>
      </c>
      <c r="D16" s="259">
        <v>12</v>
      </c>
      <c r="E16" s="436" t="s">
        <v>771</v>
      </c>
      <c r="F16" s="455"/>
    </row>
    <row r="17" spans="1:26" ht="18" x14ac:dyDescent="0.15">
      <c r="A17" s="574"/>
      <c r="B17" s="9" t="s">
        <v>765</v>
      </c>
      <c r="C17" s="618">
        <f>218287.583333333*0.08</f>
        <v>17463.006666666599</v>
      </c>
      <c r="D17" s="619">
        <v>12</v>
      </c>
      <c r="E17" s="620">
        <f>C17*D17</f>
        <v>209556.08</v>
      </c>
      <c r="F17" s="456"/>
      <c r="Z17" s="451"/>
    </row>
    <row r="18" spans="1:26" ht="18" x14ac:dyDescent="0.15">
      <c r="A18" s="574"/>
      <c r="B18" s="9" t="s">
        <v>739</v>
      </c>
      <c r="C18" s="595">
        <f>390248.916666667*0.08</f>
        <v>31219.913333333399</v>
      </c>
      <c r="D18" s="619">
        <v>12</v>
      </c>
      <c r="E18" s="620">
        <f t="shared" ref="E18:E24" si="15">C18*D18</f>
        <v>374638.96</v>
      </c>
    </row>
    <row r="19" spans="1:26" ht="18" x14ac:dyDescent="0.15">
      <c r="A19" s="574"/>
      <c r="B19" s="9" t="s">
        <v>766</v>
      </c>
      <c r="C19" s="618">
        <f>255849*0.08</f>
        <v>20467.919999999998</v>
      </c>
      <c r="D19" s="619">
        <v>12</v>
      </c>
      <c r="E19" s="620">
        <f t="shared" si="15"/>
        <v>245615.04</v>
      </c>
    </row>
    <row r="20" spans="1:26" ht="18" x14ac:dyDescent="0.15">
      <c r="A20" s="574"/>
      <c r="B20" s="9" t="s">
        <v>767</v>
      </c>
      <c r="C20" s="618">
        <f>218287.583333333*0.08</f>
        <v>17463.006666666599</v>
      </c>
      <c r="D20" s="619">
        <v>12</v>
      </c>
      <c r="E20" s="620">
        <f t="shared" si="15"/>
        <v>209556.08</v>
      </c>
    </row>
    <row r="21" spans="1:26" ht="18" x14ac:dyDescent="0.15">
      <c r="A21" s="574"/>
      <c r="B21" s="9" t="s">
        <v>768</v>
      </c>
      <c r="C21" s="618">
        <f>293029.666666667*0.08</f>
        <v>23442.373333333398</v>
      </c>
      <c r="D21" s="619">
        <v>12</v>
      </c>
      <c r="E21" s="620">
        <f t="shared" si="15"/>
        <v>281308.48</v>
      </c>
    </row>
    <row r="22" spans="1:26" ht="18" x14ac:dyDescent="0.15">
      <c r="A22" s="574"/>
      <c r="B22" s="9" t="s">
        <v>769</v>
      </c>
      <c r="C22" s="595">
        <f>390248.916666667*0.08</f>
        <v>31219.913333333399</v>
      </c>
      <c r="D22" s="619">
        <v>12</v>
      </c>
      <c r="E22" s="620">
        <f t="shared" si="15"/>
        <v>374638.96</v>
      </c>
    </row>
    <row r="23" spans="1:26" ht="18" x14ac:dyDescent="0.15">
      <c r="A23" s="574"/>
      <c r="B23" s="9" t="s">
        <v>744</v>
      </c>
      <c r="C23" s="618">
        <f t="shared" ref="C23:C24" si="16">218287.583333333*0.08</f>
        <v>17463.006666666599</v>
      </c>
      <c r="D23" s="619">
        <v>12</v>
      </c>
      <c r="E23" s="620">
        <f t="shared" si="15"/>
        <v>209556.08</v>
      </c>
    </row>
    <row r="24" spans="1:26" ht="18" x14ac:dyDescent="0.15">
      <c r="A24" s="574"/>
      <c r="B24" s="9" t="s">
        <v>745</v>
      </c>
      <c r="C24" s="618">
        <f t="shared" si="16"/>
        <v>17463.006666666599</v>
      </c>
      <c r="D24" s="619">
        <v>12</v>
      </c>
      <c r="E24" s="620">
        <f t="shared" si="15"/>
        <v>209556.08</v>
      </c>
    </row>
    <row r="25" spans="1:26" ht="14.25" x14ac:dyDescent="0.15">
      <c r="C25" s="621"/>
      <c r="D25" s="621"/>
      <c r="E25" s="621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3:T9"/>
  <sheetViews>
    <sheetView workbookViewId="0">
      <selection activeCell="L6" sqref="L6:O6"/>
    </sheetView>
  </sheetViews>
  <sheetFormatPr defaultColWidth="9.03515625" defaultRowHeight="12.75" x14ac:dyDescent="0.15"/>
  <cols>
    <col min="1" max="1" width="4.3125" customWidth="1"/>
    <col min="2" max="2" width="23.19140625" customWidth="1"/>
    <col min="3" max="3" width="18.47265625" customWidth="1"/>
    <col min="4" max="4" width="11.8671875" customWidth="1"/>
    <col min="5" max="5" width="14.15625" customWidth="1"/>
    <col min="6" max="6" width="7.4140625" customWidth="1"/>
    <col min="7" max="7" width="12.13671875" customWidth="1"/>
    <col min="8" max="8" width="11.19140625" customWidth="1"/>
    <col min="9" max="9" width="9.03515625" customWidth="1"/>
    <col min="10" max="10" width="12.5390625" customWidth="1"/>
    <col min="11" max="11" width="8.8984375" customWidth="1"/>
    <col min="12" max="13" width="12.13671875" customWidth="1"/>
    <col min="14" max="14" width="9.03515625" customWidth="1"/>
    <col min="15" max="15" width="12.26953125" customWidth="1"/>
    <col min="16" max="16" width="8.8984375" customWidth="1"/>
    <col min="17" max="19" width="12.5390625" customWidth="1"/>
  </cols>
  <sheetData>
    <row r="3" spans="1:20" ht="54.75" x14ac:dyDescent="0.2">
      <c r="A3" s="2"/>
      <c r="B3" s="75" t="s">
        <v>2</v>
      </c>
      <c r="C3" s="591" t="s">
        <v>3</v>
      </c>
      <c r="D3" s="64" t="s">
        <v>4</v>
      </c>
      <c r="E3" s="592" t="s">
        <v>5</v>
      </c>
      <c r="F3" s="592" t="s">
        <v>6</v>
      </c>
      <c r="G3" s="592" t="s">
        <v>7</v>
      </c>
      <c r="H3" s="592" t="s">
        <v>7</v>
      </c>
      <c r="I3" s="592" t="s">
        <v>8</v>
      </c>
      <c r="J3" s="599" t="s">
        <v>9</v>
      </c>
      <c r="K3" s="592" t="s">
        <v>10</v>
      </c>
      <c r="L3" s="592" t="s">
        <v>445</v>
      </c>
      <c r="M3" s="592" t="s">
        <v>12</v>
      </c>
      <c r="N3" s="592" t="s">
        <v>14</v>
      </c>
      <c r="O3" s="600" t="s">
        <v>15</v>
      </c>
      <c r="P3" s="592" t="s">
        <v>16</v>
      </c>
      <c r="Q3" s="604" t="s">
        <v>17</v>
      </c>
      <c r="R3" s="282" t="s">
        <v>772</v>
      </c>
      <c r="S3" s="605" t="s">
        <v>773</v>
      </c>
    </row>
    <row r="4" spans="1:20" ht="18" x14ac:dyDescent="0.2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 x14ac:dyDescent="0.2">
      <c r="A5" s="80">
        <v>1</v>
      </c>
      <c r="B5" s="593" t="s">
        <v>547</v>
      </c>
      <c r="C5" s="71" t="s">
        <v>548</v>
      </c>
      <c r="D5" s="594" t="s">
        <v>549</v>
      </c>
      <c r="E5" s="595">
        <v>601396.83333333302</v>
      </c>
      <c r="F5" s="595"/>
      <c r="G5" s="596">
        <f>160000</f>
        <v>160000</v>
      </c>
      <c r="H5" s="596"/>
      <c r="I5" s="601">
        <v>0</v>
      </c>
      <c r="J5" s="602">
        <f t="shared" ref="J5:J6" si="0">SUM(E5:I5)</f>
        <v>761396.83333333302</v>
      </c>
      <c r="K5" s="595"/>
      <c r="L5" s="595"/>
      <c r="M5" s="595"/>
      <c r="N5" s="595">
        <v>0</v>
      </c>
      <c r="O5" s="595">
        <v>124854.858666667</v>
      </c>
      <c r="P5" s="595"/>
      <c r="Q5" s="606">
        <f t="shared" ref="Q5:Q8" si="1">O5+N5+M5+L5+K5+P5</f>
        <v>124854.858666667</v>
      </c>
      <c r="R5" s="595">
        <v>636541.97466666705</v>
      </c>
      <c r="S5" s="602">
        <f t="shared" ref="S5:S8" si="2">J5-Q5</f>
        <v>636541.97466666601</v>
      </c>
      <c r="T5" s="11"/>
    </row>
    <row r="6" spans="1:20" s="1" customFormat="1" ht="32.1" customHeight="1" x14ac:dyDescent="0.2">
      <c r="A6" s="80">
        <v>2</v>
      </c>
      <c r="B6" s="313" t="s">
        <v>550</v>
      </c>
      <c r="C6" s="68" t="s">
        <v>551</v>
      </c>
      <c r="D6" s="80" t="s">
        <v>150</v>
      </c>
      <c r="E6" s="595">
        <v>620675.58333333302</v>
      </c>
      <c r="F6" s="595"/>
      <c r="G6" s="596">
        <v>160000</v>
      </c>
      <c r="H6" s="596"/>
      <c r="I6" s="601">
        <v>0</v>
      </c>
      <c r="J6" s="602">
        <f t="shared" si="0"/>
        <v>780675.58333333302</v>
      </c>
      <c r="K6" s="595"/>
      <c r="L6" s="595">
        <f>50000</f>
        <v>50000</v>
      </c>
      <c r="M6" s="595">
        <f>59583.33</f>
        <v>59583.33</v>
      </c>
      <c r="N6" s="595"/>
      <c r="O6" s="595">
        <f>128556.38</f>
        <v>128556.38</v>
      </c>
      <c r="P6" s="595"/>
      <c r="Q6" s="606">
        <f t="shared" si="1"/>
        <v>238139.71</v>
      </c>
      <c r="R6" s="595">
        <v>542535.87333333294</v>
      </c>
      <c r="S6" s="602">
        <f t="shared" si="2"/>
        <v>542535.87333333294</v>
      </c>
      <c r="T6" s="11"/>
    </row>
    <row r="7" spans="1:20" s="590" customFormat="1" ht="29.1" customHeight="1" x14ac:dyDescent="0.15">
      <c r="A7" s="80">
        <v>3</v>
      </c>
      <c r="B7" s="593" t="s">
        <v>556</v>
      </c>
      <c r="C7" s="68" t="s">
        <v>256</v>
      </c>
      <c r="D7" s="594" t="s">
        <v>49</v>
      </c>
      <c r="E7" s="595">
        <v>582118.08333333302</v>
      </c>
      <c r="F7" s="595"/>
      <c r="G7" s="596"/>
      <c r="H7" s="596">
        <f>80000</f>
        <v>80000</v>
      </c>
      <c r="I7" s="595">
        <v>0</v>
      </c>
      <c r="J7" s="602">
        <f t="shared" ref="J7" si="3">SUM(E7:I7)</f>
        <v>662118.08333333302</v>
      </c>
      <c r="K7" s="595"/>
      <c r="L7" s="595">
        <f>100000</f>
        <v>100000</v>
      </c>
      <c r="M7" s="595">
        <f>103000</f>
        <v>103000</v>
      </c>
      <c r="N7" s="595">
        <v>0</v>
      </c>
      <c r="O7" s="595">
        <v>105793.338666667</v>
      </c>
      <c r="P7" s="595"/>
      <c r="Q7" s="606">
        <f t="shared" si="1"/>
        <v>308793.338666667</v>
      </c>
      <c r="R7" s="595">
        <v>353324.74466666701</v>
      </c>
      <c r="S7" s="602">
        <f t="shared" si="2"/>
        <v>353324.74466666603</v>
      </c>
      <c r="T7" s="607"/>
    </row>
    <row r="8" spans="1:20" s="590" customFormat="1" ht="20.100000000000001" customHeight="1" x14ac:dyDescent="0.15">
      <c r="A8" s="80">
        <v>4</v>
      </c>
      <c r="B8" s="597" t="s">
        <v>559</v>
      </c>
      <c r="C8" s="68" t="s">
        <v>560</v>
      </c>
      <c r="D8" s="594" t="s">
        <v>154</v>
      </c>
      <c r="E8" s="595">
        <v>762373.16666666698</v>
      </c>
      <c r="F8" s="595"/>
      <c r="G8" s="596"/>
      <c r="H8" s="596">
        <v>90000</v>
      </c>
      <c r="I8" s="595"/>
      <c r="J8" s="602">
        <f t="shared" ref="J8" si="4">SUM(E8:I8)</f>
        <v>852373.16666666698</v>
      </c>
      <c r="K8" s="595"/>
      <c r="L8" s="603">
        <v>50000</v>
      </c>
      <c r="M8" s="603">
        <v>200000</v>
      </c>
      <c r="O8" s="595">
        <v>142322.31466666699</v>
      </c>
      <c r="P8" s="595"/>
      <c r="Q8" s="606">
        <f t="shared" si="1"/>
        <v>392322.31466666702</v>
      </c>
      <c r="R8" s="595">
        <v>460050.85200000001</v>
      </c>
      <c r="S8" s="602">
        <f t="shared" si="2"/>
        <v>460050.85200000001</v>
      </c>
      <c r="T8" s="607"/>
    </row>
    <row r="9" spans="1:20" ht="29.1" customHeight="1" x14ac:dyDescent="0.15">
      <c r="E9" s="598">
        <f>SUM(E5:E8)</f>
        <v>2566563.6666666698</v>
      </c>
      <c r="F9" s="598">
        <f t="shared" ref="F9:S9" si="5">SUM(F5:F8)</f>
        <v>0</v>
      </c>
      <c r="G9" s="598">
        <f t="shared" si="5"/>
        <v>320000</v>
      </c>
      <c r="H9" s="598">
        <f t="shared" si="5"/>
        <v>170000</v>
      </c>
      <c r="I9" s="598">
        <f t="shared" si="5"/>
        <v>0</v>
      </c>
      <c r="J9" s="598">
        <f t="shared" si="5"/>
        <v>3056563.6666666698</v>
      </c>
      <c r="K9" s="598">
        <f t="shared" si="5"/>
        <v>0</v>
      </c>
      <c r="L9" s="598">
        <f t="shared" si="5"/>
        <v>200000</v>
      </c>
      <c r="M9" s="598">
        <f t="shared" si="5"/>
        <v>362583.33</v>
      </c>
      <c r="N9" s="598">
        <f t="shared" si="5"/>
        <v>0</v>
      </c>
      <c r="O9" s="598">
        <f t="shared" si="5"/>
        <v>501526.89200000098</v>
      </c>
      <c r="P9" s="598">
        <f t="shared" si="5"/>
        <v>0</v>
      </c>
      <c r="Q9" s="598">
        <f t="shared" si="5"/>
        <v>1064110.2220000001</v>
      </c>
      <c r="R9" s="598">
        <f t="shared" si="5"/>
        <v>1992453.4446666699</v>
      </c>
      <c r="S9" s="598">
        <f t="shared" si="5"/>
        <v>1992453.4446666699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"/>
  <sheetViews>
    <sheetView workbookViewId="0"/>
  </sheetViews>
  <sheetFormatPr defaultColWidth="9.03515625" defaultRowHeight="12.75" x14ac:dyDescent="0.1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3:T5"/>
  <sheetViews>
    <sheetView workbookViewId="0">
      <selection activeCell="A5" sqref="A5:XFD5"/>
    </sheetView>
  </sheetViews>
  <sheetFormatPr defaultColWidth="9.03515625" defaultRowHeight="12.75" x14ac:dyDescent="0.15"/>
  <cols>
    <col min="1" max="1" width="5.796875" customWidth="1"/>
  </cols>
  <sheetData>
    <row r="3" spans="1:20" ht="93.75" x14ac:dyDescent="0.2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2" t="s">
        <v>9</v>
      </c>
      <c r="K3" s="184" t="s">
        <v>10</v>
      </c>
      <c r="L3" s="184" t="s">
        <v>445</v>
      </c>
      <c r="M3" s="184" t="s">
        <v>12</v>
      </c>
      <c r="N3" s="184" t="s">
        <v>14</v>
      </c>
      <c r="O3" s="22" t="s">
        <v>15</v>
      </c>
      <c r="P3" s="184" t="s">
        <v>16</v>
      </c>
      <c r="Q3" s="463" t="s">
        <v>17</v>
      </c>
      <c r="R3" s="65" t="s">
        <v>772</v>
      </c>
      <c r="S3" s="589" t="s">
        <v>773</v>
      </c>
    </row>
    <row r="4" spans="1:20" ht="18" x14ac:dyDescent="0.2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4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5" t="s">
        <v>20</v>
      </c>
      <c r="R4" s="67" t="s">
        <v>20</v>
      </c>
      <c r="S4" s="464" t="s">
        <v>20</v>
      </c>
    </row>
    <row r="5" spans="1:20" s="1" customFormat="1" ht="20.100000000000001" customHeight="1" x14ac:dyDescent="0.2">
      <c r="A5" s="8">
        <v>6</v>
      </c>
      <c r="B5" s="16" t="s">
        <v>530</v>
      </c>
      <c r="C5" s="15" t="s">
        <v>531</v>
      </c>
      <c r="D5" s="8" t="s">
        <v>28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6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7">
        <f t="shared" ref="Q5" si="1">O5+N5+M5+L5+K5+P5</f>
        <v>141666.67000000001</v>
      </c>
      <c r="R5" s="70">
        <v>729984.18200000003</v>
      </c>
      <c r="S5" s="466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98"/>
  <sheetViews>
    <sheetView zoomScaleSheetLayoutView="50" workbookViewId="0">
      <pane xSplit="3" ySplit="7" topLeftCell="V8" activePane="bottomRight" state="frozen"/>
      <selection pane="bottomLeft"/>
      <selection pane="topRight"/>
      <selection pane="bottomRight" activeCell="AA12" sqref="AA12"/>
    </sheetView>
  </sheetViews>
  <sheetFormatPr defaultColWidth="9.16796875" defaultRowHeight="20.100000000000001" customHeight="1" x14ac:dyDescent="0.2"/>
  <cols>
    <col min="1" max="1" width="5.390625" style="1" customWidth="1"/>
    <col min="2" max="2" width="39.51171875" style="1" customWidth="1"/>
    <col min="3" max="3" width="35.734375" style="1" customWidth="1"/>
    <col min="4" max="4" width="12.26953125" style="1" customWidth="1"/>
    <col min="5" max="5" width="15.640625" style="1" customWidth="1"/>
    <col min="6" max="6" width="21.7109375" style="1" customWidth="1"/>
    <col min="7" max="16384" width="9.16796875" style="1"/>
  </cols>
  <sheetData>
    <row r="1" spans="1:6" ht="27" customHeight="1" x14ac:dyDescent="0.25">
      <c r="A1" s="965" t="s">
        <v>0</v>
      </c>
      <c r="B1" s="965"/>
      <c r="C1" s="965"/>
      <c r="D1" s="965"/>
    </row>
    <row r="2" spans="1:6" ht="33.75" customHeight="1" x14ac:dyDescent="0.25">
      <c r="A2" s="202" t="s">
        <v>774</v>
      </c>
      <c r="B2" s="223"/>
      <c r="C2" s="202"/>
      <c r="D2" s="202"/>
      <c r="E2" s="63"/>
    </row>
    <row r="3" spans="1:6" ht="9.75" customHeight="1" x14ac:dyDescent="0.2"/>
    <row r="4" spans="1:6" ht="49.5" customHeight="1" x14ac:dyDescent="0.2">
      <c r="A4" s="2"/>
      <c r="B4" s="3" t="s">
        <v>2</v>
      </c>
      <c r="C4" s="4" t="s">
        <v>3</v>
      </c>
      <c r="D4" s="5" t="s">
        <v>4</v>
      </c>
      <c r="E4" s="284" t="s">
        <v>638</v>
      </c>
    </row>
    <row r="5" spans="1:6" ht="17.25" customHeight="1" x14ac:dyDescent="0.2">
      <c r="C5" s="6"/>
      <c r="D5" s="6"/>
      <c r="E5" s="196" t="s">
        <v>20</v>
      </c>
    </row>
    <row r="6" spans="1:6" ht="20.100000000000001" customHeight="1" x14ac:dyDescent="0.2">
      <c r="A6" s="7" t="s">
        <v>21</v>
      </c>
      <c r="B6" s="6" t="s">
        <v>22</v>
      </c>
      <c r="C6" s="6"/>
      <c r="D6" s="6"/>
      <c r="E6" s="196"/>
    </row>
    <row r="7" spans="1:6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582">
        <v>540000</v>
      </c>
      <c r="F7" s="11"/>
    </row>
    <row r="8" spans="1:6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582">
        <v>180000</v>
      </c>
      <c r="F8" s="11"/>
    </row>
    <row r="9" spans="1:6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582">
        <v>180000</v>
      </c>
      <c r="F9" s="11"/>
    </row>
    <row r="10" spans="1:6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582">
        <v>180000</v>
      </c>
      <c r="F10" s="11"/>
    </row>
    <row r="11" spans="1:6" ht="20.100000000000001" customHeight="1" x14ac:dyDescent="0.2">
      <c r="A11" s="8">
        <v>5</v>
      </c>
      <c r="B11" s="12" t="s">
        <v>271</v>
      </c>
      <c r="C11" s="2" t="s">
        <v>529</v>
      </c>
      <c r="D11" s="8" t="s">
        <v>28</v>
      </c>
      <c r="E11" s="582">
        <v>180000</v>
      </c>
      <c r="F11" s="11"/>
    </row>
    <row r="12" spans="1:6" ht="20.100000000000001" customHeight="1" x14ac:dyDescent="0.2">
      <c r="A12" s="8">
        <v>6</v>
      </c>
      <c r="B12" s="16" t="s">
        <v>530</v>
      </c>
      <c r="C12" s="15" t="s">
        <v>531</v>
      </c>
      <c r="D12" s="8" t="s">
        <v>28</v>
      </c>
      <c r="E12" s="582">
        <v>180000</v>
      </c>
      <c r="F12" s="11"/>
    </row>
    <row r="13" spans="1:6" ht="20.100000000000001" customHeight="1" x14ac:dyDescent="0.2">
      <c r="A13" s="8">
        <v>7</v>
      </c>
      <c r="B13" s="9" t="s">
        <v>33</v>
      </c>
      <c r="C13" s="10" t="s">
        <v>532</v>
      </c>
      <c r="D13" s="13" t="s">
        <v>131</v>
      </c>
      <c r="E13" s="582">
        <v>126000</v>
      </c>
      <c r="F13" s="11"/>
    </row>
    <row r="14" spans="1:6" ht="20.100000000000001" customHeight="1" x14ac:dyDescent="0.2">
      <c r="A14" s="8">
        <v>8</v>
      </c>
      <c r="B14" s="9" t="s">
        <v>36</v>
      </c>
      <c r="C14" s="2" t="s">
        <v>37</v>
      </c>
      <c r="D14" s="8" t="s">
        <v>49</v>
      </c>
      <c r="E14" s="582">
        <v>126000</v>
      </c>
      <c r="F14" s="11"/>
    </row>
    <row r="15" spans="1:6" ht="20.100000000000001" customHeight="1" x14ac:dyDescent="0.2">
      <c r="A15" s="8">
        <v>9</v>
      </c>
      <c r="B15" s="9" t="s">
        <v>39</v>
      </c>
      <c r="C15" s="2" t="s">
        <v>40</v>
      </c>
      <c r="D15" s="13" t="s">
        <v>41</v>
      </c>
      <c r="E15" s="582">
        <v>90000</v>
      </c>
      <c r="F15" s="11"/>
    </row>
    <row r="16" spans="1:6" ht="20.100000000000001" customHeight="1" x14ac:dyDescent="0.2">
      <c r="A16" s="8">
        <v>10</v>
      </c>
      <c r="B16" s="12" t="s">
        <v>42</v>
      </c>
      <c r="C16" s="15" t="s">
        <v>156</v>
      </c>
      <c r="D16" s="13" t="s">
        <v>176</v>
      </c>
      <c r="E16" s="582">
        <v>90000</v>
      </c>
      <c r="F16" s="11"/>
    </row>
    <row r="17" spans="1:6" ht="20.100000000000001" customHeight="1" x14ac:dyDescent="0.2">
      <c r="A17" s="8">
        <v>11</v>
      </c>
      <c r="B17" s="9" t="s">
        <v>44</v>
      </c>
      <c r="C17" s="2" t="s">
        <v>45</v>
      </c>
      <c r="D17" s="8" t="s">
        <v>197</v>
      </c>
      <c r="E17" s="582">
        <v>90000</v>
      </c>
      <c r="F17" s="11"/>
    </row>
    <row r="18" spans="1:6" ht="20.100000000000001" customHeight="1" x14ac:dyDescent="0.2">
      <c r="A18" s="8">
        <v>12</v>
      </c>
      <c r="B18" s="9" t="s">
        <v>47</v>
      </c>
      <c r="C18" s="2" t="s">
        <v>533</v>
      </c>
      <c r="D18" s="8" t="s">
        <v>52</v>
      </c>
      <c r="E18" s="582">
        <v>90000</v>
      </c>
    </row>
    <row r="19" spans="1:6" ht="20.100000000000001" customHeight="1" x14ac:dyDescent="0.2">
      <c r="A19" s="8">
        <v>13</v>
      </c>
      <c r="B19" s="9" t="s">
        <v>50</v>
      </c>
      <c r="C19" s="10" t="s">
        <v>51</v>
      </c>
      <c r="D19" s="13" t="s">
        <v>534</v>
      </c>
      <c r="E19" s="582">
        <v>90000</v>
      </c>
      <c r="F19" s="11"/>
    </row>
    <row r="20" spans="1:6" ht="20.100000000000001" customHeight="1" x14ac:dyDescent="0.2">
      <c r="A20" s="8">
        <v>14</v>
      </c>
      <c r="B20" s="16" t="s">
        <v>53</v>
      </c>
      <c r="C20" s="2" t="s">
        <v>54</v>
      </c>
      <c r="D20" s="13" t="s">
        <v>535</v>
      </c>
      <c r="E20" s="582">
        <v>90000</v>
      </c>
      <c r="F20" s="11"/>
    </row>
    <row r="21" spans="1:6" ht="18.75" customHeight="1" x14ac:dyDescent="0.2">
      <c r="A21" s="8">
        <v>15</v>
      </c>
      <c r="B21" s="9" t="s">
        <v>63</v>
      </c>
      <c r="C21" s="10" t="s">
        <v>64</v>
      </c>
      <c r="D21" s="13" t="s">
        <v>162</v>
      </c>
      <c r="E21" s="582">
        <v>68000</v>
      </c>
      <c r="F21" s="11"/>
    </row>
    <row r="22" spans="1:6" ht="20.100000000000001" customHeight="1" x14ac:dyDescent="0.2">
      <c r="A22" s="8">
        <v>16</v>
      </c>
      <c r="B22" s="12" t="s">
        <v>66</v>
      </c>
      <c r="C22" s="15" t="s">
        <v>67</v>
      </c>
      <c r="D22" s="8" t="s">
        <v>137</v>
      </c>
      <c r="E22" s="582">
        <v>68000</v>
      </c>
      <c r="F22" s="11"/>
    </row>
    <row r="23" spans="1:6" ht="21.6" customHeight="1" x14ac:dyDescent="0.2">
      <c r="A23" s="8">
        <v>17</v>
      </c>
      <c r="B23" s="9" t="s">
        <v>69</v>
      </c>
      <c r="C23" s="15" t="s">
        <v>70</v>
      </c>
      <c r="D23" s="13" t="s">
        <v>137</v>
      </c>
      <c r="E23" s="582">
        <v>68000</v>
      </c>
      <c r="F23" s="11"/>
    </row>
    <row r="24" spans="1:6" ht="20.100000000000001" customHeight="1" x14ac:dyDescent="0.2">
      <c r="A24" s="8">
        <v>18</v>
      </c>
      <c r="B24" s="12" t="s">
        <v>71</v>
      </c>
      <c r="C24" s="15" t="s">
        <v>72</v>
      </c>
      <c r="D24" s="8" t="s">
        <v>73</v>
      </c>
      <c r="E24" s="582">
        <v>68000</v>
      </c>
      <c r="F24" s="11"/>
    </row>
    <row r="25" spans="1:6" ht="18.75" customHeight="1" x14ac:dyDescent="0.2">
      <c r="A25" s="8">
        <v>19</v>
      </c>
      <c r="B25" s="2" t="s">
        <v>77</v>
      </c>
      <c r="C25" s="2" t="s">
        <v>78</v>
      </c>
      <c r="D25" s="8" t="s">
        <v>84</v>
      </c>
      <c r="E25" s="582">
        <v>54000</v>
      </c>
      <c r="F25" s="11"/>
    </row>
    <row r="26" spans="1:6" ht="18.75" customHeight="1" x14ac:dyDescent="0.2">
      <c r="A26" s="8">
        <v>20</v>
      </c>
      <c r="B26" s="16" t="s">
        <v>80</v>
      </c>
      <c r="C26" s="10" t="s">
        <v>78</v>
      </c>
      <c r="D26" s="13" t="s">
        <v>84</v>
      </c>
      <c r="E26" s="582">
        <v>54000</v>
      </c>
      <c r="F26" s="11"/>
    </row>
    <row r="27" spans="1:6" ht="20.100000000000001" customHeight="1" x14ac:dyDescent="0.2">
      <c r="A27" s="8">
        <v>21</v>
      </c>
      <c r="B27" s="9" t="s">
        <v>81</v>
      </c>
      <c r="C27" s="15" t="s">
        <v>67</v>
      </c>
      <c r="D27" s="8" t="s">
        <v>84</v>
      </c>
      <c r="E27" s="582">
        <v>54000</v>
      </c>
      <c r="F27" s="11"/>
    </row>
    <row r="28" spans="1:6" ht="18.75" customHeight="1" x14ac:dyDescent="0.2">
      <c r="A28" s="8">
        <v>22</v>
      </c>
      <c r="B28" s="16" t="s">
        <v>82</v>
      </c>
      <c r="C28" s="10" t="s">
        <v>83</v>
      </c>
      <c r="D28" s="13" t="s">
        <v>87</v>
      </c>
      <c r="E28" s="582">
        <v>54000</v>
      </c>
      <c r="F28" s="11"/>
    </row>
    <row r="29" spans="1:6" ht="18.75" customHeight="1" x14ac:dyDescent="0.2">
      <c r="A29" s="8">
        <v>23</v>
      </c>
      <c r="B29" s="16" t="s">
        <v>85</v>
      </c>
      <c r="C29" s="2" t="s">
        <v>86</v>
      </c>
      <c r="D29" s="8" t="s">
        <v>96</v>
      </c>
      <c r="E29" s="582">
        <v>54000</v>
      </c>
      <c r="F29" s="11"/>
    </row>
    <row r="30" spans="1:6" ht="18.75" customHeight="1" x14ac:dyDescent="0.2">
      <c r="A30" s="8">
        <v>24</v>
      </c>
      <c r="B30" s="16" t="s">
        <v>88</v>
      </c>
      <c r="C30" s="2" t="s">
        <v>86</v>
      </c>
      <c r="D30" s="8" t="s">
        <v>96</v>
      </c>
      <c r="E30" s="582">
        <v>54000</v>
      </c>
      <c r="F30" s="11"/>
    </row>
    <row r="31" spans="1:6" ht="18.75" customHeight="1" x14ac:dyDescent="0.2">
      <c r="A31" s="8">
        <v>25</v>
      </c>
      <c r="B31" s="16" t="s">
        <v>89</v>
      </c>
      <c r="C31" s="15" t="s">
        <v>90</v>
      </c>
      <c r="D31" s="13" t="s">
        <v>84</v>
      </c>
      <c r="E31" s="582">
        <v>54000</v>
      </c>
      <c r="F31" s="11"/>
    </row>
    <row r="32" spans="1:6" ht="18.75" customHeight="1" x14ac:dyDescent="0.2">
      <c r="A32" s="8">
        <v>26</v>
      </c>
      <c r="B32" s="16" t="s">
        <v>92</v>
      </c>
      <c r="C32" s="2" t="s">
        <v>93</v>
      </c>
      <c r="D32" s="8" t="s">
        <v>102</v>
      </c>
      <c r="E32" s="582">
        <v>54000</v>
      </c>
      <c r="F32" s="11"/>
    </row>
    <row r="33" spans="1:6" ht="18.75" customHeight="1" x14ac:dyDescent="0.2">
      <c r="A33" s="8">
        <v>27</v>
      </c>
      <c r="B33" s="16" t="s">
        <v>100</v>
      </c>
      <c r="C33" s="10" t="s">
        <v>101</v>
      </c>
      <c r="D33" s="13" t="s">
        <v>105</v>
      </c>
      <c r="E33" s="582">
        <v>54000</v>
      </c>
      <c r="F33" s="11"/>
    </row>
    <row r="34" spans="1:6" ht="21" customHeight="1" x14ac:dyDescent="0.2">
      <c r="A34" s="8"/>
      <c r="B34" s="18" t="s">
        <v>111</v>
      </c>
      <c r="C34" s="19">
        <v>27</v>
      </c>
      <c r="D34" s="13"/>
      <c r="E34" s="74">
        <f>SUM(E7:E33)</f>
        <v>2990000</v>
      </c>
      <c r="F34" s="11"/>
    </row>
    <row r="35" spans="1:6" ht="18.75" customHeight="1" x14ac:dyDescent="0.2">
      <c r="A35" s="8"/>
      <c r="B35" s="20"/>
      <c r="C35" s="2"/>
      <c r="D35" s="13"/>
      <c r="E35" s="583"/>
      <c r="F35" s="11"/>
    </row>
    <row r="36" spans="1:6" ht="18.75" customHeight="1" x14ac:dyDescent="0.2">
      <c r="A36" s="8"/>
      <c r="B36" s="18" t="s">
        <v>112</v>
      </c>
      <c r="C36" s="2"/>
      <c r="D36" s="13"/>
      <c r="E36" s="582"/>
      <c r="F36" s="11"/>
    </row>
    <row r="37" spans="1:6" ht="18.75" customHeight="1" x14ac:dyDescent="0.2">
      <c r="A37" s="8">
        <v>1</v>
      </c>
      <c r="B37" s="16" t="s">
        <v>113</v>
      </c>
      <c r="C37" s="2" t="s">
        <v>114</v>
      </c>
      <c r="D37" s="8" t="s">
        <v>115</v>
      </c>
      <c r="E37" s="582">
        <v>270000</v>
      </c>
      <c r="F37" s="11"/>
    </row>
    <row r="38" spans="1:6" ht="18.75" customHeight="1" x14ac:dyDescent="0.2">
      <c r="A38" s="8">
        <v>2</v>
      </c>
      <c r="B38" s="16" t="s">
        <v>116</v>
      </c>
      <c r="C38" s="2" t="s">
        <v>117</v>
      </c>
      <c r="D38" s="8" t="s">
        <v>73</v>
      </c>
      <c r="E38" s="582">
        <v>68000</v>
      </c>
      <c r="F38" s="11"/>
    </row>
    <row r="39" spans="1:6" ht="18.75" customHeight="1" x14ac:dyDescent="0.2">
      <c r="A39" s="8">
        <v>3</v>
      </c>
      <c r="B39" s="9" t="s">
        <v>118</v>
      </c>
      <c r="C39" s="2" t="s">
        <v>117</v>
      </c>
      <c r="D39" s="13" t="s">
        <v>76</v>
      </c>
      <c r="E39" s="582">
        <v>68000</v>
      </c>
      <c r="F39" s="11"/>
    </row>
    <row r="40" spans="1:6" ht="19.5" customHeight="1" x14ac:dyDescent="0.2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 x14ac:dyDescent="0.2">
      <c r="A41" s="8"/>
      <c r="B41" s="12"/>
      <c r="C41" s="2"/>
      <c r="D41" s="8"/>
      <c r="E41" s="582"/>
      <c r="F41" s="11"/>
    </row>
    <row r="42" spans="1:6" ht="20.100000000000001" customHeight="1" x14ac:dyDescent="0.2">
      <c r="A42" s="8"/>
      <c r="B42" s="21" t="s">
        <v>125</v>
      </c>
      <c r="C42" s="3"/>
      <c r="D42" s="22"/>
      <c r="E42" s="582"/>
      <c r="F42" s="11"/>
    </row>
    <row r="43" spans="1:6" ht="20.100000000000001" customHeight="1" x14ac:dyDescent="0.2">
      <c r="A43" s="8">
        <v>1</v>
      </c>
      <c r="B43" s="9" t="s">
        <v>536</v>
      </c>
      <c r="C43" s="2" t="s">
        <v>537</v>
      </c>
      <c r="D43" s="8" t="s">
        <v>115</v>
      </c>
      <c r="E43" s="582">
        <v>270000</v>
      </c>
      <c r="F43" s="11"/>
    </row>
    <row r="44" spans="1:6" ht="20.100000000000001" customHeight="1" x14ac:dyDescent="0.2">
      <c r="A44" s="8">
        <v>2</v>
      </c>
      <c r="B44" s="9" t="s">
        <v>538</v>
      </c>
      <c r="C44" s="2" t="s">
        <v>43</v>
      </c>
      <c r="D44" s="8" t="s">
        <v>131</v>
      </c>
      <c r="E44" s="582">
        <v>126000</v>
      </c>
      <c r="F44" s="11"/>
    </row>
    <row r="45" spans="1:6" ht="20.100000000000001" customHeight="1" x14ac:dyDescent="0.2">
      <c r="A45" s="8">
        <v>3</v>
      </c>
      <c r="B45" s="9" t="s">
        <v>126</v>
      </c>
      <c r="C45" s="2" t="s">
        <v>127</v>
      </c>
      <c r="D45" s="8" t="s">
        <v>35</v>
      </c>
      <c r="E45" s="582">
        <v>180000</v>
      </c>
      <c r="F45" s="11"/>
    </row>
    <row r="46" spans="1:6" ht="20.100000000000001" customHeight="1" x14ac:dyDescent="0.2">
      <c r="A46" s="8">
        <v>4</v>
      </c>
      <c r="B46" s="9" t="s">
        <v>129</v>
      </c>
      <c r="C46" s="2" t="s">
        <v>130</v>
      </c>
      <c r="D46" s="8" t="s">
        <v>131</v>
      </c>
      <c r="E46" s="582">
        <v>126000</v>
      </c>
      <c r="F46" s="11"/>
    </row>
    <row r="47" spans="1:6" ht="20.100000000000001" customHeight="1" x14ac:dyDescent="0.2">
      <c r="A47" s="8">
        <v>5</v>
      </c>
      <c r="B47" s="9" t="s">
        <v>132</v>
      </c>
      <c r="C47" s="2" t="s">
        <v>130</v>
      </c>
      <c r="D47" s="8" t="s">
        <v>131</v>
      </c>
      <c r="E47" s="582">
        <v>126000</v>
      </c>
      <c r="F47" s="11"/>
    </row>
    <row r="48" spans="1:6" ht="20.100000000000001" customHeight="1" x14ac:dyDescent="0.2">
      <c r="A48" s="8">
        <v>6</v>
      </c>
      <c r="B48" s="9" t="s">
        <v>133</v>
      </c>
      <c r="C48" s="2" t="s">
        <v>130</v>
      </c>
      <c r="D48" s="8" t="s">
        <v>49</v>
      </c>
      <c r="E48" s="582">
        <v>126000</v>
      </c>
      <c r="F48" s="11"/>
    </row>
    <row r="49" spans="1:6" ht="20.100000000000001" customHeight="1" x14ac:dyDescent="0.2">
      <c r="A49" s="8">
        <v>7</v>
      </c>
      <c r="B49" s="12" t="s">
        <v>134</v>
      </c>
      <c r="C49" s="2" t="s">
        <v>156</v>
      </c>
      <c r="D49" s="14" t="s">
        <v>176</v>
      </c>
      <c r="E49" s="582">
        <v>90000</v>
      </c>
      <c r="F49" s="11"/>
    </row>
    <row r="50" spans="1:6" ht="20.100000000000001" customHeight="1" x14ac:dyDescent="0.2">
      <c r="A50" s="8">
        <v>8</v>
      </c>
      <c r="B50" s="9" t="s">
        <v>138</v>
      </c>
      <c r="C50" s="2" t="s">
        <v>139</v>
      </c>
      <c r="D50" s="8" t="s">
        <v>76</v>
      </c>
      <c r="E50" s="582">
        <v>68000</v>
      </c>
      <c r="F50" s="11"/>
    </row>
    <row r="51" spans="1:6" ht="20.100000000000001" customHeight="1" x14ac:dyDescent="0.2">
      <c r="A51" s="8">
        <v>9</v>
      </c>
      <c r="B51" s="9" t="s">
        <v>142</v>
      </c>
      <c r="C51" s="2" t="s">
        <v>139</v>
      </c>
      <c r="D51" s="8" t="s">
        <v>87</v>
      </c>
      <c r="E51" s="582">
        <v>54000</v>
      </c>
      <c r="F51" s="11"/>
    </row>
    <row r="52" spans="1:6" ht="20.100000000000001" customHeight="1" x14ac:dyDescent="0.2">
      <c r="A52" s="8">
        <v>10</v>
      </c>
      <c r="B52" s="9" t="s">
        <v>539</v>
      </c>
      <c r="C52" s="2" t="s">
        <v>139</v>
      </c>
      <c r="D52" s="8" t="s">
        <v>87</v>
      </c>
      <c r="E52" s="582">
        <v>54000</v>
      </c>
      <c r="F52" s="11"/>
    </row>
    <row r="53" spans="1:6" ht="20.100000000000001" customHeight="1" x14ac:dyDescent="0.2">
      <c r="A53" s="8">
        <v>11</v>
      </c>
      <c r="B53" s="9" t="s">
        <v>143</v>
      </c>
      <c r="C53" s="2" t="s">
        <v>139</v>
      </c>
      <c r="D53" s="8" t="s">
        <v>87</v>
      </c>
      <c r="E53" s="582">
        <v>54000</v>
      </c>
      <c r="F53" s="11"/>
    </row>
    <row r="54" spans="1:6" ht="25.5" customHeight="1" x14ac:dyDescent="0.5">
      <c r="A54" s="8"/>
      <c r="B54" s="18" t="s">
        <v>111</v>
      </c>
      <c r="C54" s="19">
        <v>11</v>
      </c>
      <c r="D54" s="19"/>
      <c r="E54" s="584">
        <f>SUM(E43:E53)</f>
        <v>1274000</v>
      </c>
      <c r="F54" s="11"/>
    </row>
    <row r="55" spans="1:6" ht="20.100000000000001" customHeight="1" x14ac:dyDescent="0.2">
      <c r="A55" s="8"/>
      <c r="B55" s="20"/>
      <c r="C55" s="19"/>
      <c r="D55" s="19"/>
      <c r="E55" s="585"/>
      <c r="F55" s="11"/>
    </row>
    <row r="56" spans="1:6" ht="20.100000000000001" customHeight="1" x14ac:dyDescent="0.2">
      <c r="A56" s="8"/>
      <c r="B56" s="18" t="s">
        <v>145</v>
      </c>
      <c r="C56" s="19"/>
      <c r="D56" s="19"/>
      <c r="E56" s="585"/>
      <c r="F56" s="11"/>
    </row>
    <row r="57" spans="1:6" ht="20.100000000000001" customHeight="1" x14ac:dyDescent="0.2">
      <c r="A57" s="8">
        <v>1</v>
      </c>
      <c r="B57" s="9" t="s">
        <v>540</v>
      </c>
      <c r="C57" s="10" t="s">
        <v>147</v>
      </c>
      <c r="D57" s="13" t="s">
        <v>115</v>
      </c>
      <c r="E57" s="582">
        <v>270000</v>
      </c>
      <c r="F57" s="11"/>
    </row>
    <row r="58" spans="1:6" ht="20.100000000000001" customHeight="1" x14ac:dyDescent="0.2">
      <c r="A58" s="8">
        <v>2</v>
      </c>
      <c r="B58" s="9" t="s">
        <v>148</v>
      </c>
      <c r="C58" s="10" t="s">
        <v>149</v>
      </c>
      <c r="D58" s="13" t="s">
        <v>150</v>
      </c>
      <c r="E58" s="582">
        <v>126000</v>
      </c>
      <c r="F58" s="11"/>
    </row>
    <row r="59" spans="1:6" ht="20.100000000000001" customHeight="1" x14ac:dyDescent="0.5">
      <c r="A59" s="8"/>
      <c r="B59" s="18" t="s">
        <v>111</v>
      </c>
      <c r="C59" s="19">
        <v>2</v>
      </c>
      <c r="D59" s="19"/>
      <c r="E59" s="584">
        <f t="shared" ref="E59" si="1">SUM(E57:E58)</f>
        <v>396000</v>
      </c>
      <c r="F59" s="11"/>
    </row>
    <row r="60" spans="1:6" ht="20.100000000000001" customHeight="1" x14ac:dyDescent="0.2">
      <c r="A60" s="8"/>
      <c r="B60" s="18"/>
      <c r="C60" s="19"/>
      <c r="D60" s="19"/>
      <c r="E60" s="585"/>
      <c r="F60" s="11"/>
    </row>
    <row r="61" spans="1:6" ht="20.100000000000001" customHeight="1" x14ac:dyDescent="0.2">
      <c r="A61" s="8"/>
      <c r="B61" s="18" t="s">
        <v>151</v>
      </c>
      <c r="C61" s="19"/>
      <c r="D61" s="19"/>
      <c r="E61" s="585"/>
      <c r="F61" s="11"/>
    </row>
    <row r="62" spans="1:6" ht="20.100000000000001" customHeight="1" x14ac:dyDescent="0.2">
      <c r="A62" s="8">
        <v>1</v>
      </c>
      <c r="B62" s="9" t="s">
        <v>541</v>
      </c>
      <c r="C62" s="15" t="s">
        <v>542</v>
      </c>
      <c r="D62" s="8" t="s">
        <v>115</v>
      </c>
      <c r="E62" s="582">
        <v>270000</v>
      </c>
      <c r="F62" s="11"/>
    </row>
    <row r="63" spans="1:6" ht="20.100000000000001" customHeight="1" x14ac:dyDescent="0.2">
      <c r="A63" s="8">
        <v>2</v>
      </c>
      <c r="B63" s="313" t="s">
        <v>543</v>
      </c>
      <c r="C63" s="15" t="s">
        <v>544</v>
      </c>
      <c r="D63" s="13" t="s">
        <v>38</v>
      </c>
      <c r="E63" s="582">
        <v>126000</v>
      </c>
      <c r="F63" s="11"/>
    </row>
    <row r="64" spans="1:6" ht="20.100000000000001" customHeight="1" x14ac:dyDescent="0.2">
      <c r="A64" s="8">
        <v>3</v>
      </c>
      <c r="B64" s="9" t="s">
        <v>155</v>
      </c>
      <c r="C64" s="2" t="s">
        <v>156</v>
      </c>
      <c r="D64" s="8" t="s">
        <v>197</v>
      </c>
      <c r="E64" s="582">
        <v>90000</v>
      </c>
      <c r="F64" s="11"/>
    </row>
    <row r="65" spans="1:6" ht="20.100000000000001" customHeight="1" x14ac:dyDescent="0.2">
      <c r="A65" s="8">
        <v>4</v>
      </c>
      <c r="B65" s="16" t="s">
        <v>545</v>
      </c>
      <c r="C65" s="15" t="s">
        <v>158</v>
      </c>
      <c r="D65" s="13" t="s">
        <v>534</v>
      </c>
      <c r="E65" s="582">
        <v>90000</v>
      </c>
      <c r="F65" s="11"/>
    </row>
    <row r="66" spans="1:6" ht="20.100000000000001" customHeight="1" x14ac:dyDescent="0.2">
      <c r="A66" s="8">
        <v>5</v>
      </c>
      <c r="B66" s="12" t="s">
        <v>546</v>
      </c>
      <c r="C66" s="15" t="s">
        <v>156</v>
      </c>
      <c r="D66" s="13" t="s">
        <v>41</v>
      </c>
      <c r="E66" s="582">
        <v>90000</v>
      </c>
      <c r="F66" s="11"/>
    </row>
    <row r="67" spans="1:6" ht="20.100000000000001" customHeight="1" x14ac:dyDescent="0.2">
      <c r="A67" s="8">
        <v>7</v>
      </c>
      <c r="B67" s="9" t="s">
        <v>161</v>
      </c>
      <c r="C67" s="2" t="s">
        <v>139</v>
      </c>
      <c r="D67" s="8" t="s">
        <v>68</v>
      </c>
      <c r="E67" s="582">
        <v>68000</v>
      </c>
      <c r="F67" s="11"/>
    </row>
    <row r="68" spans="1:6" ht="20.100000000000001" customHeight="1" x14ac:dyDescent="0.2">
      <c r="A68" s="8">
        <v>8</v>
      </c>
      <c r="B68" s="9" t="s">
        <v>163</v>
      </c>
      <c r="C68" s="15" t="s">
        <v>70</v>
      </c>
      <c r="D68" s="8" t="s">
        <v>68</v>
      </c>
      <c r="E68" s="582">
        <v>68000</v>
      </c>
      <c r="F68" s="11"/>
    </row>
    <row r="69" spans="1:6" ht="20.100000000000001" customHeight="1" x14ac:dyDescent="0.2">
      <c r="A69" s="8">
        <v>9</v>
      </c>
      <c r="B69" s="9" t="s">
        <v>164</v>
      </c>
      <c r="C69" s="15" t="s">
        <v>70</v>
      </c>
      <c r="D69" s="8" t="s">
        <v>68</v>
      </c>
      <c r="E69" s="582">
        <v>68000</v>
      </c>
      <c r="F69" s="11"/>
    </row>
    <row r="70" spans="1:6" ht="20.100000000000001" customHeight="1" x14ac:dyDescent="0.2">
      <c r="A70" s="8">
        <v>10</v>
      </c>
      <c r="B70" s="9" t="s">
        <v>165</v>
      </c>
      <c r="C70" s="2" t="s">
        <v>166</v>
      </c>
      <c r="D70" s="8" t="s">
        <v>162</v>
      </c>
      <c r="E70" s="582">
        <v>68000</v>
      </c>
      <c r="F70" s="11"/>
    </row>
    <row r="71" spans="1:6" ht="21.6" customHeight="1" x14ac:dyDescent="0.2">
      <c r="A71" s="8">
        <v>11</v>
      </c>
      <c r="B71" s="9" t="s">
        <v>168</v>
      </c>
      <c r="C71" s="2" t="s">
        <v>139</v>
      </c>
      <c r="D71" s="8" t="s">
        <v>76</v>
      </c>
      <c r="E71" s="582">
        <v>68000</v>
      </c>
    </row>
    <row r="72" spans="1:6" ht="27" customHeight="1" x14ac:dyDescent="0.5">
      <c r="A72" s="8"/>
      <c r="B72" s="18" t="s">
        <v>111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 x14ac:dyDescent="0.2">
      <c r="A73" s="8"/>
      <c r="B73" s="20"/>
      <c r="C73" s="19"/>
      <c r="D73" s="19"/>
      <c r="E73" s="585"/>
      <c r="F73" s="11"/>
    </row>
    <row r="74" spans="1:6" ht="20.100000000000001" customHeight="1" x14ac:dyDescent="0.2">
      <c r="A74" s="8"/>
      <c r="B74" s="18" t="s">
        <v>169</v>
      </c>
      <c r="C74" s="19"/>
      <c r="D74" s="19"/>
      <c r="E74" s="585"/>
      <c r="F74" s="11"/>
    </row>
    <row r="75" spans="1:6" ht="20.100000000000001" customHeight="1" x14ac:dyDescent="0.2">
      <c r="A75" s="8">
        <v>1</v>
      </c>
      <c r="B75" s="9" t="s">
        <v>170</v>
      </c>
      <c r="C75" s="2" t="s">
        <v>171</v>
      </c>
      <c r="D75" s="8" t="s">
        <v>115</v>
      </c>
      <c r="E75" s="582">
        <v>270000</v>
      </c>
      <c r="F75" s="11"/>
    </row>
    <row r="76" spans="1:6" ht="20.100000000000001" customHeight="1" x14ac:dyDescent="0.2">
      <c r="A76" s="8">
        <v>2</v>
      </c>
      <c r="B76" s="12" t="s">
        <v>547</v>
      </c>
      <c r="C76" s="2" t="s">
        <v>548</v>
      </c>
      <c r="D76" s="13" t="s">
        <v>549</v>
      </c>
      <c r="E76" s="582">
        <v>126000</v>
      </c>
      <c r="F76" s="11"/>
    </row>
    <row r="77" spans="1:6" ht="20.100000000000001" customHeight="1" x14ac:dyDescent="0.2">
      <c r="A77" s="8">
        <v>3</v>
      </c>
      <c r="B77" s="16" t="s">
        <v>550</v>
      </c>
      <c r="C77" s="10" t="s">
        <v>551</v>
      </c>
      <c r="D77" s="8" t="s">
        <v>150</v>
      </c>
      <c r="E77" s="582">
        <v>126000</v>
      </c>
      <c r="F77" s="11"/>
    </row>
    <row r="78" spans="1:6" ht="20.100000000000001" customHeight="1" x14ac:dyDescent="0.2">
      <c r="A78" s="8">
        <v>4</v>
      </c>
      <c r="B78" s="9" t="s">
        <v>174</v>
      </c>
      <c r="C78" s="2" t="s">
        <v>175</v>
      </c>
      <c r="D78" s="13" t="s">
        <v>46</v>
      </c>
      <c r="E78" s="582">
        <v>90000</v>
      </c>
      <c r="F78" s="11"/>
    </row>
    <row r="79" spans="1:6" ht="20.100000000000001" customHeight="1" x14ac:dyDescent="0.2">
      <c r="A79" s="8">
        <v>5</v>
      </c>
      <c r="B79" s="9" t="s">
        <v>181</v>
      </c>
      <c r="C79" s="2" t="s">
        <v>184</v>
      </c>
      <c r="D79" s="8" t="s">
        <v>119</v>
      </c>
      <c r="E79" s="582">
        <v>68000</v>
      </c>
      <c r="F79" s="11"/>
    </row>
    <row r="80" spans="1:6" ht="20.100000000000001" customHeight="1" x14ac:dyDescent="0.2">
      <c r="A80" s="8">
        <v>6</v>
      </c>
      <c r="B80" s="9" t="s">
        <v>183</v>
      </c>
      <c r="C80" s="2" t="s">
        <v>184</v>
      </c>
      <c r="D80" s="8" t="s">
        <v>87</v>
      </c>
      <c r="E80" s="582">
        <v>54000</v>
      </c>
      <c r="F80" s="11"/>
    </row>
    <row r="81" spans="1:6" ht="20.100000000000001" customHeight="1" x14ac:dyDescent="0.2">
      <c r="A81" s="8">
        <v>7</v>
      </c>
      <c r="B81" s="9" t="s">
        <v>185</v>
      </c>
      <c r="C81" s="2" t="s">
        <v>186</v>
      </c>
      <c r="D81" s="8" t="s">
        <v>105</v>
      </c>
      <c r="E81" s="582">
        <v>54000</v>
      </c>
      <c r="F81" s="11"/>
    </row>
    <row r="82" spans="1:6" ht="20.100000000000001" customHeight="1" x14ac:dyDescent="0.5">
      <c r="A82" s="8"/>
      <c r="B82" s="18" t="s">
        <v>111</v>
      </c>
      <c r="C82" s="19">
        <v>7</v>
      </c>
      <c r="D82" s="19"/>
      <c r="E82" s="584">
        <f t="shared" ref="E82" si="2">SUM(E75:E81)</f>
        <v>788000</v>
      </c>
      <c r="F82" s="11"/>
    </row>
    <row r="83" spans="1:6" ht="20.100000000000001" customHeight="1" x14ac:dyDescent="0.2">
      <c r="A83" s="8"/>
      <c r="B83" s="18"/>
      <c r="C83" s="19"/>
      <c r="D83" s="19"/>
      <c r="E83" s="582"/>
      <c r="F83" s="11"/>
    </row>
    <row r="84" spans="1:6" ht="20.100000000000001" customHeight="1" x14ac:dyDescent="0.2">
      <c r="A84" s="8"/>
      <c r="B84" s="18" t="s">
        <v>187</v>
      </c>
      <c r="C84" s="23"/>
      <c r="D84" s="19"/>
      <c r="E84" s="582"/>
      <c r="F84" s="11"/>
    </row>
    <row r="85" spans="1:6" ht="20.100000000000001" customHeight="1" x14ac:dyDescent="0.2">
      <c r="A85" s="8">
        <v>1</v>
      </c>
      <c r="B85" s="9" t="s">
        <v>190</v>
      </c>
      <c r="C85" s="2" t="s">
        <v>130</v>
      </c>
      <c r="D85" s="8" t="s">
        <v>131</v>
      </c>
      <c r="E85" s="582">
        <v>126000</v>
      </c>
      <c r="F85" s="11"/>
    </row>
    <row r="86" spans="1:6" ht="20.100000000000001" customHeight="1" x14ac:dyDescent="0.2">
      <c r="A86" s="8">
        <v>2</v>
      </c>
      <c r="B86" s="9" t="s">
        <v>188</v>
      </c>
      <c r="C86" s="2" t="s">
        <v>130</v>
      </c>
      <c r="D86" s="8" t="s">
        <v>131</v>
      </c>
      <c r="E86" s="582">
        <v>126000</v>
      </c>
      <c r="F86" s="11"/>
    </row>
    <row r="87" spans="1:6" ht="20.100000000000001" customHeight="1" x14ac:dyDescent="0.2">
      <c r="A87" s="8">
        <v>3</v>
      </c>
      <c r="B87" s="9" t="s">
        <v>193</v>
      </c>
      <c r="C87" s="2" t="s">
        <v>130</v>
      </c>
      <c r="D87" s="8" t="s">
        <v>49</v>
      </c>
      <c r="E87" s="582">
        <v>126000</v>
      </c>
      <c r="F87" s="11"/>
    </row>
    <row r="88" spans="1:6" ht="21.6" customHeight="1" x14ac:dyDescent="0.2">
      <c r="A88" s="8">
        <v>4</v>
      </c>
      <c r="B88" s="9" t="s">
        <v>194</v>
      </c>
      <c r="C88" s="2" t="s">
        <v>552</v>
      </c>
      <c r="D88" s="13" t="s">
        <v>52</v>
      </c>
      <c r="E88" s="582">
        <v>90000</v>
      </c>
      <c r="F88" s="11"/>
    </row>
    <row r="89" spans="1:6" ht="21.6" customHeight="1" x14ac:dyDescent="0.2">
      <c r="A89" s="8">
        <v>5</v>
      </c>
      <c r="B89" s="9" t="s">
        <v>195</v>
      </c>
      <c r="C89" s="10" t="s">
        <v>158</v>
      </c>
      <c r="D89" s="13" t="s">
        <v>534</v>
      </c>
      <c r="E89" s="582">
        <v>90000</v>
      </c>
      <c r="F89" s="11"/>
    </row>
    <row r="90" spans="1:6" ht="21.6" customHeight="1" x14ac:dyDescent="0.2">
      <c r="A90" s="8">
        <v>6</v>
      </c>
      <c r="B90" s="9" t="s">
        <v>196</v>
      </c>
      <c r="C90" s="10" t="s">
        <v>156</v>
      </c>
      <c r="D90" s="13" t="s">
        <v>229</v>
      </c>
      <c r="E90" s="582">
        <v>90000</v>
      </c>
      <c r="F90" s="11"/>
    </row>
    <row r="91" spans="1:6" ht="21.6" customHeight="1" x14ac:dyDescent="0.2">
      <c r="A91" s="8">
        <v>7</v>
      </c>
      <c r="B91" s="9" t="s">
        <v>198</v>
      </c>
      <c r="C91" s="15" t="s">
        <v>70</v>
      </c>
      <c r="D91" s="13" t="s">
        <v>68</v>
      </c>
      <c r="E91" s="582">
        <v>68000</v>
      </c>
      <c r="F91" s="11"/>
    </row>
    <row r="92" spans="1:6" ht="21.6" customHeight="1" x14ac:dyDescent="0.2">
      <c r="A92" s="8">
        <v>8</v>
      </c>
      <c r="B92" s="9" t="s">
        <v>199</v>
      </c>
      <c r="C92" s="15" t="s">
        <v>158</v>
      </c>
      <c r="D92" s="13" t="s">
        <v>159</v>
      </c>
      <c r="E92" s="582">
        <v>90000</v>
      </c>
      <c r="F92" s="11"/>
    </row>
    <row r="93" spans="1:6" ht="21.6" customHeight="1" x14ac:dyDescent="0.2">
      <c r="A93" s="8">
        <v>9</v>
      </c>
      <c r="B93" s="9" t="s">
        <v>202</v>
      </c>
      <c r="C93" s="2" t="s">
        <v>203</v>
      </c>
      <c r="D93" s="8" t="s">
        <v>76</v>
      </c>
      <c r="E93" s="582">
        <v>68000</v>
      </c>
      <c r="F93" s="11"/>
    </row>
    <row r="94" spans="1:6" ht="21.6" customHeight="1" x14ac:dyDescent="0.2">
      <c r="A94" s="8">
        <v>10</v>
      </c>
      <c r="B94" s="9" t="s">
        <v>204</v>
      </c>
      <c r="C94" s="15" t="s">
        <v>205</v>
      </c>
      <c r="D94" s="13" t="s">
        <v>102</v>
      </c>
      <c r="E94" s="582">
        <v>54000</v>
      </c>
      <c r="F94" s="11"/>
    </row>
    <row r="95" spans="1:6" ht="20.100000000000001" customHeight="1" x14ac:dyDescent="0.5">
      <c r="A95" s="8"/>
      <c r="B95" s="18" t="s">
        <v>111</v>
      </c>
      <c r="C95" s="19">
        <v>11</v>
      </c>
      <c r="D95" s="19"/>
      <c r="E95" s="584">
        <f>SUM(E85:E94)</f>
        <v>928000</v>
      </c>
      <c r="F95" s="11"/>
    </row>
    <row r="96" spans="1:6" ht="20.100000000000001" customHeight="1" x14ac:dyDescent="0.2">
      <c r="A96" s="8"/>
      <c r="B96" s="20"/>
      <c r="C96" s="19"/>
      <c r="D96" s="19"/>
      <c r="E96" s="585"/>
      <c r="F96" s="11"/>
    </row>
    <row r="97" spans="1:6" ht="20.100000000000001" customHeight="1" x14ac:dyDescent="0.2">
      <c r="A97" s="8"/>
      <c r="B97" s="18" t="s">
        <v>207</v>
      </c>
      <c r="C97" s="19"/>
      <c r="D97" s="19"/>
      <c r="E97" s="585"/>
      <c r="F97" s="11"/>
    </row>
    <row r="98" spans="1:6" ht="20.100000000000001" customHeight="1" x14ac:dyDescent="0.2">
      <c r="A98" s="8">
        <v>1</v>
      </c>
      <c r="B98" s="12" t="s">
        <v>208</v>
      </c>
      <c r="C98" s="2" t="s">
        <v>209</v>
      </c>
      <c r="D98" s="14" t="s">
        <v>128</v>
      </c>
      <c r="E98" s="582">
        <v>270000</v>
      </c>
      <c r="F98" s="11"/>
    </row>
    <row r="99" spans="1:6" ht="20.100000000000001" customHeight="1" x14ac:dyDescent="0.2">
      <c r="A99" s="8">
        <v>2</v>
      </c>
      <c r="B99" s="9" t="s">
        <v>211</v>
      </c>
      <c r="C99" s="2" t="s">
        <v>212</v>
      </c>
      <c r="D99" s="13" t="s">
        <v>46</v>
      </c>
      <c r="E99" s="582">
        <v>90000</v>
      </c>
      <c r="F99" s="11"/>
    </row>
    <row r="100" spans="1:6" ht="20.100000000000001" customHeight="1" x14ac:dyDescent="0.2">
      <c r="A100" s="8">
        <v>3</v>
      </c>
      <c r="B100" s="9" t="s">
        <v>217</v>
      </c>
      <c r="C100" s="2" t="s">
        <v>218</v>
      </c>
      <c r="D100" s="13" t="s">
        <v>162</v>
      </c>
      <c r="E100" s="582">
        <v>68000</v>
      </c>
      <c r="F100" s="11"/>
    </row>
    <row r="101" spans="1:6" ht="20.100000000000001" customHeight="1" x14ac:dyDescent="0.2">
      <c r="A101" s="8">
        <v>4</v>
      </c>
      <c r="B101" s="9" t="s">
        <v>219</v>
      </c>
      <c r="C101" s="2" t="s">
        <v>220</v>
      </c>
      <c r="D101" s="13" t="s">
        <v>76</v>
      </c>
      <c r="E101" s="582">
        <v>68000</v>
      </c>
      <c r="F101" s="11"/>
    </row>
    <row r="102" spans="1:6" ht="20.100000000000001" customHeight="1" x14ac:dyDescent="0.5">
      <c r="A102" s="2"/>
      <c r="B102" s="18" t="s">
        <v>111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 x14ac:dyDescent="0.2">
      <c r="A103" s="2"/>
      <c r="B103" s="20"/>
      <c r="C103" s="19"/>
      <c r="D103" s="24"/>
      <c r="E103" s="585"/>
      <c r="F103" s="11"/>
    </row>
    <row r="104" spans="1:6" ht="20.100000000000001" customHeight="1" x14ac:dyDescent="0.2">
      <c r="A104" s="2"/>
      <c r="B104" s="18" t="s">
        <v>221</v>
      </c>
      <c r="C104" s="2"/>
      <c r="D104" s="2"/>
      <c r="E104" s="586"/>
      <c r="F104" s="11"/>
    </row>
    <row r="105" spans="1:6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582">
        <v>270000</v>
      </c>
      <c r="F105" s="11"/>
    </row>
    <row r="106" spans="1:6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154</v>
      </c>
      <c r="E106" s="582">
        <v>180000</v>
      </c>
      <c r="F106" s="11"/>
    </row>
    <row r="107" spans="1:6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582">
        <v>90000</v>
      </c>
      <c r="F107" s="11"/>
    </row>
    <row r="108" spans="1:6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52</v>
      </c>
      <c r="E108" s="582">
        <v>90000</v>
      </c>
      <c r="F108" s="11"/>
    </row>
    <row r="109" spans="1:6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553</v>
      </c>
      <c r="E109" s="582">
        <v>54000</v>
      </c>
      <c r="F109" s="11"/>
    </row>
    <row r="110" spans="1:6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554</v>
      </c>
      <c r="E110" s="582">
        <v>54000</v>
      </c>
      <c r="F110" s="11"/>
    </row>
    <row r="111" spans="1:6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102</v>
      </c>
      <c r="E111" s="582">
        <v>54000</v>
      </c>
      <c r="F111" s="11"/>
    </row>
    <row r="112" spans="1:6" ht="25.5" customHeight="1" x14ac:dyDescent="0.5">
      <c r="A112" s="2"/>
      <c r="B112" s="18" t="s">
        <v>111</v>
      </c>
      <c r="C112" s="19">
        <v>7</v>
      </c>
      <c r="D112" s="2"/>
      <c r="E112" s="587">
        <f t="shared" ref="E112" si="4">SUM(E105:E111)</f>
        <v>792000</v>
      </c>
      <c r="F112" s="11"/>
    </row>
    <row r="113" spans="1:6" ht="20.100000000000001" customHeight="1" x14ac:dyDescent="0.5">
      <c r="A113" s="2"/>
      <c r="B113" s="18"/>
      <c r="C113" s="19"/>
      <c r="D113" s="2"/>
      <c r="E113" s="587"/>
      <c r="F113" s="11"/>
    </row>
    <row r="114" spans="1:6" ht="20.100000000000001" customHeight="1" x14ac:dyDescent="0.2">
      <c r="A114" s="8"/>
      <c r="B114" s="18" t="s">
        <v>235</v>
      </c>
      <c r="C114" s="19"/>
      <c r="D114" s="19"/>
      <c r="E114" s="585"/>
      <c r="F114" s="11"/>
    </row>
    <row r="115" spans="1:6" ht="20.100000000000001" customHeight="1" x14ac:dyDescent="0.2">
      <c r="A115" s="8">
        <v>1</v>
      </c>
      <c r="B115" s="12" t="s">
        <v>152</v>
      </c>
      <c r="C115" s="2" t="s">
        <v>130</v>
      </c>
      <c r="D115" s="8" t="s">
        <v>38</v>
      </c>
      <c r="E115" s="582">
        <v>126000</v>
      </c>
      <c r="F115" s="11"/>
    </row>
    <row r="116" spans="1:6" ht="18.75" customHeight="1" x14ac:dyDescent="0.2">
      <c r="A116" s="8">
        <v>2</v>
      </c>
      <c r="B116" s="9" t="s">
        <v>236</v>
      </c>
      <c r="C116" s="2" t="s">
        <v>237</v>
      </c>
      <c r="D116" s="13" t="s">
        <v>162</v>
      </c>
      <c r="E116" s="582">
        <v>68000</v>
      </c>
      <c r="F116" s="11"/>
    </row>
    <row r="117" spans="1:6" ht="20.100000000000001" customHeight="1" x14ac:dyDescent="0.2">
      <c r="A117" s="8">
        <v>3</v>
      </c>
      <c r="B117" s="9" t="s">
        <v>177</v>
      </c>
      <c r="C117" s="10" t="s">
        <v>555</v>
      </c>
      <c r="D117" s="13" t="s">
        <v>65</v>
      </c>
      <c r="E117" s="582">
        <v>68000</v>
      </c>
      <c r="F117" s="11"/>
    </row>
    <row r="118" spans="1:6" ht="24.75" customHeight="1" x14ac:dyDescent="0.5">
      <c r="A118" s="2"/>
      <c r="B118" s="18" t="s">
        <v>111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 x14ac:dyDescent="0.2">
      <c r="A119" s="2"/>
      <c r="B119" s="20"/>
      <c r="C119" s="8"/>
      <c r="D119" s="2"/>
      <c r="E119" s="588"/>
      <c r="F119" s="11"/>
    </row>
    <row r="120" spans="1:6" ht="20.100000000000001" customHeight="1" x14ac:dyDescent="0.2">
      <c r="A120" s="2"/>
      <c r="B120" s="18" t="s">
        <v>250</v>
      </c>
      <c r="C120" s="19"/>
      <c r="D120" s="19"/>
      <c r="E120" s="582"/>
      <c r="F120" s="11"/>
    </row>
    <row r="121" spans="1:6" ht="20.100000000000001" customHeight="1" x14ac:dyDescent="0.2">
      <c r="A121" s="2">
        <v>1</v>
      </c>
      <c r="B121" s="9" t="s">
        <v>251</v>
      </c>
      <c r="C121" s="10" t="s">
        <v>252</v>
      </c>
      <c r="D121" s="13" t="s">
        <v>115</v>
      </c>
      <c r="E121" s="582">
        <v>270000</v>
      </c>
      <c r="F121" s="11"/>
    </row>
    <row r="122" spans="1:6" ht="20.100000000000001" customHeight="1" x14ac:dyDescent="0.2">
      <c r="A122" s="2">
        <v>2</v>
      </c>
      <c r="B122" s="9" t="s">
        <v>253</v>
      </c>
      <c r="C122" s="10" t="s">
        <v>254</v>
      </c>
      <c r="D122" s="13" t="s">
        <v>35</v>
      </c>
      <c r="E122" s="582">
        <v>180000</v>
      </c>
      <c r="F122" s="11"/>
    </row>
    <row r="123" spans="1:6" ht="20.100000000000001" customHeight="1" x14ac:dyDescent="0.2">
      <c r="A123" s="2">
        <v>3</v>
      </c>
      <c r="B123" s="12" t="s">
        <v>255</v>
      </c>
      <c r="C123" s="10" t="s">
        <v>256</v>
      </c>
      <c r="D123" s="13" t="s">
        <v>131</v>
      </c>
      <c r="E123" s="582">
        <v>126000</v>
      </c>
      <c r="F123" s="11"/>
    </row>
    <row r="124" spans="1:6" ht="20.100000000000001" customHeight="1" x14ac:dyDescent="0.2">
      <c r="A124" s="2">
        <v>4</v>
      </c>
      <c r="B124" s="12" t="s">
        <v>556</v>
      </c>
      <c r="C124" s="10" t="s">
        <v>256</v>
      </c>
      <c r="D124" s="13" t="s">
        <v>49</v>
      </c>
      <c r="E124" s="582">
        <v>126000</v>
      </c>
      <c r="F124" s="11"/>
    </row>
    <row r="125" spans="1:6" ht="20.100000000000001" customHeight="1" x14ac:dyDescent="0.2">
      <c r="A125" s="2">
        <v>5</v>
      </c>
      <c r="B125" s="9" t="s">
        <v>257</v>
      </c>
      <c r="C125" s="10" t="s">
        <v>258</v>
      </c>
      <c r="D125" s="13" t="s">
        <v>176</v>
      </c>
      <c r="E125" s="582">
        <v>90000</v>
      </c>
      <c r="F125" s="11"/>
    </row>
    <row r="126" spans="1:6" ht="20.100000000000001" customHeight="1" x14ac:dyDescent="0.2">
      <c r="A126" s="2">
        <v>6</v>
      </c>
      <c r="B126" s="9" t="s">
        <v>259</v>
      </c>
      <c r="C126" s="10" t="s">
        <v>489</v>
      </c>
      <c r="D126" s="13" t="s">
        <v>197</v>
      </c>
      <c r="E126" s="582">
        <v>90000</v>
      </c>
      <c r="F126" s="11"/>
    </row>
    <row r="127" spans="1:6" ht="20.100000000000001" customHeight="1" x14ac:dyDescent="0.2">
      <c r="A127" s="2">
        <v>7</v>
      </c>
      <c r="B127" s="9" t="s">
        <v>260</v>
      </c>
      <c r="C127" s="10" t="s">
        <v>258</v>
      </c>
      <c r="D127" s="13" t="s">
        <v>46</v>
      </c>
      <c r="E127" s="582">
        <v>90000</v>
      </c>
      <c r="F127" s="11"/>
    </row>
    <row r="128" spans="1:6" ht="20.100000000000001" customHeight="1" x14ac:dyDescent="0.2">
      <c r="A128" s="2">
        <v>8</v>
      </c>
      <c r="B128" s="9" t="s">
        <v>263</v>
      </c>
      <c r="C128" s="10" t="s">
        <v>264</v>
      </c>
      <c r="D128" s="8" t="s">
        <v>84</v>
      </c>
      <c r="E128" s="582">
        <v>54000</v>
      </c>
      <c r="F128" s="11"/>
    </row>
    <row r="129" spans="1:6" ht="20.100000000000001" customHeight="1" x14ac:dyDescent="0.2">
      <c r="A129" s="2">
        <v>9</v>
      </c>
      <c r="B129" s="16" t="s">
        <v>265</v>
      </c>
      <c r="C129" s="10" t="s">
        <v>266</v>
      </c>
      <c r="D129" s="13" t="s">
        <v>105</v>
      </c>
      <c r="E129" s="582">
        <v>54000</v>
      </c>
      <c r="F129" s="11"/>
    </row>
    <row r="130" spans="1:6" ht="20.100000000000001" customHeight="1" x14ac:dyDescent="0.2">
      <c r="A130" s="2">
        <v>10</v>
      </c>
      <c r="B130" s="16" t="s">
        <v>267</v>
      </c>
      <c r="C130" s="10" t="s">
        <v>262</v>
      </c>
      <c r="D130" s="13" t="s">
        <v>105</v>
      </c>
      <c r="E130" s="582">
        <v>54000</v>
      </c>
      <c r="F130" s="11"/>
    </row>
    <row r="131" spans="1:6" ht="28.5" customHeight="1" x14ac:dyDescent="0.2">
      <c r="A131" s="2"/>
      <c r="B131" s="18" t="s">
        <v>111</v>
      </c>
      <c r="C131" s="24" t="s">
        <v>490</v>
      </c>
      <c r="D131" s="13"/>
      <c r="E131" s="585">
        <f t="shared" ref="E131" si="6">SUM(E121:E130)</f>
        <v>1134000</v>
      </c>
      <c r="F131" s="11"/>
    </row>
    <row r="132" spans="1:6" ht="20.100000000000001" customHeight="1" x14ac:dyDescent="0.2">
      <c r="A132" s="2"/>
      <c r="B132" s="20"/>
      <c r="C132" s="24"/>
      <c r="D132" s="13"/>
      <c r="E132" s="585"/>
      <c r="F132" s="11"/>
    </row>
    <row r="133" spans="1:6" ht="20.100000000000001" customHeight="1" x14ac:dyDescent="0.2">
      <c r="A133" s="2"/>
      <c r="B133" s="18" t="s">
        <v>270</v>
      </c>
      <c r="C133" s="10"/>
      <c r="D133" s="13"/>
      <c r="E133" s="582"/>
      <c r="F133" s="11"/>
    </row>
    <row r="134" spans="1:6" ht="20.100000000000001" customHeight="1" x14ac:dyDescent="0.2">
      <c r="A134" s="25">
        <v>1</v>
      </c>
      <c r="B134" s="9" t="s">
        <v>557</v>
      </c>
      <c r="C134" s="10" t="s">
        <v>558</v>
      </c>
      <c r="D134" s="13" t="s">
        <v>115</v>
      </c>
      <c r="E134" s="582">
        <v>270000</v>
      </c>
      <c r="F134" s="11"/>
    </row>
    <row r="135" spans="1:6" ht="20.100000000000001" customHeight="1" x14ac:dyDescent="0.2">
      <c r="A135" s="25">
        <v>2</v>
      </c>
      <c r="B135" s="9" t="s">
        <v>559</v>
      </c>
      <c r="C135" s="10" t="s">
        <v>560</v>
      </c>
      <c r="D135" s="13" t="s">
        <v>154</v>
      </c>
      <c r="E135" s="582">
        <v>180000</v>
      </c>
      <c r="F135" s="11"/>
    </row>
    <row r="136" spans="1:6" ht="20.100000000000001" customHeight="1" x14ac:dyDescent="0.2">
      <c r="A136" s="25">
        <v>3</v>
      </c>
      <c r="B136" s="12" t="s">
        <v>274</v>
      </c>
      <c r="C136" s="2" t="s">
        <v>275</v>
      </c>
      <c r="D136" s="14" t="s">
        <v>154</v>
      </c>
      <c r="E136" s="582">
        <v>180000</v>
      </c>
      <c r="F136" s="11"/>
    </row>
    <row r="137" spans="1:6" ht="20.100000000000001" customHeight="1" x14ac:dyDescent="0.2">
      <c r="A137" s="25">
        <v>4</v>
      </c>
      <c r="B137" s="9" t="s">
        <v>276</v>
      </c>
      <c r="C137" s="10" t="s">
        <v>561</v>
      </c>
      <c r="D137" s="13" t="s">
        <v>41</v>
      </c>
      <c r="E137" s="582">
        <v>90000</v>
      </c>
      <c r="F137" s="11"/>
    </row>
    <row r="138" spans="1:6" ht="20.100000000000001" customHeight="1" x14ac:dyDescent="0.2">
      <c r="A138" s="25">
        <v>5</v>
      </c>
      <c r="B138" s="9" t="s">
        <v>278</v>
      </c>
      <c r="C138" s="2" t="s">
        <v>562</v>
      </c>
      <c r="D138" s="13" t="s">
        <v>41</v>
      </c>
      <c r="E138" s="582">
        <v>90000</v>
      </c>
      <c r="F138" s="11"/>
    </row>
    <row r="139" spans="1:6" ht="20.100000000000001" customHeight="1" x14ac:dyDescent="0.2">
      <c r="A139" s="25">
        <v>6</v>
      </c>
      <c r="B139" s="9" t="s">
        <v>280</v>
      </c>
      <c r="C139" s="2" t="s">
        <v>562</v>
      </c>
      <c r="D139" s="13" t="s">
        <v>41</v>
      </c>
      <c r="E139" s="582">
        <v>90000</v>
      </c>
      <c r="F139" s="11"/>
    </row>
    <row r="140" spans="1:6" ht="20.100000000000001" customHeight="1" x14ac:dyDescent="0.2">
      <c r="A140" s="25">
        <v>7</v>
      </c>
      <c r="B140" s="9" t="s">
        <v>213</v>
      </c>
      <c r="C140" s="10" t="s">
        <v>563</v>
      </c>
      <c r="D140" s="13" t="s">
        <v>65</v>
      </c>
      <c r="E140" s="582">
        <v>68000</v>
      </c>
      <c r="F140" s="11"/>
    </row>
    <row r="141" spans="1:6" ht="20.100000000000001" customHeight="1" x14ac:dyDescent="0.2">
      <c r="A141" s="25">
        <v>8</v>
      </c>
      <c r="B141" s="9" t="s">
        <v>281</v>
      </c>
      <c r="C141" s="10" t="s">
        <v>563</v>
      </c>
      <c r="D141" s="13" t="s">
        <v>65</v>
      </c>
      <c r="E141" s="582">
        <v>68000</v>
      </c>
      <c r="F141" s="11"/>
    </row>
    <row r="142" spans="1:6" ht="20.100000000000001" customHeight="1" x14ac:dyDescent="0.2">
      <c r="A142" s="25">
        <v>9</v>
      </c>
      <c r="B142" s="9" t="s">
        <v>282</v>
      </c>
      <c r="C142" s="2" t="s">
        <v>564</v>
      </c>
      <c r="D142" s="13" t="s">
        <v>65</v>
      </c>
      <c r="E142" s="582">
        <v>68000</v>
      </c>
      <c r="F142" s="11"/>
    </row>
    <row r="143" spans="1:6" ht="20.100000000000001" customHeight="1" x14ac:dyDescent="0.2">
      <c r="A143" s="25">
        <v>10</v>
      </c>
      <c r="B143" s="9" t="s">
        <v>284</v>
      </c>
      <c r="C143" s="10" t="s">
        <v>285</v>
      </c>
      <c r="D143" s="13" t="s">
        <v>162</v>
      </c>
      <c r="E143" s="582">
        <v>68000</v>
      </c>
      <c r="F143" s="11"/>
    </row>
    <row r="144" spans="1:6" ht="20.100000000000001" customHeight="1" x14ac:dyDescent="0.2">
      <c r="A144" s="25">
        <v>11</v>
      </c>
      <c r="B144" s="9" t="s">
        <v>286</v>
      </c>
      <c r="C144" s="10" t="s">
        <v>287</v>
      </c>
      <c r="D144" s="13" t="s">
        <v>68</v>
      </c>
      <c r="E144" s="582">
        <v>68000</v>
      </c>
      <c r="F144" s="11"/>
    </row>
    <row r="145" spans="1:6" ht="20.100000000000001" customHeight="1" x14ac:dyDescent="0.2">
      <c r="A145" s="25">
        <v>12</v>
      </c>
      <c r="B145" s="9" t="s">
        <v>60</v>
      </c>
      <c r="C145" s="10" t="s">
        <v>565</v>
      </c>
      <c r="D145" s="13" t="s">
        <v>65</v>
      </c>
      <c r="E145" s="582">
        <v>68000</v>
      </c>
      <c r="F145" s="11"/>
    </row>
    <row r="146" spans="1:6" ht="20.100000000000001" customHeight="1" x14ac:dyDescent="0.2">
      <c r="A146" s="25">
        <v>13</v>
      </c>
      <c r="B146" s="16" t="s">
        <v>288</v>
      </c>
      <c r="C146" s="2" t="s">
        <v>289</v>
      </c>
      <c r="D146" s="13" t="s">
        <v>137</v>
      </c>
      <c r="E146" s="582">
        <v>68000</v>
      </c>
      <c r="F146" s="11"/>
    </row>
    <row r="147" spans="1:6" ht="20.100000000000001" customHeight="1" x14ac:dyDescent="0.2">
      <c r="A147" s="25">
        <v>14</v>
      </c>
      <c r="B147" s="9" t="s">
        <v>290</v>
      </c>
      <c r="C147" s="2" t="s">
        <v>566</v>
      </c>
      <c r="D147" s="13" t="s">
        <v>119</v>
      </c>
      <c r="E147" s="582">
        <v>68000</v>
      </c>
      <c r="F147" s="11"/>
    </row>
    <row r="148" spans="1:6" ht="20.100000000000001" customHeight="1" x14ac:dyDescent="0.2">
      <c r="A148" s="25">
        <v>15</v>
      </c>
      <c r="B148" s="9" t="s">
        <v>291</v>
      </c>
      <c r="C148" s="2" t="s">
        <v>566</v>
      </c>
      <c r="D148" s="13" t="s">
        <v>300</v>
      </c>
      <c r="E148" s="582">
        <v>68000</v>
      </c>
      <c r="F148" s="11"/>
    </row>
    <row r="149" spans="1:6" ht="20.100000000000001" customHeight="1" x14ac:dyDescent="0.2">
      <c r="A149" s="25">
        <v>16</v>
      </c>
      <c r="B149" s="9" t="s">
        <v>293</v>
      </c>
      <c r="C149" s="2" t="s">
        <v>566</v>
      </c>
      <c r="D149" s="13" t="s">
        <v>300</v>
      </c>
      <c r="E149" s="582">
        <v>68000</v>
      </c>
      <c r="F149" s="11"/>
    </row>
    <row r="150" spans="1:6" ht="20.100000000000001" customHeight="1" x14ac:dyDescent="0.2">
      <c r="A150" s="25">
        <v>17</v>
      </c>
      <c r="B150" s="9" t="s">
        <v>294</v>
      </c>
      <c r="C150" s="10" t="s">
        <v>295</v>
      </c>
      <c r="D150" s="13" t="s">
        <v>76</v>
      </c>
      <c r="E150" s="582">
        <v>68000</v>
      </c>
      <c r="F150" s="11"/>
    </row>
    <row r="151" spans="1:6" ht="20.100000000000001" customHeight="1" x14ac:dyDescent="0.2">
      <c r="A151" s="25">
        <v>18</v>
      </c>
      <c r="B151" s="9" t="s">
        <v>296</v>
      </c>
      <c r="C151" s="10" t="s">
        <v>297</v>
      </c>
      <c r="D151" s="8" t="s">
        <v>87</v>
      </c>
      <c r="E151" s="582">
        <v>54000</v>
      </c>
      <c r="F151" s="11"/>
    </row>
    <row r="152" spans="1:6" ht="20.100000000000001" customHeight="1" x14ac:dyDescent="0.2">
      <c r="A152" s="25">
        <v>19</v>
      </c>
      <c r="B152" s="9" t="s">
        <v>298</v>
      </c>
      <c r="C152" s="10" t="s">
        <v>299</v>
      </c>
      <c r="D152" s="13" t="s">
        <v>119</v>
      </c>
      <c r="E152" s="582">
        <v>68000</v>
      </c>
      <c r="F152" s="11"/>
    </row>
    <row r="153" spans="1:6" ht="20.100000000000001" customHeight="1" x14ac:dyDescent="0.2">
      <c r="A153" s="25">
        <v>20</v>
      </c>
      <c r="B153" s="9" t="s">
        <v>301</v>
      </c>
      <c r="C153" s="10" t="s">
        <v>302</v>
      </c>
      <c r="D153" s="13" t="s">
        <v>84</v>
      </c>
      <c r="E153" s="582">
        <v>54000</v>
      </c>
      <c r="F153" s="11"/>
    </row>
    <row r="154" spans="1:6" ht="20.100000000000001" customHeight="1" x14ac:dyDescent="0.2">
      <c r="A154" s="25">
        <v>21</v>
      </c>
      <c r="B154" s="9" t="s">
        <v>303</v>
      </c>
      <c r="C154" s="10" t="s">
        <v>304</v>
      </c>
      <c r="D154" s="13" t="s">
        <v>119</v>
      </c>
      <c r="E154" s="582">
        <v>68000</v>
      </c>
      <c r="F154" s="11"/>
    </row>
    <row r="155" spans="1:6" ht="20.100000000000001" customHeight="1" x14ac:dyDescent="0.2">
      <c r="A155" s="25">
        <v>22</v>
      </c>
      <c r="B155" s="9" t="s">
        <v>305</v>
      </c>
      <c r="C155" s="10" t="s">
        <v>306</v>
      </c>
      <c r="D155" s="13" t="s">
        <v>84</v>
      </c>
      <c r="E155" s="582">
        <v>54000</v>
      </c>
      <c r="F155" s="11"/>
    </row>
    <row r="156" spans="1:6" ht="20.100000000000001" customHeight="1" x14ac:dyDescent="0.2">
      <c r="A156" s="25">
        <v>23</v>
      </c>
      <c r="B156" s="16" t="s">
        <v>307</v>
      </c>
      <c r="C156" s="10" t="s">
        <v>308</v>
      </c>
      <c r="D156" s="13" t="s">
        <v>96</v>
      </c>
      <c r="E156" s="582">
        <v>54000</v>
      </c>
      <c r="F156" s="11"/>
    </row>
    <row r="157" spans="1:6" ht="20.100000000000001" customHeight="1" x14ac:dyDescent="0.2">
      <c r="A157" s="25">
        <v>24</v>
      </c>
      <c r="B157" s="16" t="s">
        <v>312</v>
      </c>
      <c r="C157" s="10" t="s">
        <v>313</v>
      </c>
      <c r="D157" s="13" t="s">
        <v>105</v>
      </c>
      <c r="E157" s="582">
        <v>54000</v>
      </c>
      <c r="F157" s="11"/>
    </row>
    <row r="158" spans="1:6" ht="20.100000000000001" customHeight="1" x14ac:dyDescent="0.2">
      <c r="A158" s="25">
        <v>25</v>
      </c>
      <c r="B158" s="16" t="s">
        <v>314</v>
      </c>
      <c r="C158" s="10" t="s">
        <v>315</v>
      </c>
      <c r="D158" s="13" t="s">
        <v>105</v>
      </c>
      <c r="E158" s="582">
        <v>54000</v>
      </c>
      <c r="F158" s="11"/>
    </row>
    <row r="159" spans="1:6" ht="20.100000000000001" customHeight="1" x14ac:dyDescent="0.2">
      <c r="A159" s="25">
        <v>26</v>
      </c>
      <c r="B159" s="16" t="s">
        <v>316</v>
      </c>
      <c r="C159" s="10" t="s">
        <v>317</v>
      </c>
      <c r="D159" s="13" t="s">
        <v>105</v>
      </c>
      <c r="E159" s="582">
        <v>54000</v>
      </c>
      <c r="F159" s="11"/>
    </row>
    <row r="160" spans="1:6" ht="20.100000000000001" customHeight="1" x14ac:dyDescent="0.2">
      <c r="A160" s="25">
        <v>27</v>
      </c>
      <c r="B160" s="16" t="s">
        <v>318</v>
      </c>
      <c r="C160" s="10" t="s">
        <v>319</v>
      </c>
      <c r="D160" s="13" t="s">
        <v>102</v>
      </c>
      <c r="E160" s="582">
        <v>54000</v>
      </c>
      <c r="F160" s="11"/>
    </row>
    <row r="161" spans="1:6" ht="20.100000000000001" customHeight="1" x14ac:dyDescent="0.2">
      <c r="A161" s="25">
        <v>28</v>
      </c>
      <c r="B161" s="16" t="s">
        <v>320</v>
      </c>
      <c r="C161" s="10" t="s">
        <v>315</v>
      </c>
      <c r="D161" s="13" t="s">
        <v>105</v>
      </c>
      <c r="E161" s="582">
        <v>54000</v>
      </c>
      <c r="F161" s="11"/>
    </row>
    <row r="162" spans="1:6" ht="20.100000000000001" customHeight="1" x14ac:dyDescent="0.2">
      <c r="A162" s="25">
        <v>29</v>
      </c>
      <c r="B162" s="9" t="s">
        <v>329</v>
      </c>
      <c r="C162" s="10" t="s">
        <v>330</v>
      </c>
      <c r="D162" s="13" t="s">
        <v>337</v>
      </c>
      <c r="E162" s="582">
        <v>36000</v>
      </c>
      <c r="F162" s="11"/>
    </row>
    <row r="163" spans="1:6" ht="20.100000000000001" customHeight="1" x14ac:dyDescent="0.2">
      <c r="A163" s="25">
        <v>30</v>
      </c>
      <c r="B163" s="9" t="s">
        <v>332</v>
      </c>
      <c r="C163" s="10" t="s">
        <v>330</v>
      </c>
      <c r="D163" s="13" t="s">
        <v>337</v>
      </c>
      <c r="E163" s="582">
        <v>36000</v>
      </c>
      <c r="F163" s="11"/>
    </row>
    <row r="164" spans="1:6" ht="20.100000000000001" customHeight="1" x14ac:dyDescent="0.2">
      <c r="A164" s="25">
        <v>31</v>
      </c>
      <c r="B164" s="9" t="s">
        <v>333</v>
      </c>
      <c r="C164" s="10" t="s">
        <v>330</v>
      </c>
      <c r="D164" s="13" t="s">
        <v>337</v>
      </c>
      <c r="E164" s="582">
        <v>36000</v>
      </c>
      <c r="F164" s="11"/>
    </row>
    <row r="165" spans="1:6" ht="20.100000000000001" customHeight="1" x14ac:dyDescent="0.2">
      <c r="A165" s="25">
        <v>32</v>
      </c>
      <c r="B165" s="9" t="s">
        <v>334</v>
      </c>
      <c r="C165" s="10" t="s">
        <v>330</v>
      </c>
      <c r="D165" s="13" t="s">
        <v>337</v>
      </c>
      <c r="E165" s="582">
        <v>36000</v>
      </c>
      <c r="F165" s="11"/>
    </row>
    <row r="166" spans="1:6" ht="20.100000000000001" customHeight="1" x14ac:dyDescent="0.2">
      <c r="A166" s="25">
        <v>33</v>
      </c>
      <c r="B166" s="9" t="s">
        <v>335</v>
      </c>
      <c r="C166" s="10" t="s">
        <v>330</v>
      </c>
      <c r="D166" s="13" t="s">
        <v>337</v>
      </c>
      <c r="E166" s="582">
        <v>36000</v>
      </c>
      <c r="F166" s="11"/>
    </row>
    <row r="167" spans="1:6" ht="20.100000000000001" customHeight="1" x14ac:dyDescent="0.2">
      <c r="A167" s="25">
        <v>34</v>
      </c>
      <c r="B167" s="9" t="s">
        <v>336</v>
      </c>
      <c r="C167" s="10" t="s">
        <v>330</v>
      </c>
      <c r="D167" s="13" t="s">
        <v>348</v>
      </c>
      <c r="E167" s="582">
        <v>36000</v>
      </c>
      <c r="F167" s="11"/>
    </row>
    <row r="168" spans="1:6" ht="20.100000000000001" customHeight="1" x14ac:dyDescent="0.2">
      <c r="A168" s="25">
        <v>35</v>
      </c>
      <c r="B168" s="9" t="s">
        <v>338</v>
      </c>
      <c r="C168" s="10" t="s">
        <v>330</v>
      </c>
      <c r="D168" s="13" t="s">
        <v>348</v>
      </c>
      <c r="E168" s="582">
        <v>36000</v>
      </c>
      <c r="F168" s="11"/>
    </row>
    <row r="169" spans="1:6" ht="20.100000000000001" customHeight="1" x14ac:dyDescent="0.2">
      <c r="A169" s="25">
        <v>36</v>
      </c>
      <c r="B169" s="12" t="s">
        <v>339</v>
      </c>
      <c r="C169" s="10" t="s">
        <v>330</v>
      </c>
      <c r="D169" s="13" t="s">
        <v>348</v>
      </c>
      <c r="E169" s="582">
        <v>36000</v>
      </c>
      <c r="F169" s="11"/>
    </row>
    <row r="170" spans="1:6" ht="20.100000000000001" customHeight="1" x14ac:dyDescent="0.2">
      <c r="A170" s="25">
        <v>37</v>
      </c>
      <c r="B170" s="9" t="s">
        <v>340</v>
      </c>
      <c r="C170" s="10" t="s">
        <v>330</v>
      </c>
      <c r="D170" s="13" t="s">
        <v>348</v>
      </c>
      <c r="E170" s="582">
        <v>36000</v>
      </c>
      <c r="F170" s="11"/>
    </row>
    <row r="171" spans="1:6" ht="20.100000000000001" customHeight="1" x14ac:dyDescent="0.2">
      <c r="A171" s="25">
        <v>38</v>
      </c>
      <c r="B171" s="16" t="s">
        <v>341</v>
      </c>
      <c r="C171" s="10" t="s">
        <v>330</v>
      </c>
      <c r="D171" s="13" t="s">
        <v>348</v>
      </c>
      <c r="E171" s="582">
        <v>36000</v>
      </c>
      <c r="F171" s="11"/>
    </row>
    <row r="172" spans="1:6" ht="20.100000000000001" customHeight="1" x14ac:dyDescent="0.2">
      <c r="A172" s="25">
        <v>39</v>
      </c>
      <c r="B172" s="16" t="s">
        <v>342</v>
      </c>
      <c r="C172" s="10" t="s">
        <v>330</v>
      </c>
      <c r="D172" s="13" t="s">
        <v>348</v>
      </c>
      <c r="E172" s="582">
        <v>36000</v>
      </c>
      <c r="F172" s="11"/>
    </row>
    <row r="173" spans="1:6" ht="20.100000000000001" customHeight="1" x14ac:dyDescent="0.2">
      <c r="A173" s="25">
        <v>40</v>
      </c>
      <c r="B173" s="9" t="s">
        <v>343</v>
      </c>
      <c r="C173" s="10" t="s">
        <v>344</v>
      </c>
      <c r="D173" s="13" t="s">
        <v>351</v>
      </c>
      <c r="E173" s="582">
        <v>36000</v>
      </c>
      <c r="F173" s="11"/>
    </row>
    <row r="174" spans="1:6" ht="20.100000000000001" customHeight="1" x14ac:dyDescent="0.2">
      <c r="A174" s="25">
        <v>41</v>
      </c>
      <c r="B174" s="9" t="s">
        <v>346</v>
      </c>
      <c r="C174" s="10" t="s">
        <v>344</v>
      </c>
      <c r="D174" s="13" t="s">
        <v>351</v>
      </c>
      <c r="E174" s="582">
        <v>36000</v>
      </c>
      <c r="F174" s="11"/>
    </row>
    <row r="175" spans="1:6" ht="20.100000000000001" customHeight="1" x14ac:dyDescent="0.2">
      <c r="A175" s="25">
        <v>42</v>
      </c>
      <c r="B175" s="16" t="s">
        <v>347</v>
      </c>
      <c r="C175" s="10" t="s">
        <v>344</v>
      </c>
      <c r="D175" s="13" t="s">
        <v>345</v>
      </c>
      <c r="E175" s="582">
        <v>36000</v>
      </c>
      <c r="F175" s="11"/>
    </row>
    <row r="176" spans="1:6" ht="20.100000000000001" customHeight="1" x14ac:dyDescent="0.2">
      <c r="A176" s="25">
        <v>43</v>
      </c>
      <c r="B176" s="9" t="s">
        <v>349</v>
      </c>
      <c r="C176" s="10" t="s">
        <v>350</v>
      </c>
      <c r="D176" s="13" t="s">
        <v>354</v>
      </c>
      <c r="E176" s="582">
        <v>36000</v>
      </c>
      <c r="F176" s="11"/>
    </row>
    <row r="177" spans="1:6" ht="20.100000000000001" customHeight="1" x14ac:dyDescent="0.2">
      <c r="A177" s="25">
        <v>44</v>
      </c>
      <c r="B177" s="9" t="s">
        <v>352</v>
      </c>
      <c r="C177" s="10" t="s">
        <v>353</v>
      </c>
      <c r="D177" s="13" t="s">
        <v>364</v>
      </c>
      <c r="E177" s="582">
        <v>36000</v>
      </c>
      <c r="F177" s="11"/>
    </row>
    <row r="178" spans="1:6" ht="20.100000000000001" customHeight="1" x14ac:dyDescent="0.2">
      <c r="A178" s="25">
        <v>45</v>
      </c>
      <c r="B178" s="9" t="s">
        <v>355</v>
      </c>
      <c r="C178" s="10" t="s">
        <v>353</v>
      </c>
      <c r="D178" s="13" t="s">
        <v>364</v>
      </c>
      <c r="E178" s="582">
        <v>36000</v>
      </c>
      <c r="F178" s="11"/>
    </row>
    <row r="179" spans="1:6" ht="20.100000000000001" customHeight="1" x14ac:dyDescent="0.2">
      <c r="A179" s="25">
        <v>46</v>
      </c>
      <c r="B179" s="9" t="s">
        <v>356</v>
      </c>
      <c r="C179" s="10" t="s">
        <v>353</v>
      </c>
      <c r="D179" s="13" t="s">
        <v>364</v>
      </c>
      <c r="E179" s="582">
        <v>36000</v>
      </c>
      <c r="F179" s="11"/>
    </row>
    <row r="180" spans="1:6" ht="20.100000000000001" customHeight="1" x14ac:dyDescent="0.2">
      <c r="A180" s="25">
        <v>47</v>
      </c>
      <c r="B180" s="9" t="s">
        <v>357</v>
      </c>
      <c r="C180" s="10" t="s">
        <v>353</v>
      </c>
      <c r="D180" s="13" t="s">
        <v>364</v>
      </c>
      <c r="E180" s="582">
        <v>36000</v>
      </c>
      <c r="F180" s="11"/>
    </row>
    <row r="181" spans="1:6" ht="20.100000000000001" customHeight="1" x14ac:dyDescent="0.2">
      <c r="A181" s="25">
        <v>48</v>
      </c>
      <c r="B181" s="9" t="s">
        <v>358</v>
      </c>
      <c r="C181" s="10" t="s">
        <v>353</v>
      </c>
      <c r="D181" s="13" t="s">
        <v>364</v>
      </c>
      <c r="E181" s="582">
        <v>36000</v>
      </c>
      <c r="F181" s="11"/>
    </row>
    <row r="182" spans="1:6" ht="20.100000000000001" customHeight="1" x14ac:dyDescent="0.2">
      <c r="A182" s="25">
        <v>49</v>
      </c>
      <c r="B182" s="16" t="s">
        <v>359</v>
      </c>
      <c r="C182" s="10" t="s">
        <v>353</v>
      </c>
      <c r="D182" s="13" t="s">
        <v>364</v>
      </c>
      <c r="E182" s="582">
        <v>36000</v>
      </c>
      <c r="F182" s="11"/>
    </row>
    <row r="183" spans="1:6" ht="20.100000000000001" customHeight="1" x14ac:dyDescent="0.2">
      <c r="A183" s="25">
        <v>50</v>
      </c>
      <c r="B183" s="16" t="s">
        <v>360</v>
      </c>
      <c r="C183" s="10" t="s">
        <v>353</v>
      </c>
      <c r="D183" s="13" t="s">
        <v>364</v>
      </c>
      <c r="E183" s="582">
        <v>36000</v>
      </c>
      <c r="F183" s="11"/>
    </row>
    <row r="184" spans="1:6" ht="20.100000000000001" customHeight="1" x14ac:dyDescent="0.2">
      <c r="A184" s="25">
        <v>51</v>
      </c>
      <c r="B184" s="9" t="s">
        <v>493</v>
      </c>
      <c r="C184" s="10" t="s">
        <v>350</v>
      </c>
      <c r="D184" s="13" t="s">
        <v>364</v>
      </c>
      <c r="E184" s="582">
        <v>36000</v>
      </c>
      <c r="F184" s="11"/>
    </row>
    <row r="185" spans="1:6" ht="20.100000000000001" customHeight="1" x14ac:dyDescent="0.2">
      <c r="A185" s="25">
        <v>52</v>
      </c>
      <c r="B185" s="9" t="s">
        <v>361</v>
      </c>
      <c r="C185" s="10" t="s">
        <v>350</v>
      </c>
      <c r="D185" s="13" t="s">
        <v>364</v>
      </c>
      <c r="E185" s="582">
        <v>36000</v>
      </c>
      <c r="F185" s="11"/>
    </row>
    <row r="186" spans="1:6" ht="20.100000000000001" customHeight="1" x14ac:dyDescent="0.2">
      <c r="A186" s="25">
        <v>53</v>
      </c>
      <c r="B186" s="16" t="s">
        <v>362</v>
      </c>
      <c r="C186" s="10" t="s">
        <v>363</v>
      </c>
      <c r="D186" s="13" t="s">
        <v>376</v>
      </c>
      <c r="E186" s="582">
        <v>36000</v>
      </c>
      <c r="F186" s="11"/>
    </row>
    <row r="187" spans="1:6" ht="20.100000000000001" customHeight="1" x14ac:dyDescent="0.2">
      <c r="A187" s="25">
        <v>54</v>
      </c>
      <c r="B187" s="16" t="s">
        <v>367</v>
      </c>
      <c r="C187" s="10" t="s">
        <v>353</v>
      </c>
      <c r="D187" s="13" t="s">
        <v>567</v>
      </c>
      <c r="E187" s="582">
        <v>36000</v>
      </c>
      <c r="F187" s="11"/>
    </row>
    <row r="188" spans="1:6" ht="20.100000000000001" customHeight="1" x14ac:dyDescent="0.2">
      <c r="A188" s="25">
        <v>55</v>
      </c>
      <c r="B188" s="16" t="s">
        <v>369</v>
      </c>
      <c r="C188" s="10" t="s">
        <v>370</v>
      </c>
      <c r="D188" s="13" t="s">
        <v>568</v>
      </c>
      <c r="E188" s="582">
        <v>36000</v>
      </c>
      <c r="F188" s="11"/>
    </row>
    <row r="189" spans="1:6" ht="20.100000000000001" customHeight="1" x14ac:dyDescent="0.2">
      <c r="A189" s="25">
        <v>56</v>
      </c>
      <c r="B189" s="16" t="s">
        <v>372</v>
      </c>
      <c r="C189" s="10" t="s">
        <v>370</v>
      </c>
      <c r="D189" s="13" t="s">
        <v>568</v>
      </c>
      <c r="E189" s="582">
        <v>36000</v>
      </c>
      <c r="F189" s="11"/>
    </row>
    <row r="190" spans="1:6" ht="20.100000000000001" customHeight="1" x14ac:dyDescent="0.2">
      <c r="A190" s="25">
        <v>57</v>
      </c>
      <c r="B190" s="16" t="s">
        <v>373</v>
      </c>
      <c r="C190" s="10" t="s">
        <v>370</v>
      </c>
      <c r="D190" s="13" t="s">
        <v>568</v>
      </c>
      <c r="E190" s="582">
        <v>36000</v>
      </c>
      <c r="F190" s="11"/>
    </row>
    <row r="191" spans="1:6" ht="20.100000000000001" customHeight="1" x14ac:dyDescent="0.2">
      <c r="A191" s="25">
        <v>58</v>
      </c>
      <c r="B191" s="16" t="s">
        <v>374</v>
      </c>
      <c r="C191" s="10" t="s">
        <v>375</v>
      </c>
      <c r="D191" s="13" t="s">
        <v>366</v>
      </c>
      <c r="E191" s="582">
        <v>36000</v>
      </c>
      <c r="F191" s="11"/>
    </row>
    <row r="192" spans="1:6" ht="20.100000000000001" customHeight="1" x14ac:dyDescent="0.2">
      <c r="A192" s="25">
        <v>59</v>
      </c>
      <c r="B192" s="16" t="s">
        <v>377</v>
      </c>
      <c r="C192" s="10" t="s">
        <v>375</v>
      </c>
      <c r="D192" s="13" t="s">
        <v>366</v>
      </c>
      <c r="E192" s="582">
        <v>36000</v>
      </c>
      <c r="F192" s="11"/>
    </row>
    <row r="193" spans="1:6" ht="30.75" customHeight="1" x14ac:dyDescent="0.5">
      <c r="A193" s="25"/>
      <c r="B193" s="6" t="s">
        <v>111</v>
      </c>
      <c r="C193" s="26" t="s">
        <v>569</v>
      </c>
      <c r="D193" s="27"/>
      <c r="E193" s="584">
        <f t="shared" ref="E193" si="7">SUM(E134:E192)</f>
        <v>3386000</v>
      </c>
      <c r="F193" s="11"/>
    </row>
    <row r="194" spans="1:6" ht="35.25" customHeight="1" x14ac:dyDescent="0.2">
      <c r="A194" s="2"/>
      <c r="B194" s="28" t="s">
        <v>379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 x14ac:dyDescent="0.2">
      <c r="B195" s="31"/>
      <c r="D195" s="32"/>
      <c r="E195" s="88"/>
      <c r="F195" s="33"/>
    </row>
    <row r="196" spans="1:6" ht="36.75" customHeight="1" x14ac:dyDescent="0.2">
      <c r="B196" s="31"/>
      <c r="C196" s="32"/>
      <c r="D196" s="32"/>
      <c r="E196" s="33"/>
    </row>
    <row r="197" spans="1:6" ht="20.100000000000001" customHeight="1" x14ac:dyDescent="0.2">
      <c r="E197" s="298"/>
    </row>
    <row r="198" spans="1:6" ht="20.100000000000001" customHeight="1" x14ac:dyDescent="0.2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E17"/>
  <sheetViews>
    <sheetView workbookViewId="0">
      <selection activeCell="G12" sqref="G12"/>
    </sheetView>
  </sheetViews>
  <sheetFormatPr defaultColWidth="9.03515625" defaultRowHeight="12.75" x14ac:dyDescent="0.15"/>
  <cols>
    <col min="1" max="1" width="5.2578125" customWidth="1"/>
    <col min="2" max="2" width="33.44140625" customWidth="1"/>
    <col min="3" max="3" width="19.1484375" customWidth="1"/>
  </cols>
  <sheetData>
    <row r="2" spans="1:5" ht="21" x14ac:dyDescent="0.25">
      <c r="A2" s="579">
        <v>1</v>
      </c>
      <c r="B2" s="579" t="s">
        <v>640</v>
      </c>
      <c r="C2" s="580">
        <f>'Welfare June'!E194</f>
        <v>13858000</v>
      </c>
      <c r="D2" s="579"/>
      <c r="E2" s="579"/>
    </row>
    <row r="3" spans="1:5" ht="21" x14ac:dyDescent="0.25">
      <c r="A3" s="579">
        <v>2</v>
      </c>
      <c r="B3" s="579" t="s">
        <v>642</v>
      </c>
      <c r="C3" s="580">
        <f>'[11]CONTRACT Welfare'!$E$26</f>
        <v>1688000</v>
      </c>
      <c r="D3" s="579"/>
      <c r="E3" s="579"/>
    </row>
    <row r="4" spans="1:5" ht="21" x14ac:dyDescent="0.25">
      <c r="A4" s="579">
        <v>3</v>
      </c>
      <c r="B4" s="579" t="s">
        <v>644</v>
      </c>
      <c r="C4" s="580">
        <f>'[11]CAS. SABB. NYSC Welfare'!$D$58</f>
        <v>1791000</v>
      </c>
      <c r="D4" s="579"/>
      <c r="E4" s="579"/>
    </row>
    <row r="5" spans="1:5" ht="21" x14ac:dyDescent="0.25">
      <c r="A5" s="579">
        <v>4</v>
      </c>
      <c r="B5" s="579" t="s">
        <v>729</v>
      </c>
      <c r="C5" s="580">
        <f>'[11]CONSULTANCY Welfare'!$D$31</f>
        <v>1746000</v>
      </c>
      <c r="D5" s="579"/>
      <c r="E5" s="579"/>
    </row>
    <row r="6" spans="1:5" ht="21" x14ac:dyDescent="0.25">
      <c r="A6" s="579">
        <v>5</v>
      </c>
      <c r="B6" s="579" t="s">
        <v>775</v>
      </c>
      <c r="C6" s="580">
        <f>'[11]Welfare Others'!$C$92</f>
        <v>1225000</v>
      </c>
      <c r="D6" s="579"/>
      <c r="E6" s="579"/>
    </row>
    <row r="7" spans="1:5" ht="27" customHeight="1" x14ac:dyDescent="0.25">
      <c r="A7" s="579"/>
      <c r="B7" s="579"/>
      <c r="C7" s="581">
        <f>SUM(C2:C6)</f>
        <v>20308000</v>
      </c>
      <c r="D7" s="579"/>
      <c r="E7" s="579"/>
    </row>
    <row r="8" spans="1:5" ht="21" x14ac:dyDescent="0.25">
      <c r="A8" s="579"/>
      <c r="B8" s="579"/>
      <c r="C8" s="579"/>
      <c r="D8" s="579"/>
      <c r="E8" s="579"/>
    </row>
    <row r="9" spans="1:5" ht="21" x14ac:dyDescent="0.25">
      <c r="A9" s="579"/>
      <c r="B9" s="579"/>
      <c r="C9" s="579"/>
      <c r="D9" s="579"/>
      <c r="E9" s="579"/>
    </row>
    <row r="10" spans="1:5" ht="21" x14ac:dyDescent="0.25">
      <c r="A10" s="579"/>
      <c r="B10" s="579"/>
      <c r="C10" s="579"/>
      <c r="D10" s="579"/>
      <c r="E10" s="579"/>
    </row>
    <row r="11" spans="1:5" ht="21" x14ac:dyDescent="0.25">
      <c r="A11" s="579"/>
      <c r="B11" s="579"/>
      <c r="C11" s="579"/>
      <c r="D11" s="579"/>
      <c r="E11" s="579"/>
    </row>
    <row r="12" spans="1:5" ht="21" x14ac:dyDescent="0.25">
      <c r="A12" s="579"/>
      <c r="B12" s="579"/>
      <c r="C12" s="579"/>
      <c r="D12" s="579"/>
      <c r="E12" s="579"/>
    </row>
    <row r="13" spans="1:5" ht="21" x14ac:dyDescent="0.25">
      <c r="A13" s="579"/>
      <c r="B13" s="579"/>
      <c r="C13" s="579"/>
      <c r="D13" s="579"/>
      <c r="E13" s="579"/>
    </row>
    <row r="14" spans="1:5" ht="21" x14ac:dyDescent="0.25">
      <c r="A14" s="579"/>
      <c r="B14" s="579"/>
      <c r="C14" s="579"/>
      <c r="D14" s="579"/>
      <c r="E14" s="579"/>
    </row>
    <row r="15" spans="1:5" ht="21" x14ac:dyDescent="0.25">
      <c r="A15" s="579"/>
      <c r="B15" s="579"/>
      <c r="C15" s="579"/>
      <c r="D15" s="579"/>
      <c r="E15" s="579"/>
    </row>
    <row r="16" spans="1:5" ht="21" x14ac:dyDescent="0.25">
      <c r="A16" s="579"/>
      <c r="B16" s="579"/>
      <c r="C16" s="579"/>
      <c r="D16" s="579"/>
      <c r="E16" s="579"/>
    </row>
    <row r="17" spans="1:5" ht="21" x14ac:dyDescent="0.25">
      <c r="A17" s="579"/>
      <c r="B17" s="579"/>
      <c r="C17" s="579"/>
      <c r="D17" s="579"/>
      <c r="E17" s="579"/>
    </row>
  </sheetData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3"/>
  <sheetViews>
    <sheetView workbookViewId="0">
      <selection activeCell="I7" sqref="I7"/>
    </sheetView>
  </sheetViews>
  <sheetFormatPr defaultColWidth="9.03515625" defaultRowHeight="12.75" x14ac:dyDescent="0.15"/>
  <cols>
    <col min="1" max="1" width="28.85546875" customWidth="1"/>
    <col min="2" max="2" width="17.125" customWidth="1"/>
    <col min="4" max="4" width="14.29296875" customWidth="1"/>
    <col min="5" max="5" width="19.55078125" customWidth="1"/>
    <col min="6" max="6" width="18.7421875" customWidth="1"/>
    <col min="7" max="7" width="16.046875" customWidth="1"/>
    <col min="8" max="9" width="17.6640625" customWidth="1"/>
  </cols>
  <sheetData>
    <row r="1" spans="1:9" ht="38.25" customHeight="1" x14ac:dyDescent="0.15">
      <c r="D1" s="577" t="s">
        <v>776</v>
      </c>
      <c r="E1" s="578" t="s">
        <v>777</v>
      </c>
      <c r="F1" s="578" t="s">
        <v>778</v>
      </c>
      <c r="G1" s="578" t="s">
        <v>779</v>
      </c>
      <c r="H1" s="578" t="s">
        <v>780</v>
      </c>
      <c r="I1" s="578" t="s">
        <v>781</v>
      </c>
    </row>
    <row r="2" spans="1:9" s="1" customFormat="1" ht="33" customHeight="1" x14ac:dyDescent="0.2">
      <c r="A2" s="16" t="s">
        <v>550</v>
      </c>
      <c r="B2" s="16" t="s">
        <v>551</v>
      </c>
      <c r="C2" s="8" t="s">
        <v>150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 x14ac:dyDescent="0.15"/>
  </sheetData>
  <pageMargins left="0.7" right="0.7" top="0.75" bottom="0.75" header="0.3" footer="0.3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22"/>
  <sheetViews>
    <sheetView zoomScaleSheetLayoutView="50" workbookViewId="0">
      <pane xSplit="3" ySplit="6" topLeftCell="D7" activePane="bottomRight" state="frozen"/>
      <selection pane="bottomLeft"/>
      <selection pane="topRight"/>
      <selection pane="bottomRight" activeCell="B16" sqref="B16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6" width="19.28125" style="1" customWidth="1"/>
    <col min="7" max="7" width="18.33984375" style="1" customWidth="1"/>
    <col min="8" max="8" width="18.0703125" style="1" customWidth="1"/>
    <col min="9" max="9" width="17.80078125" style="1" customWidth="1"/>
    <col min="10" max="10" width="21.57421875" style="1" customWidth="1"/>
    <col min="11" max="11" width="9.16796875" style="1" customWidth="1"/>
    <col min="12" max="12" width="18.47265625" style="1" customWidth="1"/>
    <col min="13" max="13" width="17.6640625" style="1" customWidth="1"/>
    <col min="14" max="14" width="16.046875" style="1" customWidth="1"/>
    <col min="15" max="17" width="19.8203125" style="1" customWidth="1"/>
    <col min="18" max="18" width="18.0703125" style="1" customWidth="1"/>
    <col min="19" max="20" width="19.28125" style="1" customWidth="1"/>
    <col min="21" max="21" width="19.55078125" style="1" customWidth="1"/>
    <col min="22" max="22" width="21.7109375" style="1" customWidth="1"/>
    <col min="23" max="16384" width="9.16796875" style="1"/>
  </cols>
  <sheetData>
    <row r="1" spans="1:22" ht="27" customHeight="1" x14ac:dyDescent="0.3">
      <c r="A1" s="936" t="s">
        <v>0</v>
      </c>
      <c r="B1" s="936"/>
      <c r="C1" s="936"/>
      <c r="D1" s="936"/>
      <c r="E1" s="936"/>
      <c r="F1" s="936"/>
      <c r="G1" s="183"/>
      <c r="H1" s="183"/>
      <c r="I1" s="183"/>
    </row>
    <row r="2" spans="1:22" ht="33.75" customHeight="1" x14ac:dyDescent="0.3">
      <c r="A2" s="61" t="s">
        <v>782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 x14ac:dyDescent="0.2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445</v>
      </c>
      <c r="M4" s="184" t="s">
        <v>12</v>
      </c>
      <c r="N4" s="184" t="s">
        <v>14</v>
      </c>
      <c r="O4" s="22" t="s">
        <v>15</v>
      </c>
      <c r="P4" s="22" t="s">
        <v>706</v>
      </c>
      <c r="Q4" s="22" t="s">
        <v>778</v>
      </c>
      <c r="R4" s="184" t="s">
        <v>16</v>
      </c>
      <c r="S4" s="310" t="s">
        <v>17</v>
      </c>
      <c r="T4" s="65" t="s">
        <v>783</v>
      </c>
      <c r="U4" s="284" t="s">
        <v>784</v>
      </c>
    </row>
    <row r="5" spans="1:22" ht="17.25" customHeight="1" x14ac:dyDescent="0.2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67" t="s">
        <v>20</v>
      </c>
      <c r="S5" s="409" t="s">
        <v>20</v>
      </c>
      <c r="T5" s="67" t="s">
        <v>20</v>
      </c>
      <c r="U5" s="196" t="s">
        <v>20</v>
      </c>
    </row>
    <row r="6" spans="1:22" ht="20.100000000000001" customHeight="1" x14ac:dyDescent="0.2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270"/>
      <c r="K6" s="67"/>
      <c r="L6" s="67"/>
      <c r="M6" s="67"/>
      <c r="N6" s="67"/>
      <c r="O6" s="67"/>
      <c r="P6" s="67"/>
      <c r="Q6" s="67"/>
      <c r="R6" s="67"/>
      <c r="S6" s="409"/>
      <c r="T6" s="67"/>
      <c r="U6" s="196"/>
    </row>
    <row r="7" spans="1:22" ht="20.100000000000001" customHeight="1" x14ac:dyDescent="0.2">
      <c r="A7" s="8">
        <v>1</v>
      </c>
      <c r="B7" s="9" t="s">
        <v>26</v>
      </c>
      <c r="C7" s="10" t="s">
        <v>27</v>
      </c>
      <c r="D7" s="8" t="s">
        <v>28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19199.999999999702</v>
      </c>
      <c r="R7" s="70">
        <v>60989.853333333303</v>
      </c>
      <c r="S7" s="302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 x14ac:dyDescent="0.2">
      <c r="A8" s="8">
        <v>2</v>
      </c>
      <c r="B8" s="12" t="s">
        <v>29</v>
      </c>
      <c r="C8" s="2" t="s">
        <v>30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19200.000000000298</v>
      </c>
      <c r="R8" s="70"/>
      <c r="S8" s="302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 x14ac:dyDescent="0.2">
      <c r="A9" s="8">
        <v>3</v>
      </c>
      <c r="B9" s="12" t="s">
        <v>271</v>
      </c>
      <c r="C9" s="2" t="s">
        <v>529</v>
      </c>
      <c r="D9" s="8" t="s">
        <v>28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'[12]OCTOBER 2023 '!$D$193</f>
        <v>230499.8</v>
      </c>
      <c r="N9" s="70">
        <v>1066.32925</v>
      </c>
      <c r="O9" s="70">
        <v>159207.52761066699</v>
      </c>
      <c r="P9" s="70">
        <f>'March New PAYE '!Z10</f>
        <v>216451.569850667</v>
      </c>
      <c r="Q9" s="70">
        <f t="shared" si="3"/>
        <v>57244.042239999697</v>
      </c>
      <c r="R9" s="70">
        <v>60989.853333333303</v>
      </c>
      <c r="S9" s="302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 x14ac:dyDescent="0.2">
      <c r="A10" s="8">
        <v>4</v>
      </c>
      <c r="B10" s="16" t="s">
        <v>530</v>
      </c>
      <c r="C10" s="8" t="s">
        <v>531</v>
      </c>
      <c r="D10" s="8" t="s">
        <v>28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19200.000000000298</v>
      </c>
      <c r="R10" s="70"/>
      <c r="S10" s="302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 x14ac:dyDescent="0.2">
      <c r="A11" s="8">
        <v>5</v>
      </c>
      <c r="B11" s="9" t="s">
        <v>190</v>
      </c>
      <c r="C11" s="2" t="s">
        <v>130</v>
      </c>
      <c r="D11" s="8" t="s">
        <v>131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19199.9999999996</v>
      </c>
      <c r="R11" s="70">
        <v>49654.046666666698</v>
      </c>
      <c r="S11" s="302">
        <f t="shared" si="1"/>
        <v>187876.84837333401</v>
      </c>
      <c r="T11" s="70">
        <v>692798.73496000003</v>
      </c>
      <c r="U11" s="197">
        <f t="shared" si="2"/>
        <v>692798.73495999898</v>
      </c>
      <c r="V11" s="11"/>
    </row>
    <row r="12" spans="1:22" ht="20.100000000000001" customHeight="1" x14ac:dyDescent="0.2">
      <c r="A12" s="8">
        <v>6</v>
      </c>
      <c r="B12" s="9" t="s">
        <v>36</v>
      </c>
      <c r="C12" s="2" t="s">
        <v>37</v>
      </c>
      <c r="D12" s="8" t="s">
        <v>49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19199.9999999996</v>
      </c>
      <c r="R12" s="70">
        <v>46569.446666666699</v>
      </c>
      <c r="S12" s="302">
        <f t="shared" si="1"/>
        <v>178608.052341334</v>
      </c>
      <c r="T12" s="70">
        <v>663510.03099200001</v>
      </c>
      <c r="U12" s="197">
        <f t="shared" si="2"/>
        <v>663510.03099199897</v>
      </c>
      <c r="V12" s="11"/>
    </row>
    <row r="13" spans="1:22" ht="20.100000000000001" customHeight="1" x14ac:dyDescent="0.2">
      <c r="A13" s="8">
        <v>7</v>
      </c>
      <c r="B13" s="9" t="s">
        <v>44</v>
      </c>
      <c r="C13" s="2" t="s">
        <v>45</v>
      </c>
      <c r="D13" s="8" t="s">
        <v>197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19199.999999999702</v>
      </c>
      <c r="R13" s="70">
        <v>35419.72</v>
      </c>
      <c r="S13" s="302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 x14ac:dyDescent="0.2">
      <c r="A14" s="8">
        <v>8</v>
      </c>
      <c r="B14" s="16" t="s">
        <v>53</v>
      </c>
      <c r="C14" s="2" t="s">
        <v>54</v>
      </c>
      <c r="D14" s="13" t="s">
        <v>535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2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 x14ac:dyDescent="0.2">
      <c r="A15" s="8">
        <v>9</v>
      </c>
      <c r="B15" s="12" t="s">
        <v>66</v>
      </c>
      <c r="C15" s="15" t="s">
        <v>67</v>
      </c>
      <c r="D15" s="8" t="s">
        <v>137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2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 x14ac:dyDescent="0.2">
      <c r="A16" s="8">
        <v>10</v>
      </c>
      <c r="B16" s="12" t="s">
        <v>71</v>
      </c>
      <c r="C16" s="15" t="s">
        <v>72</v>
      </c>
      <c r="D16" s="8" t="s">
        <v>73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</v>
      </c>
      <c r="R16" s="70">
        <v>23442.3733333333</v>
      </c>
      <c r="S16" s="302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 x14ac:dyDescent="0.5">
      <c r="A17" s="25"/>
      <c r="B17" s="6" t="s">
        <v>111</v>
      </c>
      <c r="C17" s="26" t="s">
        <v>490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1479081.22693867</v>
      </c>
      <c r="Q17" s="78">
        <f t="shared" si="5"/>
        <v>230044.04223999899</v>
      </c>
      <c r="R17" s="78">
        <v>1130905.06</v>
      </c>
      <c r="S17" s="576" t="e">
        <f>SUM(#REF!)</f>
        <v>#REF!</v>
      </c>
      <c r="T17" s="78">
        <v>11108681.2189053</v>
      </c>
      <c r="U17" s="285" t="e">
        <f>SUM(#REF!)</f>
        <v>#REF!</v>
      </c>
      <c r="V17" s="11"/>
    </row>
    <row r="18" spans="1:22" ht="38.25" customHeight="1" x14ac:dyDescent="0.2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 x14ac:dyDescent="0.2">
      <c r="B19" s="31"/>
      <c r="C19" s="32"/>
      <c r="D19" s="32"/>
      <c r="E19" s="32"/>
      <c r="F19" s="32"/>
      <c r="G19" s="194"/>
      <c r="H19" s="194"/>
      <c r="J19" s="194" t="s">
        <v>785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 x14ac:dyDescent="0.2">
      <c r="S20" s="33"/>
      <c r="U20" s="298"/>
    </row>
    <row r="21" spans="1:22" ht="20.100000000000001" customHeight="1" x14ac:dyDescent="0.2">
      <c r="U21" s="33"/>
    </row>
    <row r="22" spans="1:22" ht="20.100000000000001" customHeight="1" x14ac:dyDescent="0.2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E191"/>
  <sheetViews>
    <sheetView topLeftCell="A4" workbookViewId="0">
      <selection activeCell="F8" sqref="F8"/>
    </sheetView>
  </sheetViews>
  <sheetFormatPr defaultColWidth="9.16796875" defaultRowHeight="12.75" x14ac:dyDescent="0.15"/>
  <cols>
    <col min="1" max="1" width="6.875" style="259" customWidth="1"/>
    <col min="2" max="2" width="39.1054687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259" customWidth="1"/>
    <col min="27" max="27" width="16.31640625" style="259" customWidth="1"/>
    <col min="28" max="28" width="14.6953125" style="259" customWidth="1"/>
    <col min="29" max="29" width="27.375" style="259" customWidth="1"/>
    <col min="30" max="16384" width="9.16796875" style="259"/>
  </cols>
  <sheetData>
    <row r="1" spans="1:31" ht="13.5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t="13.5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t="13.5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20" t="s">
        <v>521</v>
      </c>
      <c r="AA4" s="434"/>
      <c r="AB4" s="434" t="s">
        <v>648</v>
      </c>
    </row>
    <row r="5" spans="1:31" ht="18" x14ac:dyDescent="0.2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24"/>
      <c r="AA5" s="436"/>
      <c r="AB5" s="436"/>
      <c r="AC5" s="436"/>
      <c r="AD5" s="436"/>
      <c r="AE5" s="436"/>
    </row>
    <row r="6" spans="1:31" ht="31.5" x14ac:dyDescent="0.2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24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" x14ac:dyDescent="0.15">
      <c r="A7" s="421">
        <v>4</v>
      </c>
      <c r="B7" s="9" t="s">
        <v>26</v>
      </c>
      <c r="C7" s="422">
        <f>852373.166666667+100000</f>
        <v>952373.16666666698</v>
      </c>
      <c r="D7" s="423">
        <v>12</v>
      </c>
      <c r="E7" s="424">
        <f t="shared" ref="E7:E32" si="14">C7*D7</f>
        <v>11428478</v>
      </c>
      <c r="F7" s="424"/>
      <c r="G7" s="424">
        <v>731878.24</v>
      </c>
      <c r="H7" s="424"/>
      <c r="I7" s="424">
        <f t="shared" si="0"/>
        <v>10696599.76</v>
      </c>
      <c r="J7" s="424">
        <v>200000</v>
      </c>
      <c r="K7" s="424">
        <v>0.2</v>
      </c>
      <c r="L7" s="424">
        <f t="shared" si="1"/>
        <v>2139319.952</v>
      </c>
      <c r="M7" s="424">
        <f t="shared" si="2"/>
        <v>2339319.952</v>
      </c>
      <c r="N7" s="424">
        <f t="shared" si="3"/>
        <v>3071198.1919999998</v>
      </c>
      <c r="O7" s="424">
        <f t="shared" si="4"/>
        <v>8357279.8080000002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1237747.15392</v>
      </c>
      <c r="V7" s="424">
        <f t="shared" si="11"/>
        <v>1797747.15392</v>
      </c>
      <c r="W7" s="431">
        <v>12</v>
      </c>
      <c r="X7" s="424">
        <f t="shared" si="12"/>
        <v>149812.26282666699</v>
      </c>
      <c r="Y7" s="424"/>
      <c r="Z7" s="424">
        <f t="shared" si="13"/>
        <v>149812.26282666699</v>
      </c>
      <c r="AA7" s="436">
        <v>82627.951418666693</v>
      </c>
      <c r="AB7" s="436">
        <f t="shared" ref="AB7:AB32" si="15">Z7-AA7</f>
        <v>67184.311407999994</v>
      </c>
      <c r="AC7" s="436"/>
      <c r="AD7" s="436"/>
      <c r="AE7" s="436"/>
    </row>
    <row r="8" spans="1:31" ht="18" x14ac:dyDescent="0.15">
      <c r="A8" s="421">
        <v>5</v>
      </c>
      <c r="B8" s="12" t="s">
        <v>29</v>
      </c>
      <c r="C8" s="422">
        <f>1052373.16666667+100000</f>
        <v>1152373.16666667</v>
      </c>
      <c r="D8" s="423">
        <v>12</v>
      </c>
      <c r="E8" s="424">
        <f t="shared" si="14"/>
        <v>13828478</v>
      </c>
      <c r="F8" s="424"/>
      <c r="G8" s="424">
        <v>0</v>
      </c>
      <c r="H8" s="424"/>
      <c r="I8" s="424">
        <f t="shared" si="0"/>
        <v>13828478</v>
      </c>
      <c r="J8" s="424">
        <v>200000</v>
      </c>
      <c r="K8" s="424">
        <v>0.2</v>
      </c>
      <c r="L8" s="424">
        <f t="shared" si="1"/>
        <v>2765695.6000000099</v>
      </c>
      <c r="M8" s="424">
        <f t="shared" si="2"/>
        <v>2965695.6000000099</v>
      </c>
      <c r="N8" s="424">
        <f t="shared" si="3"/>
        <v>2965695.6000000099</v>
      </c>
      <c r="O8" s="424">
        <f t="shared" si="4"/>
        <v>10862782.4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1839067.7760000101</v>
      </c>
      <c r="V8" s="424">
        <f t="shared" si="11"/>
        <v>2399067.7760000098</v>
      </c>
      <c r="W8" s="431">
        <v>12</v>
      </c>
      <c r="X8" s="424">
        <f t="shared" si="12"/>
        <v>199922.31466666699</v>
      </c>
      <c r="Y8" s="424"/>
      <c r="Z8" s="424">
        <f t="shared" si="13"/>
        <v>199922.31466666699</v>
      </c>
      <c r="AA8" s="436">
        <v>121027.951418667</v>
      </c>
      <c r="AB8" s="436">
        <f t="shared" si="15"/>
        <v>78894.3632480003</v>
      </c>
      <c r="AC8" s="436"/>
      <c r="AD8" s="436"/>
      <c r="AE8" s="436"/>
    </row>
    <row r="9" spans="1:31" ht="18" x14ac:dyDescent="0.1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24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" x14ac:dyDescent="0.2">
      <c r="A10" s="421">
        <v>7</v>
      </c>
      <c r="B10" s="12" t="s">
        <v>271</v>
      </c>
      <c r="C10" s="569">
        <v>1300519.22</v>
      </c>
      <c r="D10" s="423">
        <v>12</v>
      </c>
      <c r="E10" s="424">
        <f t="shared" si="14"/>
        <v>15606230.640000001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14861556.448999999</v>
      </c>
      <c r="J10" s="424">
        <v>200000</v>
      </c>
      <c r="K10" s="424">
        <v>0.2</v>
      </c>
      <c r="L10" s="424">
        <f t="shared" si="1"/>
        <v>2972311.2897999999</v>
      </c>
      <c r="M10" s="424">
        <f t="shared" si="2"/>
        <v>3172311.2897999999</v>
      </c>
      <c r="N10" s="424">
        <f t="shared" si="3"/>
        <v>3916985.4808</v>
      </c>
      <c r="O10" s="424">
        <f t="shared" si="4"/>
        <v>11689245.1592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2037418.8382079999</v>
      </c>
      <c r="V10" s="424">
        <f t="shared" si="11"/>
        <v>2597418.8382080002</v>
      </c>
      <c r="W10" s="431">
        <v>12</v>
      </c>
      <c r="X10" s="424">
        <f t="shared" si="12"/>
        <v>216451.569850667</v>
      </c>
      <c r="Y10" s="424"/>
      <c r="Z10" s="424">
        <f t="shared" si="13"/>
        <v>216451.569850667</v>
      </c>
      <c r="AA10" s="436">
        <v>111223.216202667</v>
      </c>
      <c r="AB10" s="436">
        <f t="shared" si="15"/>
        <v>105228.353648</v>
      </c>
      <c r="AC10" s="436"/>
      <c r="AD10" s="436"/>
      <c r="AE10" s="436"/>
    </row>
    <row r="11" spans="1:31" ht="18" x14ac:dyDescent="0.15">
      <c r="A11" s="421">
        <v>8</v>
      </c>
      <c r="B11" s="16" t="s">
        <v>530</v>
      </c>
      <c r="C11" s="422">
        <f>952373.166666667+100000</f>
        <v>1052373.16666667</v>
      </c>
      <c r="D11" s="423">
        <v>12</v>
      </c>
      <c r="E11" s="424">
        <f t="shared" si="14"/>
        <v>12628478</v>
      </c>
      <c r="F11" s="424"/>
      <c r="G11" s="424">
        <v>0</v>
      </c>
      <c r="H11" s="424"/>
      <c r="I11" s="424">
        <f t="shared" si="0"/>
        <v>12628478</v>
      </c>
      <c r="J11" s="424">
        <v>200000</v>
      </c>
      <c r="K11" s="424">
        <v>0.2</v>
      </c>
      <c r="L11" s="424">
        <f t="shared" si="1"/>
        <v>2525695.6000000099</v>
      </c>
      <c r="M11" s="424">
        <f t="shared" si="2"/>
        <v>2725695.6000000099</v>
      </c>
      <c r="N11" s="424">
        <f t="shared" si="3"/>
        <v>2725695.6000000099</v>
      </c>
      <c r="O11" s="424">
        <f t="shared" si="4"/>
        <v>9902782.4000000302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1608667.7760000101</v>
      </c>
      <c r="V11" s="424">
        <f t="shared" si="11"/>
        <v>2168667.7760000098</v>
      </c>
      <c r="W11" s="431">
        <v>12</v>
      </c>
      <c r="X11" s="424">
        <f t="shared" si="12"/>
        <v>180722.31466666699</v>
      </c>
      <c r="Y11" s="424"/>
      <c r="Z11" s="424">
        <f t="shared" si="13"/>
        <v>180722.31466666699</v>
      </c>
      <c r="AA11" s="436">
        <v>101827.951418667</v>
      </c>
      <c r="AB11" s="436">
        <f t="shared" si="15"/>
        <v>78894.3632480003</v>
      </c>
      <c r="AC11" s="436"/>
      <c r="AD11" s="436"/>
      <c r="AE11" s="436"/>
    </row>
    <row r="12" spans="1:31" ht="18" x14ac:dyDescent="0.1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24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" x14ac:dyDescent="0.15">
      <c r="A13" s="421">
        <v>10</v>
      </c>
      <c r="B13" s="9" t="s">
        <v>36</v>
      </c>
      <c r="C13" s="422">
        <f>842118.083333333+100000</f>
        <v>942118.08333333302</v>
      </c>
      <c r="D13" s="423">
        <v>12</v>
      </c>
      <c r="E13" s="424">
        <f t="shared" si="14"/>
        <v>11305417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10737277.687999999</v>
      </c>
      <c r="J13" s="424">
        <v>200000</v>
      </c>
      <c r="K13" s="424">
        <v>0.2</v>
      </c>
      <c r="L13" s="424">
        <f t="shared" si="1"/>
        <v>2147455.5375999999</v>
      </c>
      <c r="M13" s="424">
        <f t="shared" si="2"/>
        <v>2347455.5375999999</v>
      </c>
      <c r="N13" s="424">
        <f t="shared" si="3"/>
        <v>2915594.8495999998</v>
      </c>
      <c r="O13" s="424">
        <f t="shared" si="4"/>
        <v>8389822.1503999997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1245557.3160959999</v>
      </c>
      <c r="V13" s="424">
        <f t="shared" si="11"/>
        <v>1805557.3160959999</v>
      </c>
      <c r="W13" s="431">
        <v>12</v>
      </c>
      <c r="X13" s="424">
        <f t="shared" si="12"/>
        <v>150463.10967466701</v>
      </c>
      <c r="Y13" s="424"/>
      <c r="Z13" s="424">
        <f t="shared" si="13"/>
        <v>150463.10967466701</v>
      </c>
      <c r="AA13" s="436">
        <v>94625.782058666693</v>
      </c>
      <c r="AB13" s="436">
        <f t="shared" si="15"/>
        <v>55837.3276159999</v>
      </c>
      <c r="AC13" s="436"/>
      <c r="AD13" s="436"/>
      <c r="AE13" s="436"/>
    </row>
    <row r="14" spans="1:31" ht="18" x14ac:dyDescent="0.1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24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" x14ac:dyDescent="0.15">
      <c r="A15" s="421">
        <v>12</v>
      </c>
      <c r="B15" s="12" t="s">
        <v>42</v>
      </c>
      <c r="C15" s="422">
        <f>660498</f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24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" x14ac:dyDescent="0.15">
      <c r="A16" s="421">
        <v>13</v>
      </c>
      <c r="B16" s="9" t="s">
        <v>44</v>
      </c>
      <c r="C16" s="422">
        <f>732746.5+100000</f>
        <v>832746.5</v>
      </c>
      <c r="D16" s="423">
        <v>12</v>
      </c>
      <c r="E16" s="424">
        <f t="shared" si="14"/>
        <v>9992958</v>
      </c>
      <c r="F16" s="424"/>
      <c r="G16" s="424">
        <v>425036.64</v>
      </c>
      <c r="H16" s="424"/>
      <c r="I16" s="424">
        <f t="shared" si="0"/>
        <v>9567921.3599999994</v>
      </c>
      <c r="J16" s="424">
        <v>200000</v>
      </c>
      <c r="K16" s="424">
        <v>0.2</v>
      </c>
      <c r="L16" s="424">
        <f t="shared" si="1"/>
        <v>1913584.2720000001</v>
      </c>
      <c r="M16" s="424">
        <f t="shared" si="2"/>
        <v>2113584.2719999999</v>
      </c>
      <c r="N16" s="424">
        <f t="shared" si="3"/>
        <v>2538620.912</v>
      </c>
      <c r="O16" s="424">
        <f t="shared" si="4"/>
        <v>7454337.0880000005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1021040.9011200001</v>
      </c>
      <c r="V16" s="424">
        <f t="shared" si="11"/>
        <v>1581040.9011200001</v>
      </c>
      <c r="W16" s="431">
        <v>12</v>
      </c>
      <c r="X16" s="424">
        <f t="shared" si="12"/>
        <v>131753.40842666701</v>
      </c>
      <c r="Y16" s="424"/>
      <c r="Z16" s="424">
        <f t="shared" si="13"/>
        <v>131753.40842666701</v>
      </c>
      <c r="AA16" s="436">
        <v>46666.666666666701</v>
      </c>
      <c r="AB16" s="436">
        <f t="shared" si="15"/>
        <v>85086.741760000004</v>
      </c>
      <c r="AC16" s="436"/>
      <c r="AD16" s="436"/>
      <c r="AE16" s="436"/>
    </row>
    <row r="17" spans="1:31" ht="18" x14ac:dyDescent="0.1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24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" x14ac:dyDescent="0.1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24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" x14ac:dyDescent="0.15">
      <c r="A19" s="421">
        <v>16</v>
      </c>
      <c r="B19" s="16" t="s">
        <v>53</v>
      </c>
      <c r="C19" s="422">
        <f>636026.916666667+100000</f>
        <v>736026.91666666698</v>
      </c>
      <c r="D19" s="423">
        <v>12</v>
      </c>
      <c r="E19" s="424">
        <f t="shared" si="14"/>
        <v>8832323</v>
      </c>
      <c r="F19" s="424">
        <f>618.53*12</f>
        <v>7422.36</v>
      </c>
      <c r="G19" s="424">
        <v>399385.84</v>
      </c>
      <c r="H19" s="424"/>
      <c r="I19" s="424">
        <f t="shared" si="0"/>
        <v>8425514.8000000007</v>
      </c>
      <c r="J19" s="424">
        <v>200000</v>
      </c>
      <c r="K19" s="424">
        <v>0.2</v>
      </c>
      <c r="L19" s="424">
        <f t="shared" si="1"/>
        <v>1685102.96</v>
      </c>
      <c r="M19" s="424">
        <f t="shared" si="2"/>
        <v>1885102.96</v>
      </c>
      <c r="N19" s="424">
        <f t="shared" si="3"/>
        <v>2291911.16</v>
      </c>
      <c r="O19" s="424">
        <f t="shared" si="4"/>
        <v>6540411.8399999999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801698.84160000097</v>
      </c>
      <c r="V19" s="424">
        <f t="shared" si="11"/>
        <v>1361698.8415999999</v>
      </c>
      <c r="W19" s="431">
        <v>12</v>
      </c>
      <c r="X19" s="424">
        <f t="shared" si="12"/>
        <v>113474.903466667</v>
      </c>
      <c r="Y19" s="424"/>
      <c r="Z19" s="424">
        <f t="shared" si="13"/>
        <v>113474.903466667</v>
      </c>
      <c r="AA19" s="436">
        <v>46666.666666666701</v>
      </c>
      <c r="AB19" s="436">
        <f t="shared" si="15"/>
        <v>66808.236799999999</v>
      </c>
      <c r="AC19" s="436"/>
      <c r="AD19" s="436"/>
      <c r="AE19" s="436"/>
    </row>
    <row r="20" spans="1:31" ht="18" x14ac:dyDescent="0.1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24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" x14ac:dyDescent="0.15">
      <c r="A21" s="421">
        <v>18</v>
      </c>
      <c r="B21" s="12" t="s">
        <v>66</v>
      </c>
      <c r="C21" s="422">
        <f>553512.5+100000</f>
        <v>653512.5</v>
      </c>
      <c r="D21" s="423">
        <v>12</v>
      </c>
      <c r="E21" s="424">
        <f t="shared" si="14"/>
        <v>7842150</v>
      </c>
      <c r="F21" s="424"/>
      <c r="G21" s="424">
        <v>339372</v>
      </c>
      <c r="H21" s="424"/>
      <c r="I21" s="424">
        <f t="shared" si="0"/>
        <v>7502778</v>
      </c>
      <c r="J21" s="424">
        <v>200000</v>
      </c>
      <c r="K21" s="424">
        <v>0.2</v>
      </c>
      <c r="L21" s="424">
        <f t="shared" si="1"/>
        <v>1500555.6</v>
      </c>
      <c r="M21" s="424">
        <f t="shared" si="2"/>
        <v>1700555.6</v>
      </c>
      <c r="N21" s="424">
        <f t="shared" si="3"/>
        <v>2039927.6</v>
      </c>
      <c r="O21" s="424">
        <f t="shared" si="4"/>
        <v>5802222.4000000004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624533.37600000005</v>
      </c>
      <c r="V21" s="424">
        <f t="shared" si="11"/>
        <v>1184533.3759999999</v>
      </c>
      <c r="W21" s="431">
        <v>12</v>
      </c>
      <c r="X21" s="424">
        <f t="shared" si="12"/>
        <v>98711.114666666705</v>
      </c>
      <c r="Y21" s="424"/>
      <c r="Z21" s="424">
        <f t="shared" si="13"/>
        <v>98711.114666666705</v>
      </c>
      <c r="AA21" s="436">
        <v>46666.666666666701</v>
      </c>
      <c r="AB21" s="436">
        <f t="shared" si="15"/>
        <v>52044.447999999997</v>
      </c>
      <c r="AC21" s="436"/>
      <c r="AD21" s="436"/>
      <c r="AE21" s="436"/>
    </row>
    <row r="22" spans="1:31" ht="18" x14ac:dyDescent="0.1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24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" x14ac:dyDescent="0.15">
      <c r="A23" s="421">
        <v>20</v>
      </c>
      <c r="B23" s="12" t="s">
        <v>71</v>
      </c>
      <c r="C23" s="422">
        <f>453029.666666667+100000</f>
        <v>553029.66666666698</v>
      </c>
      <c r="D23" s="423">
        <v>12</v>
      </c>
      <c r="E23" s="424">
        <f t="shared" si="14"/>
        <v>6636356</v>
      </c>
      <c r="F23" s="424"/>
      <c r="G23" s="424">
        <v>281308.48</v>
      </c>
      <c r="H23" s="424"/>
      <c r="I23" s="424">
        <f t="shared" si="0"/>
        <v>6355047.5199999996</v>
      </c>
      <c r="J23" s="424">
        <v>200000</v>
      </c>
      <c r="K23" s="424">
        <v>0.2</v>
      </c>
      <c r="L23" s="424">
        <f t="shared" si="1"/>
        <v>1271009.504</v>
      </c>
      <c r="M23" s="424">
        <f t="shared" si="2"/>
        <v>1471009.504</v>
      </c>
      <c r="N23" s="424">
        <f t="shared" si="3"/>
        <v>1752317.9839999999</v>
      </c>
      <c r="O23" s="424">
        <f t="shared" si="4"/>
        <v>4884038.0159999998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404169.123840001</v>
      </c>
      <c r="V23" s="424">
        <f t="shared" si="11"/>
        <v>964169.12384000095</v>
      </c>
      <c r="W23" s="431">
        <v>12</v>
      </c>
      <c r="X23" s="424">
        <f t="shared" si="12"/>
        <v>80347.426986666702</v>
      </c>
      <c r="Y23" s="424"/>
      <c r="Z23" s="424">
        <f t="shared" si="13"/>
        <v>80347.426986666702</v>
      </c>
      <c r="AA23" s="436">
        <v>42371.815728666697</v>
      </c>
      <c r="AB23" s="436">
        <f t="shared" si="15"/>
        <v>37975.611257999997</v>
      </c>
      <c r="AC23" s="436"/>
      <c r="AD23" s="436"/>
      <c r="AE23" s="436"/>
    </row>
    <row r="24" spans="1:31" ht="18" x14ac:dyDescent="0.2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24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" x14ac:dyDescent="0.1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24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" x14ac:dyDescent="0.1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24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18" x14ac:dyDescent="0.1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24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" x14ac:dyDescent="0.1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24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1.5" x14ac:dyDescent="0.2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24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" x14ac:dyDescent="0.1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24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" x14ac:dyDescent="0.1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24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" x14ac:dyDescent="0.1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24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" x14ac:dyDescent="0.2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436"/>
      <c r="AB33" s="436"/>
      <c r="AC33" s="436"/>
      <c r="AD33" s="436"/>
      <c r="AE33" s="436"/>
    </row>
    <row r="34" spans="1:31" ht="18" x14ac:dyDescent="0.1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436"/>
      <c r="AB34" s="436"/>
      <c r="AC34" s="436"/>
      <c r="AD34" s="436"/>
      <c r="AE34" s="436"/>
    </row>
    <row r="35" spans="1:31" ht="18" x14ac:dyDescent="0.15">
      <c r="A35" s="421"/>
      <c r="B35" s="16" t="s">
        <v>113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24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" x14ac:dyDescent="0.15">
      <c r="A36" s="421"/>
      <c r="B36" s="16" t="s">
        <v>116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24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" x14ac:dyDescent="0.1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24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" x14ac:dyDescent="0.2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436"/>
      <c r="AB38" s="436"/>
      <c r="AC38" s="436"/>
      <c r="AD38" s="436"/>
      <c r="AE38" s="436"/>
    </row>
    <row r="39" spans="1:31" ht="18" x14ac:dyDescent="0.1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436"/>
      <c r="AB39" s="436"/>
      <c r="AC39" s="436"/>
      <c r="AD39" s="436"/>
      <c r="AE39" s="436"/>
    </row>
    <row r="40" spans="1:31" ht="31.5" x14ac:dyDescent="0.2">
      <c r="A40" s="421">
        <v>35</v>
      </c>
      <c r="B40" s="9" t="s">
        <v>536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24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" x14ac:dyDescent="0.15">
      <c r="A41" s="421">
        <v>36</v>
      </c>
      <c r="B41" s="9" t="s">
        <v>538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24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" x14ac:dyDescent="0.15">
      <c r="A42" s="421">
        <v>37</v>
      </c>
      <c r="B42" s="9" t="s">
        <v>126</v>
      </c>
      <c r="C42" s="570">
        <v>1019203.58333333</v>
      </c>
      <c r="D42" s="423">
        <v>12</v>
      </c>
      <c r="E42" s="424">
        <f t="shared" si="34"/>
        <v>12230443</v>
      </c>
      <c r="F42" s="427"/>
      <c r="G42" s="425">
        <v>709635.44</v>
      </c>
      <c r="H42" s="427"/>
      <c r="I42" s="424">
        <f t="shared" si="31"/>
        <v>11520807.560000001</v>
      </c>
      <c r="J42" s="424">
        <v>200000</v>
      </c>
      <c r="K42" s="424">
        <v>0.2</v>
      </c>
      <c r="L42" s="424">
        <f t="shared" si="1"/>
        <v>2304161.5120000001</v>
      </c>
      <c r="M42" s="424">
        <f t="shared" si="2"/>
        <v>2504161.5120000001</v>
      </c>
      <c r="N42" s="424">
        <f t="shared" si="32"/>
        <v>3213796.952</v>
      </c>
      <c r="O42" s="424">
        <f t="shared" si="33"/>
        <v>9016646.0480000004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1395995.05152</v>
      </c>
      <c r="V42" s="424">
        <f t="shared" si="11"/>
        <v>1955995.05152</v>
      </c>
      <c r="W42" s="431">
        <v>12</v>
      </c>
      <c r="X42" s="424">
        <f t="shared" si="12"/>
        <v>162999.58762666699</v>
      </c>
      <c r="Y42" s="427"/>
      <c r="Z42" s="424">
        <f t="shared" si="13"/>
        <v>162999.58762666699</v>
      </c>
      <c r="AA42" s="436">
        <v>97273.513850666699</v>
      </c>
      <c r="AB42" s="436">
        <f t="shared" si="35"/>
        <v>65726.073775999903</v>
      </c>
      <c r="AC42" s="436"/>
      <c r="AD42" s="436"/>
      <c r="AE42" s="436"/>
    </row>
    <row r="43" spans="1:31" ht="18" x14ac:dyDescent="0.1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24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" x14ac:dyDescent="0.1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24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" x14ac:dyDescent="0.1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24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" x14ac:dyDescent="0.1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24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" x14ac:dyDescent="0.1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24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" x14ac:dyDescent="0.1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24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" x14ac:dyDescent="0.15">
      <c r="A49" s="421">
        <v>44</v>
      </c>
      <c r="B49" s="9" t="s">
        <v>539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24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" x14ac:dyDescent="0.1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24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" x14ac:dyDescent="0.2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436"/>
      <c r="AB51" s="436"/>
      <c r="AC51" s="436"/>
      <c r="AD51" s="436"/>
      <c r="AE51" s="436"/>
    </row>
    <row r="52" spans="1:31" ht="18" x14ac:dyDescent="0.1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436"/>
      <c r="AB52" s="436"/>
      <c r="AC52" s="436"/>
      <c r="AD52" s="436"/>
      <c r="AE52" s="436"/>
    </row>
    <row r="53" spans="1:31" ht="18" x14ac:dyDescent="0.1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24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" x14ac:dyDescent="0.1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24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" x14ac:dyDescent="0.2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436"/>
      <c r="AB55" s="436"/>
      <c r="AC55" s="436"/>
      <c r="AD55" s="436"/>
      <c r="AE55" s="436"/>
    </row>
    <row r="56" spans="1:31" ht="31.5" x14ac:dyDescent="0.2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436"/>
      <c r="AB56" s="436"/>
      <c r="AC56" s="436"/>
      <c r="AD56" s="436"/>
      <c r="AE56" s="436"/>
    </row>
    <row r="57" spans="1:31" ht="18" x14ac:dyDescent="0.15">
      <c r="A57" s="421">
        <v>50</v>
      </c>
      <c r="B57" s="9" t="s">
        <v>541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24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 x14ac:dyDescent="0.15">
      <c r="A58" s="421">
        <v>51</v>
      </c>
      <c r="B58" s="313" t="s">
        <v>543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24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" x14ac:dyDescent="0.1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24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" x14ac:dyDescent="0.15">
      <c r="A60" s="421">
        <v>53</v>
      </c>
      <c r="B60" s="16" t="s">
        <v>545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24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" x14ac:dyDescent="0.15">
      <c r="A61" s="421">
        <v>54</v>
      </c>
      <c r="B61" s="12" t="s">
        <v>546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24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18" x14ac:dyDescent="0.1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24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" x14ac:dyDescent="0.1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24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" x14ac:dyDescent="0.1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24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" x14ac:dyDescent="0.1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24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" x14ac:dyDescent="0.1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24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" x14ac:dyDescent="0.2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436"/>
      <c r="AB67" s="436"/>
      <c r="AC67" s="436"/>
      <c r="AD67" s="436"/>
      <c r="AE67" s="436"/>
    </row>
    <row r="68" spans="1:31" ht="18" x14ac:dyDescent="0.2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436"/>
      <c r="AB68" s="436"/>
      <c r="AC68" s="436"/>
      <c r="AD68" s="436"/>
      <c r="AE68" s="436"/>
    </row>
    <row r="69" spans="1:31" ht="18" x14ac:dyDescent="0.1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436"/>
      <c r="AB69" s="436"/>
      <c r="AC69" s="436"/>
      <c r="AD69" s="436"/>
      <c r="AE69" s="436"/>
    </row>
    <row r="70" spans="1:31" ht="18" x14ac:dyDescent="0.15">
      <c r="A70" s="421"/>
      <c r="B70" s="9" t="s">
        <v>170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24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" x14ac:dyDescent="0.15">
      <c r="A71" s="421">
        <v>62</v>
      </c>
      <c r="B71" s="12" t="s">
        <v>547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24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1.5" x14ac:dyDescent="0.2">
      <c r="A72" s="421">
        <v>63</v>
      </c>
      <c r="B72" s="16" t="s">
        <v>550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24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" x14ac:dyDescent="0.15">
      <c r="A73" s="421">
        <v>64</v>
      </c>
      <c r="B73" s="9" t="s">
        <v>174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24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" x14ac:dyDescent="0.15">
      <c r="A74" s="421">
        <v>65</v>
      </c>
      <c r="B74" s="9" t="s">
        <v>181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24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 x14ac:dyDescent="0.15">
      <c r="A75" s="421"/>
      <c r="B75" s="9" t="s">
        <v>183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24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" x14ac:dyDescent="0.15">
      <c r="A76" s="421"/>
      <c r="B76" s="9" t="s">
        <v>185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24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" x14ac:dyDescent="0.1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436"/>
      <c r="AB77" s="436"/>
      <c r="AC77" s="436"/>
      <c r="AD77" s="436"/>
      <c r="AE77" s="436"/>
    </row>
    <row r="78" spans="1:31" ht="18" x14ac:dyDescent="0.2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436"/>
      <c r="AB78" s="436"/>
      <c r="AC78" s="436"/>
      <c r="AD78" s="436"/>
      <c r="AE78" s="436"/>
    </row>
    <row r="79" spans="1:31" ht="18" x14ac:dyDescent="0.15">
      <c r="A79" s="421">
        <v>67</v>
      </c>
      <c r="B79" s="18" t="s">
        <v>187</v>
      </c>
      <c r="C79" s="424"/>
      <c r="AB79" s="259" t="s">
        <v>649</v>
      </c>
      <c r="AC79" s="436"/>
      <c r="AD79" s="436"/>
      <c r="AE79" s="436"/>
    </row>
    <row r="80" spans="1:31" ht="18" x14ac:dyDescent="0.15">
      <c r="A80" s="421">
        <v>68</v>
      </c>
      <c r="B80" s="9" t="s">
        <v>190</v>
      </c>
      <c r="C80" s="424">
        <f>880675.583333333+100000</f>
        <v>980675.58333333302</v>
      </c>
      <c r="D80" s="423">
        <v>12</v>
      </c>
      <c r="E80" s="424">
        <f>C80*D80</f>
        <v>11768107</v>
      </c>
      <c r="F80" s="424"/>
      <c r="G80" s="425">
        <v>595848.56000000006</v>
      </c>
      <c r="H80" s="427"/>
      <c r="I80" s="424">
        <f t="shared" ref="I80:I89" si="67">E80-F80-G80-H80</f>
        <v>11172258.439999999</v>
      </c>
      <c r="J80" s="424">
        <v>200000</v>
      </c>
      <c r="K80" s="424">
        <v>0.2</v>
      </c>
      <c r="L80" s="424">
        <f t="shared" ref="L80:L89" si="68">I80*K80</f>
        <v>2234451.6880000001</v>
      </c>
      <c r="M80" s="424">
        <f t="shared" ref="M80:M89" si="69">J80+L80</f>
        <v>2434451.6880000001</v>
      </c>
      <c r="N80" s="424">
        <f t="shared" ref="N80:N89" si="70">F80+G80+H80+M80</f>
        <v>3030300.2480000001</v>
      </c>
      <c r="O80" s="424">
        <f t="shared" ref="O80:O89" si="71">E80-N80</f>
        <v>8737806.7520000003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1329073.62048</v>
      </c>
      <c r="V80" s="424">
        <f t="shared" ref="V80:V89" si="78">P80+Q80+R80+S80+T80+U80</f>
        <v>1889073.62048</v>
      </c>
      <c r="W80" s="431">
        <v>12</v>
      </c>
      <c r="X80" s="424">
        <f t="shared" ref="X80:X89" si="79">V80/W80</f>
        <v>157422.801706667</v>
      </c>
      <c r="Y80" s="427"/>
      <c r="Z80" s="424">
        <f t="shared" ref="Z80:Z89" si="80">X80</f>
        <v>157422.801706667</v>
      </c>
      <c r="AA80" s="424">
        <v>99156.9391466667</v>
      </c>
      <c r="AB80" s="436">
        <f>Z80-AA80</f>
        <v>58265.8625599999</v>
      </c>
      <c r="AC80" s="436" t="s">
        <v>190</v>
      </c>
      <c r="AD80" s="436"/>
      <c r="AE80" s="436"/>
    </row>
    <row r="81" spans="1:31" ht="18" x14ac:dyDescent="0.15">
      <c r="A81" s="421">
        <v>69</v>
      </c>
      <c r="B81" s="9" t="s">
        <v>188</v>
      </c>
      <c r="C81" s="570">
        <v>942373.17</v>
      </c>
      <c r="D81" s="423">
        <v>12</v>
      </c>
      <c r="E81" s="424">
        <f t="shared" ref="E81:E87" si="81">C81*D81</f>
        <v>11308478.039999999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10702577.23</v>
      </c>
      <c r="J81" s="424">
        <v>200000</v>
      </c>
      <c r="K81" s="424">
        <v>0.2</v>
      </c>
      <c r="L81" s="424">
        <f t="shared" si="68"/>
        <v>2140515.446</v>
      </c>
      <c r="M81" s="424">
        <f t="shared" si="69"/>
        <v>2340515.446</v>
      </c>
      <c r="N81" s="424">
        <f t="shared" si="70"/>
        <v>2946416.2560000001</v>
      </c>
      <c r="O81" s="424">
        <f t="shared" si="71"/>
        <v>8362061.784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1238894.82816</v>
      </c>
      <c r="V81" s="424">
        <f t="shared" si="78"/>
        <v>1798894.82816</v>
      </c>
      <c r="W81" s="431">
        <v>12</v>
      </c>
      <c r="X81" s="424">
        <f t="shared" si="79"/>
        <v>149907.90234666699</v>
      </c>
      <c r="Y81" s="427"/>
      <c r="Z81" s="424">
        <f t="shared" si="80"/>
        <v>149907.90234666699</v>
      </c>
      <c r="AA81" s="424">
        <v>98996.103146666705</v>
      </c>
      <c r="AB81" s="436">
        <f t="shared" ref="AB81:AB87" si="82">Z81-AA81</f>
        <v>50911.799200000001</v>
      </c>
      <c r="AC81" s="436" t="s">
        <v>188</v>
      </c>
      <c r="AD81" s="436"/>
      <c r="AE81" s="436"/>
    </row>
    <row r="82" spans="1:31" ht="31.5" x14ac:dyDescent="0.2">
      <c r="A82" s="421">
        <v>70</v>
      </c>
      <c r="B82" s="9" t="s">
        <v>193</v>
      </c>
      <c r="C82" s="424">
        <v>587895.16666666698</v>
      </c>
      <c r="D82" s="423">
        <v>12</v>
      </c>
      <c r="E82" s="424">
        <f t="shared" si="81"/>
        <v>7054742</v>
      </c>
      <c r="F82" s="424"/>
      <c r="G82" s="425">
        <v>558833.36</v>
      </c>
      <c r="H82" s="427"/>
      <c r="I82" s="424">
        <f t="shared" si="67"/>
        <v>6495908.6399999997</v>
      </c>
      <c r="J82" s="424">
        <v>200000</v>
      </c>
      <c r="K82" s="424">
        <v>0.2</v>
      </c>
      <c r="L82" s="424">
        <f t="shared" si="68"/>
        <v>1299181.7279999999</v>
      </c>
      <c r="M82" s="424">
        <f t="shared" si="69"/>
        <v>1499181.7279999999</v>
      </c>
      <c r="N82" s="424">
        <f t="shared" si="70"/>
        <v>2058015.088</v>
      </c>
      <c r="O82" s="424">
        <f t="shared" si="71"/>
        <v>4996726.9119999995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431214.45888000098</v>
      </c>
      <c r="V82" s="424">
        <f t="shared" si="78"/>
        <v>991214.45888000098</v>
      </c>
      <c r="W82" s="431">
        <v>12</v>
      </c>
      <c r="X82" s="424">
        <f t="shared" si="79"/>
        <v>82601.204906666695</v>
      </c>
      <c r="Y82" s="427"/>
      <c r="Z82" s="424">
        <f t="shared" si="80"/>
        <v>82601.204906666695</v>
      </c>
      <c r="AA82" s="424">
        <v>79956.9391466667</v>
      </c>
      <c r="AB82" s="436">
        <f t="shared" si="82"/>
        <v>2644.2657600000098</v>
      </c>
      <c r="AC82" s="436" t="s">
        <v>193</v>
      </c>
      <c r="AD82" s="436"/>
      <c r="AE82" s="436"/>
    </row>
    <row r="83" spans="1:31" ht="18" x14ac:dyDescent="0.15">
      <c r="A83" s="421">
        <v>71</v>
      </c>
      <c r="B83" s="9" t="s">
        <v>194</v>
      </c>
      <c r="C83" s="424">
        <v>582746.5</v>
      </c>
      <c r="D83" s="423">
        <v>12</v>
      </c>
      <c r="E83" s="424">
        <f t="shared" si="81"/>
        <v>6992958</v>
      </c>
      <c r="F83" s="424"/>
      <c r="G83" s="425">
        <v>424132.72</v>
      </c>
      <c r="H83" s="427"/>
      <c r="I83" s="424">
        <f t="shared" si="67"/>
        <v>6568825.2800000003</v>
      </c>
      <c r="J83" s="424">
        <v>200000</v>
      </c>
      <c r="K83" s="424">
        <v>0.2</v>
      </c>
      <c r="L83" s="424">
        <f t="shared" si="68"/>
        <v>1313765.0560000001</v>
      </c>
      <c r="M83" s="424">
        <f t="shared" si="69"/>
        <v>1513765.0560000001</v>
      </c>
      <c r="N83" s="424">
        <f t="shared" si="70"/>
        <v>1937897.7760000001</v>
      </c>
      <c r="O83" s="424">
        <f t="shared" si="71"/>
        <v>5055060.2240000004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445214.45376</v>
      </c>
      <c r="V83" s="424">
        <f t="shared" si="78"/>
        <v>1005214.4537599999</v>
      </c>
      <c r="W83" s="431">
        <v>12</v>
      </c>
      <c r="X83" s="424">
        <f t="shared" si="79"/>
        <v>83767.871146666701</v>
      </c>
      <c r="Y83" s="427"/>
      <c r="Z83" s="424">
        <f t="shared" si="80"/>
        <v>83767.871146666701</v>
      </c>
      <c r="AA83" s="424">
        <v>75574.677290666703</v>
      </c>
      <c r="AB83" s="436">
        <f t="shared" si="82"/>
        <v>8193.1938559999508</v>
      </c>
      <c r="AC83" s="436" t="s">
        <v>194</v>
      </c>
      <c r="AD83" s="436"/>
      <c r="AE83" s="436"/>
    </row>
    <row r="84" spans="1:31" ht="18" x14ac:dyDescent="0.15">
      <c r="A84" s="421">
        <v>72</v>
      </c>
      <c r="B84" s="9" t="s">
        <v>195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24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195</v>
      </c>
      <c r="AD84" s="436"/>
      <c r="AE84" s="436"/>
    </row>
    <row r="85" spans="1:31" ht="31.5" x14ac:dyDescent="0.2">
      <c r="A85" s="421">
        <v>73</v>
      </c>
      <c r="B85" s="9" t="s">
        <v>196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24">
        <v>49548.776186666699</v>
      </c>
      <c r="AB85" s="436">
        <f t="shared" si="82"/>
        <v>31753.619760000001</v>
      </c>
      <c r="AC85" s="436" t="s">
        <v>196</v>
      </c>
      <c r="AD85" s="436"/>
      <c r="AE85" s="436"/>
    </row>
    <row r="86" spans="1:31" ht="18" x14ac:dyDescent="0.15">
      <c r="A86" s="421">
        <v>74</v>
      </c>
      <c r="B86" s="9" t="s">
        <v>198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24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198</v>
      </c>
      <c r="AD86" s="436"/>
      <c r="AE86" s="436"/>
    </row>
    <row r="87" spans="1:31" ht="24" customHeight="1" x14ac:dyDescent="0.15">
      <c r="A87" s="421">
        <v>75</v>
      </c>
      <c r="B87" s="9" t="s">
        <v>199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24">
        <v>41242.0361406667</v>
      </c>
      <c r="AB87" s="436">
        <f t="shared" si="82"/>
        <v>29287.439214000002</v>
      </c>
      <c r="AC87" s="436" t="s">
        <v>199</v>
      </c>
      <c r="AD87" s="436"/>
      <c r="AE87" s="436"/>
    </row>
    <row r="88" spans="1:31" ht="18" x14ac:dyDescent="0.15">
      <c r="A88" s="421">
        <v>76</v>
      </c>
      <c r="B88" s="9" t="s">
        <v>202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24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202</v>
      </c>
      <c r="AD88" s="436"/>
      <c r="AE88" s="436"/>
    </row>
    <row r="89" spans="1:31" ht="18" x14ac:dyDescent="0.15">
      <c r="A89" s="421"/>
      <c r="B89" s="9" t="s">
        <v>204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24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204</v>
      </c>
      <c r="AD89" s="436"/>
      <c r="AE89" s="436"/>
    </row>
    <row r="90" spans="1:31" ht="18" x14ac:dyDescent="0.2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436"/>
      <c r="AB90" s="436"/>
      <c r="AC90" s="436"/>
      <c r="AD90" s="436"/>
      <c r="AE90" s="436"/>
    </row>
    <row r="91" spans="1:31" ht="18" x14ac:dyDescent="0.2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436"/>
      <c r="AB91" s="436"/>
      <c r="AC91" s="436"/>
      <c r="AD91" s="436"/>
      <c r="AE91" s="436"/>
    </row>
    <row r="92" spans="1:31" ht="18" x14ac:dyDescent="0.15">
      <c r="A92" s="421">
        <v>78</v>
      </c>
      <c r="B92" s="18" t="s">
        <v>207</v>
      </c>
      <c r="C92" s="424"/>
      <c r="AC92" s="436"/>
      <c r="AD92" s="436"/>
      <c r="AE92" s="436"/>
    </row>
    <row r="93" spans="1:31" ht="31.5" x14ac:dyDescent="0.2">
      <c r="A93" s="421">
        <v>79</v>
      </c>
      <c r="B93" s="12" t="s">
        <v>208</v>
      </c>
      <c r="C93" s="424">
        <v>1452042.67</v>
      </c>
      <c r="D93" s="423">
        <v>12</v>
      </c>
      <c r="E93" s="424">
        <f>C93*D93</f>
        <v>17424512.039999999</v>
      </c>
      <c r="F93" s="424">
        <f>'[8]JANUARY 2024'!$V$98*12</f>
        <v>12795.950999999999</v>
      </c>
      <c r="G93" s="425">
        <f>(0.08*1352042.67)*12</f>
        <v>1297960.9632000001</v>
      </c>
      <c r="H93" s="427"/>
      <c r="I93" s="424">
        <f>E93-F93-G93-H93</f>
        <v>16113755.125800001</v>
      </c>
      <c r="J93" s="424">
        <v>200000</v>
      </c>
      <c r="K93" s="424">
        <v>0.2</v>
      </c>
      <c r="L93" s="424">
        <f>I93*K93</f>
        <v>3222751.0251600002</v>
      </c>
      <c r="M93" s="424">
        <f>J93+L93</f>
        <v>3422751.0251600002</v>
      </c>
      <c r="N93" s="424">
        <f>F93+G93+H93+M93</f>
        <v>4733507.9393600002</v>
      </c>
      <c r="O93" s="424">
        <f>E93-N93</f>
        <v>12691004.100640001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2277840.9841535999</v>
      </c>
      <c r="V93" s="424">
        <f>P93+Q93+R93+S93+T93+U93</f>
        <v>2837840.9841535999</v>
      </c>
      <c r="W93" s="431">
        <v>12</v>
      </c>
      <c r="X93" s="424">
        <f>V93/W93</f>
        <v>236486.74867946701</v>
      </c>
      <c r="Y93" s="427"/>
      <c r="Z93" s="424">
        <f>X93</f>
        <v>236486.74867946701</v>
      </c>
      <c r="AA93" s="436">
        <v>82423.216202666707</v>
      </c>
      <c r="AB93" s="436">
        <f>Z93-AA93</f>
        <v>154063.5324768</v>
      </c>
      <c r="AC93" s="436" t="s">
        <v>208</v>
      </c>
      <c r="AD93" s="436"/>
      <c r="AE93" s="436"/>
    </row>
    <row r="94" spans="1:31" ht="18" x14ac:dyDescent="0.15">
      <c r="A94" s="421">
        <v>80</v>
      </c>
      <c r="B94" s="9" t="s">
        <v>211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24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211</v>
      </c>
      <c r="AD94" s="436"/>
      <c r="AE94" s="436"/>
    </row>
    <row r="95" spans="1:31" ht="31.5" x14ac:dyDescent="0.2">
      <c r="A95" s="421">
        <v>81</v>
      </c>
      <c r="B95" s="9" t="s">
        <v>217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24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217</v>
      </c>
      <c r="AD95" s="436"/>
      <c r="AE95" s="436"/>
    </row>
    <row r="96" spans="1:31" ht="18" x14ac:dyDescent="0.15">
      <c r="A96" s="421"/>
      <c r="B96" s="9" t="s">
        <v>219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24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219</v>
      </c>
      <c r="AD96" s="436"/>
      <c r="AE96" s="436"/>
    </row>
    <row r="97" spans="1:31" ht="18" x14ac:dyDescent="0.1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436"/>
      <c r="AB97" s="436"/>
      <c r="AC97" s="436"/>
      <c r="AD97" s="436"/>
      <c r="AE97" s="436"/>
    </row>
    <row r="98" spans="1:31" ht="18" x14ac:dyDescent="0.2">
      <c r="A98" s="421">
        <v>83</v>
      </c>
      <c r="B98" s="20"/>
      <c r="C98" s="424"/>
      <c r="G98" s="259">
        <v>0</v>
      </c>
      <c r="AC98" s="436"/>
      <c r="AD98" s="436"/>
      <c r="AE98" s="436"/>
    </row>
    <row r="99" spans="1:31" ht="31.5" x14ac:dyDescent="0.2">
      <c r="A99" s="421">
        <v>84</v>
      </c>
      <c r="B99" s="18" t="s">
        <v>221</v>
      </c>
      <c r="C99" s="424"/>
      <c r="G99" s="259">
        <v>0</v>
      </c>
      <c r="AB99" s="259" t="s">
        <v>648</v>
      </c>
      <c r="AC99" s="436"/>
      <c r="AD99" s="436"/>
      <c r="AE99" s="436"/>
    </row>
    <row r="100" spans="1:31" ht="18" x14ac:dyDescent="0.15">
      <c r="A100" s="421">
        <v>85</v>
      </c>
      <c r="B100" s="9" t="s">
        <v>222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24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222</v>
      </c>
      <c r="AD100" s="436"/>
      <c r="AE100" s="436"/>
    </row>
    <row r="101" spans="1:31" ht="18" x14ac:dyDescent="0.15">
      <c r="A101" s="421">
        <v>86</v>
      </c>
      <c r="B101" s="9" t="s">
        <v>224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24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224</v>
      </c>
      <c r="AD101" s="436"/>
      <c r="AE101" s="436"/>
    </row>
    <row r="102" spans="1:31" ht="18" x14ac:dyDescent="0.15">
      <c r="A102" s="421">
        <v>87</v>
      </c>
      <c r="B102" s="9" t="s">
        <v>226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24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226</v>
      </c>
      <c r="AD102" s="436"/>
      <c r="AE102" s="436"/>
    </row>
    <row r="103" spans="1:31" ht="18" x14ac:dyDescent="0.15">
      <c r="A103" s="421">
        <v>88</v>
      </c>
      <c r="B103" s="9" t="s">
        <v>228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24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228</v>
      </c>
      <c r="AD103" s="436"/>
      <c r="AE103" s="436"/>
    </row>
    <row r="104" spans="1:31" ht="18" x14ac:dyDescent="0.15">
      <c r="A104" s="421">
        <v>89</v>
      </c>
      <c r="B104" s="9" t="s">
        <v>230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24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230</v>
      </c>
      <c r="AD104" s="436"/>
      <c r="AE104" s="436"/>
    </row>
    <row r="105" spans="1:31" ht="31.5" x14ac:dyDescent="0.2">
      <c r="A105" s="421"/>
      <c r="B105" s="16" t="s">
        <v>233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24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233</v>
      </c>
      <c r="AD105" s="436"/>
      <c r="AE105" s="436"/>
    </row>
    <row r="106" spans="1:31" ht="18" x14ac:dyDescent="0.15">
      <c r="A106" s="421"/>
      <c r="B106" s="16" t="s">
        <v>234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24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234</v>
      </c>
      <c r="AD106" s="436"/>
      <c r="AE106" s="436"/>
    </row>
    <row r="107" spans="1:31" ht="18" x14ac:dyDescent="0.1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436"/>
      <c r="AB107" s="436"/>
      <c r="AC107" s="436"/>
      <c r="AD107" s="436"/>
      <c r="AE107" s="436"/>
    </row>
    <row r="108" spans="1:31" ht="18" x14ac:dyDescent="0.2">
      <c r="A108" s="421">
        <v>90</v>
      </c>
      <c r="B108" s="18"/>
      <c r="C108" s="424"/>
      <c r="G108" s="425"/>
      <c r="U108" s="424"/>
      <c r="AC108" s="436"/>
      <c r="AD108" s="436"/>
      <c r="AE108" s="436"/>
    </row>
    <row r="109" spans="1:31" ht="31.5" x14ac:dyDescent="0.2">
      <c r="A109" s="421">
        <v>91</v>
      </c>
      <c r="B109" s="18" t="s">
        <v>235</v>
      </c>
      <c r="C109" s="424"/>
      <c r="G109" s="425"/>
      <c r="U109" s="424"/>
      <c r="AC109" s="436"/>
      <c r="AD109" s="436"/>
      <c r="AE109" s="436"/>
    </row>
    <row r="110" spans="1:31" ht="31.5" x14ac:dyDescent="0.2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24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" x14ac:dyDescent="0.15">
      <c r="A111" s="421">
        <v>93</v>
      </c>
      <c r="B111" s="9" t="s">
        <v>236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24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18" x14ac:dyDescent="0.15">
      <c r="A112" s="421">
        <v>94</v>
      </c>
      <c r="B112" s="9" t="s">
        <v>177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24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" x14ac:dyDescent="0.2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436"/>
      <c r="AC113" s="436"/>
      <c r="AD113" s="436"/>
      <c r="AE113" s="436"/>
    </row>
    <row r="114" spans="1:31" ht="18" x14ac:dyDescent="0.2">
      <c r="A114" s="421">
        <v>96</v>
      </c>
      <c r="B114" s="20"/>
      <c r="C114" s="424"/>
      <c r="U114" s="437"/>
      <c r="AC114" s="436"/>
      <c r="AD114" s="436"/>
      <c r="AE114" s="436"/>
    </row>
    <row r="115" spans="1:31" ht="18" x14ac:dyDescent="0.15">
      <c r="A115" s="421">
        <v>97</v>
      </c>
      <c r="B115" s="18" t="s">
        <v>250</v>
      </c>
      <c r="C115" s="424"/>
      <c r="U115" s="437"/>
      <c r="AC115" s="436"/>
      <c r="AD115" s="436"/>
      <c r="AE115" s="436"/>
    </row>
    <row r="116" spans="1:31" ht="18" x14ac:dyDescent="0.15">
      <c r="A116" s="421">
        <v>98</v>
      </c>
      <c r="B116" s="9" t="s">
        <v>251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24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" x14ac:dyDescent="0.15">
      <c r="A117" s="421">
        <v>99</v>
      </c>
      <c r="B117" s="9" t="s">
        <v>253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24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" x14ac:dyDescent="0.15">
      <c r="A118" s="421"/>
      <c r="B118" s="12" t="s">
        <v>255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24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" x14ac:dyDescent="0.15">
      <c r="A119" s="421"/>
      <c r="B119" s="12" t="s">
        <v>556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24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" x14ac:dyDescent="0.15">
      <c r="A120" s="421">
        <v>101</v>
      </c>
      <c r="B120" s="9" t="s">
        <v>257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24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" x14ac:dyDescent="0.15">
      <c r="A121" s="421">
        <v>103</v>
      </c>
      <c r="B121" s="9" t="s">
        <v>259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24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" x14ac:dyDescent="0.15">
      <c r="A122" s="421">
        <v>105</v>
      </c>
      <c r="B122" s="9" t="s">
        <v>260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24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" x14ac:dyDescent="0.15">
      <c r="A123" s="421">
        <v>106</v>
      </c>
      <c r="B123" s="9" t="s">
        <v>263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24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" x14ac:dyDescent="0.15">
      <c r="A124" s="421">
        <v>107</v>
      </c>
      <c r="B124" s="16" t="s">
        <v>265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24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" x14ac:dyDescent="0.15">
      <c r="A125" s="421">
        <v>108</v>
      </c>
      <c r="B125" s="16" t="s">
        <v>267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24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" x14ac:dyDescent="0.1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436"/>
      <c r="AB126" s="436"/>
      <c r="AC126" s="436"/>
      <c r="AD126" s="436"/>
      <c r="AE126" s="436"/>
    </row>
    <row r="127" spans="1:31" ht="18" x14ac:dyDescent="0.2">
      <c r="A127" s="421">
        <v>110</v>
      </c>
      <c r="B127" s="20"/>
      <c r="C127" s="424"/>
      <c r="U127" s="437"/>
      <c r="AC127" s="436"/>
      <c r="AD127" s="436"/>
      <c r="AE127" s="436"/>
    </row>
    <row r="128" spans="1:31" ht="18" x14ac:dyDescent="0.15">
      <c r="A128" s="421">
        <v>111</v>
      </c>
      <c r="B128" s="18" t="s">
        <v>270</v>
      </c>
      <c r="C128" s="424"/>
      <c r="U128" s="437"/>
      <c r="AC128" s="436"/>
      <c r="AD128" s="436"/>
      <c r="AE128" s="436"/>
    </row>
    <row r="129" spans="1:31" ht="18" x14ac:dyDescent="0.15">
      <c r="A129" s="421">
        <v>112</v>
      </c>
      <c r="B129" s="9" t="s">
        <v>557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24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" x14ac:dyDescent="0.15">
      <c r="A130" s="421">
        <v>113</v>
      </c>
      <c r="B130" s="9" t="s">
        <v>559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24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" x14ac:dyDescent="0.15">
      <c r="A131" s="421">
        <v>114</v>
      </c>
      <c r="B131" s="12" t="s">
        <v>274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24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" x14ac:dyDescent="0.15">
      <c r="A132" s="421">
        <v>115</v>
      </c>
      <c r="B132" s="9" t="s">
        <v>276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24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" x14ac:dyDescent="0.15">
      <c r="A133" s="421">
        <v>116</v>
      </c>
      <c r="B133" s="9" t="s">
        <v>278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24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" x14ac:dyDescent="0.15">
      <c r="A134" s="421">
        <v>117</v>
      </c>
      <c r="B134" s="9" t="s">
        <v>280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24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" x14ac:dyDescent="0.15">
      <c r="A135" s="421">
        <v>118</v>
      </c>
      <c r="B135" s="9" t="s">
        <v>213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24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" x14ac:dyDescent="0.15">
      <c r="A136" s="421">
        <v>119</v>
      </c>
      <c r="B136" s="9" t="s">
        <v>281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24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" x14ac:dyDescent="0.15">
      <c r="A137" s="421">
        <v>120</v>
      </c>
      <c r="B137" s="9" t="s">
        <v>282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24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1.5" x14ac:dyDescent="0.2">
      <c r="A138" s="421">
        <v>121</v>
      </c>
      <c r="B138" s="9" t="s">
        <v>284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24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" x14ac:dyDescent="0.15">
      <c r="A139" s="421">
        <v>122</v>
      </c>
      <c r="B139" s="9" t="s">
        <v>286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24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18" x14ac:dyDescent="0.1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24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" x14ac:dyDescent="0.15">
      <c r="A141" s="421">
        <v>124</v>
      </c>
      <c r="B141" s="16" t="s">
        <v>288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24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" x14ac:dyDescent="0.15">
      <c r="A142" s="421">
        <v>125</v>
      </c>
      <c r="B142" s="9" t="s">
        <v>290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24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" x14ac:dyDescent="0.15">
      <c r="A143" s="421">
        <v>126</v>
      </c>
      <c r="B143" s="9" t="s">
        <v>291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24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" x14ac:dyDescent="0.15">
      <c r="A144" s="421">
        <v>127</v>
      </c>
      <c r="B144" s="9" t="s">
        <v>293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24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" x14ac:dyDescent="0.15">
      <c r="A145" s="421">
        <v>128</v>
      </c>
      <c r="B145" s="9" t="s">
        <v>294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24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1.5" x14ac:dyDescent="0.2">
      <c r="A146" s="421">
        <v>129</v>
      </c>
      <c r="B146" s="9" t="s">
        <v>296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24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" x14ac:dyDescent="0.15">
      <c r="A147" s="421">
        <v>130</v>
      </c>
      <c r="B147" s="9" t="s">
        <v>298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24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" x14ac:dyDescent="0.15">
      <c r="A148" s="421">
        <v>131</v>
      </c>
      <c r="B148" s="9" t="s">
        <v>301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24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" x14ac:dyDescent="0.15">
      <c r="A149" s="421">
        <v>132</v>
      </c>
      <c r="B149" s="9" t="s">
        <v>303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24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" x14ac:dyDescent="0.15">
      <c r="A150" s="421">
        <v>133</v>
      </c>
      <c r="B150" s="9" t="s">
        <v>305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24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" x14ac:dyDescent="0.15">
      <c r="A151" s="421">
        <v>134</v>
      </c>
      <c r="B151" s="16" t="s">
        <v>307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24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" x14ac:dyDescent="0.15">
      <c r="A152" s="421">
        <v>135</v>
      </c>
      <c r="B152" s="16" t="s">
        <v>312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24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" x14ac:dyDescent="0.15">
      <c r="A153" s="421">
        <v>136</v>
      </c>
      <c r="B153" s="16" t="s">
        <v>314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24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1.5" x14ac:dyDescent="0.2">
      <c r="A154" s="421">
        <v>137</v>
      </c>
      <c r="B154" s="16" t="s">
        <v>316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24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" x14ac:dyDescent="0.15">
      <c r="A155" s="421">
        <v>138</v>
      </c>
      <c r="B155" s="16" t="s">
        <v>318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24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" x14ac:dyDescent="0.15">
      <c r="A156" s="421">
        <v>139</v>
      </c>
      <c r="B156" s="16" t="s">
        <v>320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24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" x14ac:dyDescent="0.15">
      <c r="A157" s="421">
        <v>140</v>
      </c>
      <c r="B157" s="9" t="s">
        <v>329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24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" x14ac:dyDescent="0.15">
      <c r="A158" s="421">
        <v>141</v>
      </c>
      <c r="B158" s="9" t="s">
        <v>332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24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 x14ac:dyDescent="0.15">
      <c r="A159" s="421">
        <v>142</v>
      </c>
      <c r="B159" s="9" t="s">
        <v>333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24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" x14ac:dyDescent="0.15">
      <c r="A160" s="421">
        <v>143</v>
      </c>
      <c r="B160" s="9" t="s">
        <v>334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24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" x14ac:dyDescent="0.15">
      <c r="A161" s="421">
        <v>144</v>
      </c>
      <c r="B161" s="9" t="s">
        <v>335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24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" x14ac:dyDescent="0.15">
      <c r="A162" s="421">
        <v>145</v>
      </c>
      <c r="B162" s="9" t="s">
        <v>336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24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" x14ac:dyDescent="0.15">
      <c r="A163" s="421">
        <v>146</v>
      </c>
      <c r="B163" s="9" t="s">
        <v>338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24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" x14ac:dyDescent="0.15">
      <c r="A164" s="421">
        <v>147</v>
      </c>
      <c r="B164" s="12" t="s">
        <v>339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24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" x14ac:dyDescent="0.15">
      <c r="A165" s="421">
        <v>148</v>
      </c>
      <c r="B165" s="9" t="s">
        <v>340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24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" x14ac:dyDescent="0.15">
      <c r="A166" s="421">
        <v>149</v>
      </c>
      <c r="B166" s="16" t="s">
        <v>341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24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" x14ac:dyDescent="0.15">
      <c r="A167" s="421">
        <v>150</v>
      </c>
      <c r="B167" s="16" t="s">
        <v>342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24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1.5" x14ac:dyDescent="0.2">
      <c r="A168" s="421">
        <v>151</v>
      </c>
      <c r="B168" s="9" t="s">
        <v>343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24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" x14ac:dyDescent="0.15">
      <c r="A169" s="421">
        <v>152</v>
      </c>
      <c r="B169" s="9" t="s">
        <v>346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24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" x14ac:dyDescent="0.15">
      <c r="A170" s="421">
        <v>153</v>
      </c>
      <c r="B170" s="16" t="s">
        <v>347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24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 x14ac:dyDescent="0.15">
      <c r="A171" s="421">
        <v>154</v>
      </c>
      <c r="B171" s="9" t="s">
        <v>349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24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" x14ac:dyDescent="0.15">
      <c r="A172" s="421">
        <v>155</v>
      </c>
      <c r="B172" s="9" t="s">
        <v>352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24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" x14ac:dyDescent="0.15">
      <c r="A173" s="421">
        <v>156</v>
      </c>
      <c r="B173" s="9" t="s">
        <v>355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24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" x14ac:dyDescent="0.15">
      <c r="A174" s="421">
        <v>157</v>
      </c>
      <c r="B174" s="9" t="s">
        <v>356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24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" x14ac:dyDescent="0.15">
      <c r="A175" s="432"/>
      <c r="B175" s="9" t="s">
        <v>357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24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" x14ac:dyDescent="0.15">
      <c r="A176" s="432"/>
      <c r="B176" s="9" t="s">
        <v>358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24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" x14ac:dyDescent="0.15">
      <c r="B177" s="16" t="s">
        <v>359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24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" x14ac:dyDescent="0.15">
      <c r="B178" s="16" t="s">
        <v>360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24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" x14ac:dyDescent="0.15">
      <c r="B179" s="9" t="s">
        <v>493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24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" x14ac:dyDescent="0.15">
      <c r="B180" s="9" t="s">
        <v>361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24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" x14ac:dyDescent="0.15">
      <c r="B181" s="16" t="s">
        <v>362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24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" x14ac:dyDescent="0.15">
      <c r="B182" s="16" t="s">
        <v>367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24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" x14ac:dyDescent="0.15">
      <c r="B183" s="16" t="s">
        <v>369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24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" x14ac:dyDescent="0.15">
      <c r="B184" s="16" t="s">
        <v>372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24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" x14ac:dyDescent="0.15">
      <c r="B185" s="16" t="s">
        <v>373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24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" x14ac:dyDescent="0.15">
      <c r="B186" s="441" t="s">
        <v>374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24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" x14ac:dyDescent="0.15">
      <c r="B187" s="441" t="s">
        <v>377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43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 x14ac:dyDescent="0.2">
      <c r="B188" s="6" t="s">
        <v>650</v>
      </c>
      <c r="C188" s="571">
        <f>SUM(C6:C187)</f>
        <v>81138359.696105003</v>
      </c>
      <c r="D188" s="572"/>
      <c r="E188" s="426"/>
      <c r="F188" s="573">
        <f>SUM(F6:F187)</f>
        <v>276375.74699999997</v>
      </c>
      <c r="G188" s="573">
        <f>SUM(G6:G187)</f>
        <v>55339851.603200004</v>
      </c>
      <c r="H188" s="574"/>
      <c r="I188" s="574"/>
      <c r="J188" s="574"/>
      <c r="K188" s="574"/>
      <c r="L188" s="574"/>
      <c r="M188" s="574"/>
      <c r="N188" s="574"/>
      <c r="O188" s="574"/>
      <c r="P188" s="574"/>
      <c r="Q188" s="574"/>
      <c r="R188" s="574"/>
      <c r="S188" s="574"/>
      <c r="T188" s="574"/>
      <c r="U188" s="574"/>
      <c r="V188" s="573">
        <f>SUM(V6:V187)</f>
        <v>139961283.78981999</v>
      </c>
      <c r="W188" s="573"/>
      <c r="X188" s="573">
        <f t="shared" ref="X188" si="137">SUM(X6:X187)</f>
        <v>11663440.3158183</v>
      </c>
      <c r="Y188" s="573"/>
      <c r="Z188" s="573">
        <f t="shared" ref="Z188" si="138">SUM(Z6:Z187)</f>
        <v>11663440.3158183</v>
      </c>
      <c r="AA188" s="574"/>
      <c r="AB188" s="574"/>
    </row>
    <row r="189" spans="2:28" ht="26.25" customHeight="1" x14ac:dyDescent="0.2">
      <c r="B189" s="28" t="s">
        <v>651</v>
      </c>
      <c r="C189" s="571"/>
      <c r="D189" s="572"/>
      <c r="E189" s="572"/>
      <c r="F189" s="575">
        <f>F188/12</f>
        <v>23031.312249999999</v>
      </c>
      <c r="G189" s="575">
        <f>G188/12</f>
        <v>4611654.3002666598</v>
      </c>
      <c r="H189" s="574"/>
      <c r="I189" s="574"/>
      <c r="J189" s="574"/>
      <c r="K189" s="574"/>
      <c r="L189" s="574"/>
      <c r="M189" s="574"/>
      <c r="N189" s="574"/>
      <c r="O189" s="574"/>
      <c r="P189" s="574"/>
      <c r="Q189" s="574"/>
      <c r="R189" s="574"/>
      <c r="S189" s="574"/>
      <c r="T189" s="574"/>
      <c r="U189" s="574"/>
      <c r="V189" s="575">
        <f>V188/12</f>
        <v>11663440.3158183</v>
      </c>
      <c r="W189" s="572"/>
      <c r="X189" s="572"/>
      <c r="Y189" s="572"/>
      <c r="Z189" s="572"/>
      <c r="AA189" s="574"/>
      <c r="AB189" s="574"/>
    </row>
    <row r="190" spans="2:28" ht="18" x14ac:dyDescent="0.2">
      <c r="B190" s="31"/>
      <c r="C190" s="436"/>
      <c r="F190" s="455"/>
    </row>
    <row r="191" spans="2:28" x14ac:dyDescent="0.15">
      <c r="F191" s="456"/>
      <c r="Z191" s="573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T14"/>
  <sheetViews>
    <sheetView zoomScaleSheetLayoutView="50" workbookViewId="0">
      <pane xSplit="3" ySplit="5" topLeftCell="P6" activePane="bottomRight" state="frozen"/>
      <selection pane="bottomLeft"/>
      <selection pane="topRight"/>
      <selection pane="bottomRight" activeCell="P9" sqref="P9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6" width="19.28125" style="1" customWidth="1"/>
    <col min="7" max="7" width="18.33984375" style="1" customWidth="1"/>
    <col min="8" max="8" width="18.0703125" style="1" customWidth="1"/>
    <col min="9" max="9" width="17.80078125" style="1" customWidth="1"/>
    <col min="10" max="10" width="21.57421875" style="1" customWidth="1"/>
    <col min="11" max="11" width="9.16796875" style="1" customWidth="1"/>
    <col min="12" max="12" width="18.47265625" style="1" customWidth="1"/>
    <col min="13" max="13" width="17.6640625" style="1" customWidth="1"/>
    <col min="14" max="14" width="16.046875" style="1" customWidth="1"/>
    <col min="15" max="15" width="19.8203125" style="1" customWidth="1"/>
    <col min="16" max="16" width="18.0703125" style="1" customWidth="1"/>
    <col min="17" max="18" width="19.28125" style="1" customWidth="1"/>
    <col min="19" max="19" width="19.55078125" style="1" customWidth="1"/>
    <col min="20" max="20" width="21.7109375" style="1" customWidth="1"/>
    <col min="21" max="16384" width="9.16796875" style="1"/>
  </cols>
  <sheetData>
    <row r="1" spans="1:20" ht="27" customHeight="1" x14ac:dyDescent="0.3">
      <c r="A1" s="936" t="s">
        <v>0</v>
      </c>
      <c r="B1" s="936"/>
      <c r="C1" s="936"/>
      <c r="D1" s="936"/>
      <c r="E1" s="936"/>
      <c r="F1" s="936"/>
      <c r="G1" s="183"/>
      <c r="H1" s="183"/>
      <c r="I1" s="183"/>
    </row>
    <row r="2" spans="1:20" ht="33.75" customHeight="1" x14ac:dyDescent="0.3">
      <c r="A2" s="61" t="s">
        <v>786</v>
      </c>
      <c r="B2" s="62"/>
      <c r="C2" s="61"/>
      <c r="D2" s="61"/>
      <c r="E2" s="182"/>
      <c r="F2" s="182"/>
      <c r="G2" s="262"/>
      <c r="H2" s="262"/>
      <c r="I2" s="262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 x14ac:dyDescent="0.2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7" t="s">
        <v>9</v>
      </c>
      <c r="K4" s="184" t="s">
        <v>10</v>
      </c>
      <c r="L4" s="184" t="s">
        <v>445</v>
      </c>
      <c r="M4" s="184" t="s">
        <v>12</v>
      </c>
      <c r="N4" s="184" t="s">
        <v>14</v>
      </c>
      <c r="O4" s="22" t="s">
        <v>15</v>
      </c>
      <c r="P4" s="184" t="s">
        <v>16</v>
      </c>
      <c r="Q4" s="310" t="s">
        <v>17</v>
      </c>
      <c r="R4" s="65" t="s">
        <v>783</v>
      </c>
      <c r="S4" s="284" t="s">
        <v>784</v>
      </c>
    </row>
    <row r="5" spans="1:20" ht="17.25" customHeight="1" x14ac:dyDescent="0.2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70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09" t="s">
        <v>20</v>
      </c>
      <c r="R5" s="67" t="s">
        <v>20</v>
      </c>
      <c r="S5" s="196" t="s">
        <v>20</v>
      </c>
    </row>
    <row r="6" spans="1:20" ht="20.100000000000001" customHeight="1" x14ac:dyDescent="0.2">
      <c r="A6" s="8"/>
      <c r="B6" s="18" t="s">
        <v>207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10"/>
      <c r="R6" s="122"/>
      <c r="S6" s="199"/>
      <c r="T6" s="11"/>
    </row>
    <row r="7" spans="1:20" ht="20.100000000000001" customHeight="1" x14ac:dyDescent="0.2">
      <c r="A7" s="8">
        <v>1</v>
      </c>
      <c r="B7" s="12" t="s">
        <v>208</v>
      </c>
      <c r="C7" s="2" t="s">
        <v>209</v>
      </c>
      <c r="D7" s="14" t="s">
        <v>154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2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 x14ac:dyDescent="0.2">
      <c r="A8" s="25">
        <v>1</v>
      </c>
      <c r="B8" s="12" t="s">
        <v>208</v>
      </c>
      <c r="C8" s="2" t="s">
        <v>209</v>
      </c>
      <c r="D8" s="13" t="s">
        <v>128</v>
      </c>
      <c r="E8" s="70">
        <f>'[4]Annual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2">
        <f>O8+N8+M8+L8+K8+P8</f>
        <v>352410.677929467</v>
      </c>
      <c r="R8" s="70">
        <v>659909.45647266705</v>
      </c>
      <c r="S8" s="197">
        <f t="shared" ref="S8" si="0">J8-Q8</f>
        <v>1099631.9887371999</v>
      </c>
      <c r="T8" s="568">
        <f>R8-S8</f>
        <v>-439722.53226453299</v>
      </c>
    </row>
    <row r="9" spans="1:20" ht="35.25" customHeight="1" x14ac:dyDescent="0.2">
      <c r="A9" s="2"/>
      <c r="B9" s="28" t="s">
        <v>778</v>
      </c>
      <c r="C9" s="29" t="e">
        <f>#REF!+#REF!+#REF!+#REF!+#REF!+#REF!+#REF!+#REF!+#REF!+#REF!+#REF!</f>
        <v>#REF!</v>
      </c>
      <c r="D9" s="30"/>
      <c r="E9" s="193">
        <f>E8-E7</f>
        <v>589669.5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159946.96773546599</v>
      </c>
      <c r="R9" s="193">
        <f t="shared" si="1"/>
        <v>0</v>
      </c>
      <c r="S9" s="193">
        <f t="shared" si="1"/>
        <v>439722.53226453299</v>
      </c>
      <c r="T9" s="11"/>
    </row>
    <row r="10" spans="1:20" ht="38.25" customHeight="1" x14ac:dyDescent="0.2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 x14ac:dyDescent="0.2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 x14ac:dyDescent="0.2">
      <c r="Q12" s="33"/>
      <c r="S12" s="298"/>
    </row>
    <row r="13" spans="1:20" ht="20.100000000000001" customHeight="1" x14ac:dyDescent="0.2">
      <c r="S13" s="33"/>
    </row>
    <row r="14" spans="1:20" ht="20.100000000000001" customHeight="1" x14ac:dyDescent="0.2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199"/>
  <sheetViews>
    <sheetView topLeftCell="A20" workbookViewId="0">
      <selection activeCell="G29" sqref="G29"/>
    </sheetView>
  </sheetViews>
  <sheetFormatPr defaultColWidth="9.16796875" defaultRowHeight="18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5" width="21.84375" style="1" customWidth="1"/>
    <col min="6" max="6" width="20.2265625" style="1" customWidth="1"/>
    <col min="7" max="7" width="17.93359375" style="1" customWidth="1"/>
    <col min="8" max="8" width="21.7109375" style="1" customWidth="1"/>
    <col min="9" max="9" width="16.44921875" style="1" customWidth="1"/>
    <col min="10" max="10" width="14.83203125" style="1" customWidth="1"/>
    <col min="11" max="16384" width="9.16796875" style="1"/>
  </cols>
  <sheetData>
    <row r="1" spans="1:9" ht="27" customHeight="1" x14ac:dyDescent="0.25">
      <c r="A1" s="966" t="s">
        <v>0</v>
      </c>
      <c r="B1" s="966"/>
      <c r="C1" s="966"/>
      <c r="D1" s="966"/>
      <c r="E1" s="966"/>
      <c r="F1" s="966"/>
      <c r="G1" s="966"/>
    </row>
    <row r="2" spans="1:9" ht="20.25" customHeight="1" x14ac:dyDescent="0.2">
      <c r="A2" s="966" t="s">
        <v>787</v>
      </c>
      <c r="B2" s="966"/>
      <c r="C2" s="966"/>
      <c r="D2" s="966"/>
      <c r="E2" s="966"/>
      <c r="F2" s="966"/>
      <c r="G2" s="966"/>
    </row>
    <row r="3" spans="1:9" ht="9.75" customHeight="1" x14ac:dyDescent="0.2">
      <c r="A3" s="966"/>
      <c r="B3" s="966"/>
      <c r="C3" s="966"/>
      <c r="D3" s="966"/>
      <c r="E3" s="966"/>
      <c r="F3" s="966"/>
      <c r="G3" s="966"/>
    </row>
    <row r="4" spans="1:9" ht="13.5" customHeight="1" x14ac:dyDescent="0.2">
      <c r="E4" s="183"/>
      <c r="F4" s="183"/>
      <c r="G4" s="183"/>
    </row>
    <row r="5" spans="1:9" ht="52.5" customHeight="1" x14ac:dyDescent="0.2">
      <c r="A5" s="2"/>
      <c r="B5" s="3" t="s">
        <v>2</v>
      </c>
      <c r="C5" s="4" t="s">
        <v>3</v>
      </c>
      <c r="D5" s="5" t="s">
        <v>4</v>
      </c>
      <c r="E5" s="184" t="s">
        <v>788</v>
      </c>
      <c r="F5" s="184" t="s">
        <v>789</v>
      </c>
      <c r="G5" s="184" t="s">
        <v>790</v>
      </c>
      <c r="H5" s="184" t="s">
        <v>791</v>
      </c>
      <c r="I5" s="184" t="s">
        <v>778</v>
      </c>
    </row>
    <row r="6" spans="1:9" ht="17.25" customHeight="1" x14ac:dyDescent="0.2"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</row>
    <row r="7" spans="1:9" ht="20.100000000000001" customHeight="1" x14ac:dyDescent="0.2">
      <c r="A7" s="7" t="s">
        <v>21</v>
      </c>
      <c r="B7" s="6" t="s">
        <v>22</v>
      </c>
      <c r="C7" s="6"/>
      <c r="D7" s="6"/>
      <c r="E7" s="67"/>
      <c r="F7" s="67"/>
      <c r="G7" s="19"/>
      <c r="H7" s="19"/>
      <c r="I7" s="19"/>
    </row>
    <row r="8" spans="1:9" ht="20.100000000000001" customHeight="1" x14ac:dyDescent="0.2">
      <c r="A8" s="8">
        <v>1</v>
      </c>
      <c r="B8" s="9" t="s">
        <v>23</v>
      </c>
      <c r="C8" s="10" t="s">
        <v>24</v>
      </c>
      <c r="D8" s="10" t="s">
        <v>25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 x14ac:dyDescent="0.2">
      <c r="A9" s="8">
        <v>2</v>
      </c>
      <c r="B9" s="9" t="s">
        <v>26</v>
      </c>
      <c r="C9" s="10" t="s">
        <v>27</v>
      </c>
      <c r="D9" s="8" t="s">
        <v>28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 x14ac:dyDescent="0.2">
      <c r="A10" s="8">
        <v>3</v>
      </c>
      <c r="B10" s="12" t="s">
        <v>29</v>
      </c>
      <c r="C10" s="2" t="s">
        <v>30</v>
      </c>
      <c r="D10" s="8" t="s">
        <v>28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 x14ac:dyDescent="0.2">
      <c r="A11" s="8">
        <v>4</v>
      </c>
      <c r="B11" s="9" t="s">
        <v>31</v>
      </c>
      <c r="C11" s="15" t="s">
        <v>32</v>
      </c>
      <c r="D11" s="8" t="s">
        <v>28</v>
      </c>
      <c r="E11" s="70">
        <f>'[13]NASS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 x14ac:dyDescent="0.2">
      <c r="A12" s="8">
        <v>5</v>
      </c>
      <c r="B12" s="12" t="s">
        <v>271</v>
      </c>
      <c r="C12" s="2" t="s">
        <v>792</v>
      </c>
      <c r="D12" s="8" t="s">
        <v>28</v>
      </c>
      <c r="E12" s="70">
        <f>'[13]NASS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 x14ac:dyDescent="0.2">
      <c r="A13" s="8">
        <v>6</v>
      </c>
      <c r="B13" s="16" t="s">
        <v>530</v>
      </c>
      <c r="C13" s="8" t="s">
        <v>531</v>
      </c>
      <c r="D13" s="8" t="s">
        <v>28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 x14ac:dyDescent="0.2">
      <c r="A14" s="8">
        <v>7</v>
      </c>
      <c r="B14" s="9" t="s">
        <v>33</v>
      </c>
      <c r="C14" s="10" t="s">
        <v>532</v>
      </c>
      <c r="D14" s="13" t="s">
        <v>131</v>
      </c>
      <c r="E14" s="70">
        <f>'[13]NASS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 x14ac:dyDescent="0.2">
      <c r="A15" s="8">
        <v>8</v>
      </c>
      <c r="B15" s="9" t="s">
        <v>36</v>
      </c>
      <c r="C15" s="2" t="s">
        <v>37</v>
      </c>
      <c r="D15" s="8" t="s">
        <v>49</v>
      </c>
      <c r="E15" s="70">
        <f>'[13]NASS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 x14ac:dyDescent="0.2">
      <c r="A16" s="8">
        <v>9</v>
      </c>
      <c r="B16" s="9" t="s">
        <v>39</v>
      </c>
      <c r="C16" s="2" t="s">
        <v>40</v>
      </c>
      <c r="D16" s="13" t="s">
        <v>41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 x14ac:dyDescent="0.2">
      <c r="A17" s="8">
        <v>10</v>
      </c>
      <c r="B17" s="12" t="s">
        <v>42</v>
      </c>
      <c r="C17" s="15" t="s">
        <v>156</v>
      </c>
      <c r="D17" s="13" t="s">
        <v>176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 x14ac:dyDescent="0.2">
      <c r="A18" s="8">
        <v>11</v>
      </c>
      <c r="B18" s="9" t="s">
        <v>44</v>
      </c>
      <c r="C18" s="2" t="s">
        <v>45</v>
      </c>
      <c r="D18" s="8" t="s">
        <v>197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 x14ac:dyDescent="0.2">
      <c r="A19" s="8">
        <v>12</v>
      </c>
      <c r="B19" s="9" t="s">
        <v>47</v>
      </c>
      <c r="C19" s="2" t="s">
        <v>533</v>
      </c>
      <c r="D19" s="8" t="s">
        <v>52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 x14ac:dyDescent="0.2">
      <c r="A20" s="8">
        <v>13</v>
      </c>
      <c r="B20" s="9" t="s">
        <v>50</v>
      </c>
      <c r="C20" s="10" t="s">
        <v>51</v>
      </c>
      <c r="D20" s="13" t="s">
        <v>534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 x14ac:dyDescent="0.2">
      <c r="A21" s="8">
        <v>14</v>
      </c>
      <c r="B21" s="16" t="s">
        <v>53</v>
      </c>
      <c r="C21" s="2" t="s">
        <v>793</v>
      </c>
      <c r="D21" s="13" t="s">
        <v>535</v>
      </c>
      <c r="E21" s="70">
        <f>'[13]NASS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 x14ac:dyDescent="0.2">
      <c r="A22" s="8">
        <v>15</v>
      </c>
      <c r="B22" s="9" t="s">
        <v>63</v>
      </c>
      <c r="C22" s="10" t="s">
        <v>64</v>
      </c>
      <c r="D22" s="13" t="s">
        <v>162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 x14ac:dyDescent="0.2">
      <c r="A23" s="8">
        <v>16</v>
      </c>
      <c r="B23" s="12" t="s">
        <v>66</v>
      </c>
      <c r="C23" s="15" t="s">
        <v>794</v>
      </c>
      <c r="D23" s="8" t="s">
        <v>137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 x14ac:dyDescent="0.2">
      <c r="A24" s="8">
        <v>17</v>
      </c>
      <c r="B24" s="9" t="s">
        <v>69</v>
      </c>
      <c r="C24" s="15" t="s">
        <v>70</v>
      </c>
      <c r="D24" s="13" t="s">
        <v>137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 x14ac:dyDescent="0.2">
      <c r="A25" s="8">
        <v>18</v>
      </c>
      <c r="B25" s="12" t="s">
        <v>71</v>
      </c>
      <c r="C25" s="15" t="s">
        <v>72</v>
      </c>
      <c r="D25" s="8" t="s">
        <v>73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 x14ac:dyDescent="0.2">
      <c r="A26" s="8">
        <v>19</v>
      </c>
      <c r="B26" s="2" t="s">
        <v>77</v>
      </c>
      <c r="C26" s="2" t="s">
        <v>78</v>
      </c>
      <c r="D26" s="8" t="s">
        <v>84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 x14ac:dyDescent="0.2">
      <c r="A27" s="8">
        <v>20</v>
      </c>
      <c r="B27" s="16" t="s">
        <v>80</v>
      </c>
      <c r="C27" s="10" t="s">
        <v>78</v>
      </c>
      <c r="D27" s="13" t="s">
        <v>84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 x14ac:dyDescent="0.2">
      <c r="A28" s="8">
        <v>21</v>
      </c>
      <c r="B28" s="9" t="s">
        <v>81</v>
      </c>
      <c r="C28" s="15" t="s">
        <v>67</v>
      </c>
      <c r="D28" s="8" t="s">
        <v>84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 x14ac:dyDescent="0.2">
      <c r="A29" s="8">
        <v>22</v>
      </c>
      <c r="B29" s="16" t="s">
        <v>82</v>
      </c>
      <c r="C29" s="10" t="s">
        <v>83</v>
      </c>
      <c r="D29" s="13" t="s">
        <v>87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 x14ac:dyDescent="0.2">
      <c r="A30" s="8">
        <v>23</v>
      </c>
      <c r="B30" s="16" t="s">
        <v>85</v>
      </c>
      <c r="C30" s="2" t="s">
        <v>86</v>
      </c>
      <c r="D30" s="8" t="s">
        <v>96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 x14ac:dyDescent="0.2">
      <c r="A31" s="8">
        <v>24</v>
      </c>
      <c r="B31" s="16" t="s">
        <v>88</v>
      </c>
      <c r="C31" s="2" t="s">
        <v>86</v>
      </c>
      <c r="D31" s="8" t="s">
        <v>96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 x14ac:dyDescent="0.2">
      <c r="A32" s="8">
        <v>25</v>
      </c>
      <c r="B32" s="16" t="s">
        <v>89</v>
      </c>
      <c r="C32" s="15" t="s">
        <v>90</v>
      </c>
      <c r="D32" s="13" t="s">
        <v>84</v>
      </c>
      <c r="E32" s="70">
        <f>'[14]NASS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 x14ac:dyDescent="0.2">
      <c r="A33" s="8">
        <v>26</v>
      </c>
      <c r="B33" s="16" t="s">
        <v>92</v>
      </c>
      <c r="C33" s="2" t="s">
        <v>93</v>
      </c>
      <c r="D33" s="8" t="s">
        <v>102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 x14ac:dyDescent="0.2">
      <c r="A34" s="8">
        <v>27</v>
      </c>
      <c r="B34" s="16" t="s">
        <v>100</v>
      </c>
      <c r="C34" s="10" t="s">
        <v>101</v>
      </c>
      <c r="D34" s="13" t="s">
        <v>105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 x14ac:dyDescent="0.2">
      <c r="A35" s="8"/>
      <c r="B35" s="18" t="s">
        <v>111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46087.333333333401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 x14ac:dyDescent="0.2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 x14ac:dyDescent="0.2">
      <c r="A37" s="8"/>
      <c r="B37" s="18" t="s">
        <v>112</v>
      </c>
      <c r="C37" s="2"/>
      <c r="D37" s="13"/>
      <c r="E37" s="70"/>
      <c r="F37" s="70"/>
      <c r="G37" s="70"/>
      <c r="H37" s="70"/>
      <c r="I37" s="70"/>
    </row>
    <row r="38" spans="1:9" ht="18.75" customHeight="1" x14ac:dyDescent="0.2">
      <c r="A38" s="8">
        <v>1</v>
      </c>
      <c r="B38" s="16" t="s">
        <v>113</v>
      </c>
      <c r="C38" s="2" t="s">
        <v>114</v>
      </c>
      <c r="D38" s="8" t="s">
        <v>115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 x14ac:dyDescent="0.2">
      <c r="A39" s="8">
        <v>2</v>
      </c>
      <c r="B39" s="16" t="s">
        <v>116</v>
      </c>
      <c r="C39" s="2" t="s">
        <v>795</v>
      </c>
      <c r="D39" s="8" t="s">
        <v>73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 x14ac:dyDescent="0.2">
      <c r="A40" s="8">
        <v>3</v>
      </c>
      <c r="B40" s="9" t="s">
        <v>118</v>
      </c>
      <c r="C40" s="10" t="s">
        <v>796</v>
      </c>
      <c r="D40" s="13" t="s">
        <v>76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 x14ac:dyDescent="0.2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 x14ac:dyDescent="0.2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 x14ac:dyDescent="0.2">
      <c r="A43" s="8"/>
      <c r="B43" s="21" t="s">
        <v>125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 x14ac:dyDescent="0.2">
      <c r="A44" s="8">
        <v>1</v>
      </c>
      <c r="B44" s="9" t="s">
        <v>536</v>
      </c>
      <c r="C44" s="2" t="s">
        <v>537</v>
      </c>
      <c r="D44" s="8" t="s">
        <v>115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 x14ac:dyDescent="0.2">
      <c r="A45" s="8">
        <v>2</v>
      </c>
      <c r="B45" s="9" t="s">
        <v>538</v>
      </c>
      <c r="C45" s="2" t="s">
        <v>43</v>
      </c>
      <c r="D45" s="8" t="s">
        <v>131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 x14ac:dyDescent="0.2">
      <c r="A46" s="8">
        <v>3</v>
      </c>
      <c r="B46" s="9" t="s">
        <v>126</v>
      </c>
      <c r="C46" s="2" t="s">
        <v>127</v>
      </c>
      <c r="D46" s="8" t="s">
        <v>35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 x14ac:dyDescent="0.2">
      <c r="A47" s="8">
        <v>4</v>
      </c>
      <c r="B47" s="9" t="s">
        <v>129</v>
      </c>
      <c r="C47" s="2" t="s">
        <v>130</v>
      </c>
      <c r="D47" s="8" t="s">
        <v>131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 x14ac:dyDescent="0.2">
      <c r="A48" s="8">
        <v>5</v>
      </c>
      <c r="B48" s="9" t="s">
        <v>132</v>
      </c>
      <c r="C48" s="2" t="s">
        <v>130</v>
      </c>
      <c r="D48" s="8" t="s">
        <v>131</v>
      </c>
      <c r="E48" s="70">
        <f>'[13]NASS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 x14ac:dyDescent="0.2">
      <c r="A49" s="8">
        <v>6</v>
      </c>
      <c r="B49" s="9" t="s">
        <v>133</v>
      </c>
      <c r="C49" s="2" t="s">
        <v>130</v>
      </c>
      <c r="D49" s="8" t="s">
        <v>49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 x14ac:dyDescent="0.2">
      <c r="A50" s="8">
        <v>7</v>
      </c>
      <c r="B50" s="12" t="s">
        <v>134</v>
      </c>
      <c r="C50" s="2" t="s">
        <v>156</v>
      </c>
      <c r="D50" s="14" t="s">
        <v>176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 x14ac:dyDescent="0.2">
      <c r="A51" s="8">
        <v>8</v>
      </c>
      <c r="B51" s="9" t="s">
        <v>138</v>
      </c>
      <c r="C51" s="2" t="s">
        <v>139</v>
      </c>
      <c r="D51" s="8" t="s">
        <v>76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 x14ac:dyDescent="0.2">
      <c r="A52" s="8">
        <v>9</v>
      </c>
      <c r="B52" s="9" t="s">
        <v>142</v>
      </c>
      <c r="C52" s="2" t="s">
        <v>139</v>
      </c>
      <c r="D52" s="8" t="s">
        <v>87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 x14ac:dyDescent="0.2">
      <c r="A53" s="8">
        <v>10</v>
      </c>
      <c r="B53" s="9" t="s">
        <v>539</v>
      </c>
      <c r="C53" s="2" t="s">
        <v>139</v>
      </c>
      <c r="D53" s="8" t="s">
        <v>87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 x14ac:dyDescent="0.2">
      <c r="A54" s="8">
        <v>11</v>
      </c>
      <c r="B54" s="9" t="s">
        <v>143</v>
      </c>
      <c r="C54" s="2" t="s">
        <v>139</v>
      </c>
      <c r="D54" s="8" t="s">
        <v>87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 x14ac:dyDescent="0.5">
      <c r="A55" s="8"/>
      <c r="B55" s="18" t="s">
        <v>111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 x14ac:dyDescent="0.2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 x14ac:dyDescent="0.2">
      <c r="A57" s="8"/>
      <c r="B57" s="18" t="s">
        <v>145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 x14ac:dyDescent="0.2">
      <c r="A58" s="8">
        <v>1</v>
      </c>
      <c r="B58" s="9" t="s">
        <v>540</v>
      </c>
      <c r="C58" s="10" t="s">
        <v>147</v>
      </c>
      <c r="D58" s="13" t="s">
        <v>115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 x14ac:dyDescent="0.2">
      <c r="A59" s="8">
        <v>2</v>
      </c>
      <c r="B59" s="9" t="s">
        <v>148</v>
      </c>
      <c r="C59" s="10" t="s">
        <v>149</v>
      </c>
      <c r="D59" s="13" t="s">
        <v>150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 x14ac:dyDescent="0.5">
      <c r="A60" s="8"/>
      <c r="B60" s="18" t="s">
        <v>111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 x14ac:dyDescent="0.2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 x14ac:dyDescent="0.2">
      <c r="A62" s="8"/>
      <c r="B62" s="18" t="s">
        <v>151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 x14ac:dyDescent="0.2">
      <c r="A63" s="8">
        <v>1</v>
      </c>
      <c r="B63" s="9" t="s">
        <v>541</v>
      </c>
      <c r="C63" s="15" t="s">
        <v>542</v>
      </c>
      <c r="D63" s="8" t="s">
        <v>115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 x14ac:dyDescent="0.2">
      <c r="A64" s="8">
        <v>2</v>
      </c>
      <c r="B64" s="313" t="s">
        <v>543</v>
      </c>
      <c r="C64" s="15" t="s">
        <v>544</v>
      </c>
      <c r="D64" s="13" t="s">
        <v>38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 x14ac:dyDescent="0.2">
      <c r="A65" s="8">
        <v>3</v>
      </c>
      <c r="B65" s="9" t="s">
        <v>155</v>
      </c>
      <c r="C65" s="2" t="s">
        <v>156</v>
      </c>
      <c r="D65" s="8" t="s">
        <v>197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 x14ac:dyDescent="0.2">
      <c r="A66" s="8">
        <v>4</v>
      </c>
      <c r="B66" s="16" t="s">
        <v>545</v>
      </c>
      <c r="C66" s="15" t="s">
        <v>158</v>
      </c>
      <c r="D66" s="13" t="s">
        <v>534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 x14ac:dyDescent="0.2">
      <c r="A67" s="8">
        <v>5</v>
      </c>
      <c r="B67" s="12" t="s">
        <v>546</v>
      </c>
      <c r="C67" s="15" t="s">
        <v>156</v>
      </c>
      <c r="D67" s="13" t="s">
        <v>41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 x14ac:dyDescent="0.2">
      <c r="A68" s="8">
        <v>7</v>
      </c>
      <c r="B68" s="9" t="s">
        <v>161</v>
      </c>
      <c r="C68" s="2" t="s">
        <v>139</v>
      </c>
      <c r="D68" s="8" t="s">
        <v>68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 x14ac:dyDescent="0.2">
      <c r="A69" s="8">
        <v>8</v>
      </c>
      <c r="B69" s="9" t="s">
        <v>163</v>
      </c>
      <c r="C69" s="15" t="s">
        <v>70</v>
      </c>
      <c r="D69" s="8" t="s">
        <v>68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 x14ac:dyDescent="0.2">
      <c r="A70" s="8">
        <v>9</v>
      </c>
      <c r="B70" s="9" t="s">
        <v>164</v>
      </c>
      <c r="C70" s="15" t="s">
        <v>70</v>
      </c>
      <c r="D70" s="8" t="s">
        <v>68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 x14ac:dyDescent="0.2">
      <c r="A71" s="8">
        <v>10</v>
      </c>
      <c r="B71" s="9" t="s">
        <v>165</v>
      </c>
      <c r="C71" s="2" t="s">
        <v>166</v>
      </c>
      <c r="D71" s="8" t="s">
        <v>162</v>
      </c>
      <c r="E71" s="417"/>
      <c r="F71" s="417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 x14ac:dyDescent="0.2">
      <c r="A72" s="8">
        <v>11</v>
      </c>
      <c r="B72" s="9" t="s">
        <v>168</v>
      </c>
      <c r="C72" s="2" t="s">
        <v>139</v>
      </c>
      <c r="D72" s="8" t="s">
        <v>76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 x14ac:dyDescent="0.5">
      <c r="A73" s="8"/>
      <c r="B73" s="18" t="s">
        <v>111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 x14ac:dyDescent="0.2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 x14ac:dyDescent="0.2">
      <c r="A75" s="8"/>
      <c r="B75" s="18" t="s">
        <v>169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 x14ac:dyDescent="0.2">
      <c r="A76" s="8">
        <v>1</v>
      </c>
      <c r="B76" s="9" t="s">
        <v>170</v>
      </c>
      <c r="C76" s="2" t="s">
        <v>171</v>
      </c>
      <c r="D76" s="8" t="s">
        <v>115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 x14ac:dyDescent="0.2">
      <c r="A77" s="8">
        <v>2</v>
      </c>
      <c r="B77" s="12" t="s">
        <v>547</v>
      </c>
      <c r="C77" s="2" t="s">
        <v>548</v>
      </c>
      <c r="D77" s="13" t="s">
        <v>549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 x14ac:dyDescent="0.2">
      <c r="A78" s="8">
        <v>3</v>
      </c>
      <c r="B78" s="16" t="s">
        <v>550</v>
      </c>
      <c r="C78" s="10" t="s">
        <v>551</v>
      </c>
      <c r="D78" s="8" t="s">
        <v>150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 x14ac:dyDescent="0.2">
      <c r="A79" s="8">
        <v>4</v>
      </c>
      <c r="B79" s="9" t="s">
        <v>174</v>
      </c>
      <c r="C79" s="2" t="s">
        <v>175</v>
      </c>
      <c r="D79" s="13" t="s">
        <v>46</v>
      </c>
      <c r="E79" s="70">
        <f>'[13]NASS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 x14ac:dyDescent="0.2">
      <c r="A80" s="8">
        <v>5</v>
      </c>
      <c r="B80" s="9" t="s">
        <v>181</v>
      </c>
      <c r="C80" s="2" t="s">
        <v>184</v>
      </c>
      <c r="D80" s="8" t="s">
        <v>119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 x14ac:dyDescent="0.2">
      <c r="A81" s="8">
        <v>6</v>
      </c>
      <c r="B81" s="9" t="s">
        <v>183</v>
      </c>
      <c r="C81" s="2" t="s">
        <v>184</v>
      </c>
      <c r="D81" s="8" t="s">
        <v>87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 x14ac:dyDescent="0.2">
      <c r="A82" s="8">
        <v>7</v>
      </c>
      <c r="B82" s="9" t="s">
        <v>185</v>
      </c>
      <c r="C82" s="2" t="s">
        <v>186</v>
      </c>
      <c r="D82" s="8" t="s">
        <v>105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 x14ac:dyDescent="0.5">
      <c r="A83" s="8"/>
      <c r="B83" s="18" t="s">
        <v>111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 x14ac:dyDescent="0.2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 x14ac:dyDescent="0.2">
      <c r="A85" s="8"/>
      <c r="B85" s="18" t="s">
        <v>187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 x14ac:dyDescent="0.2">
      <c r="A86" s="8">
        <v>1</v>
      </c>
      <c r="B86" s="9" t="s">
        <v>190</v>
      </c>
      <c r="C86" s="2" t="s">
        <v>130</v>
      </c>
      <c r="D86" s="8" t="s">
        <v>131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 x14ac:dyDescent="0.2">
      <c r="A87" s="8">
        <v>2</v>
      </c>
      <c r="B87" s="9" t="s">
        <v>188</v>
      </c>
      <c r="C87" s="2" t="s">
        <v>130</v>
      </c>
      <c r="D87" s="8" t="s">
        <v>131</v>
      </c>
      <c r="E87" s="70">
        <f>'[13]NASS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 x14ac:dyDescent="0.2">
      <c r="A88" s="8">
        <v>3</v>
      </c>
      <c r="B88" s="9" t="s">
        <v>193</v>
      </c>
      <c r="C88" s="2" t="s">
        <v>130</v>
      </c>
      <c r="D88" s="8" t="s">
        <v>49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 x14ac:dyDescent="0.2">
      <c r="A89" s="8">
        <v>4</v>
      </c>
      <c r="B89" s="9" t="s">
        <v>194</v>
      </c>
      <c r="C89" s="2" t="s">
        <v>552</v>
      </c>
      <c r="D89" s="13" t="s">
        <v>52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 x14ac:dyDescent="0.2">
      <c r="A90" s="8">
        <v>5</v>
      </c>
      <c r="B90" s="9" t="s">
        <v>195</v>
      </c>
      <c r="C90" s="10" t="s">
        <v>158</v>
      </c>
      <c r="D90" s="13" t="s">
        <v>534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 x14ac:dyDescent="0.2">
      <c r="A91" s="8">
        <v>6</v>
      </c>
      <c r="B91" s="9" t="s">
        <v>196</v>
      </c>
      <c r="C91" s="10" t="s">
        <v>156</v>
      </c>
      <c r="D91" s="13" t="s">
        <v>229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 x14ac:dyDescent="0.2">
      <c r="A92" s="8">
        <v>7</v>
      </c>
      <c r="B92" s="9" t="s">
        <v>198</v>
      </c>
      <c r="C92" s="15" t="s">
        <v>70</v>
      </c>
      <c r="D92" s="13" t="s">
        <v>68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 x14ac:dyDescent="0.2">
      <c r="A93" s="8">
        <v>8</v>
      </c>
      <c r="B93" s="9" t="s">
        <v>199</v>
      </c>
      <c r="C93" s="15" t="s">
        <v>158</v>
      </c>
      <c r="D93" s="13" t="s">
        <v>159</v>
      </c>
      <c r="E93" s="70">
        <f>'[13]NASS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 x14ac:dyDescent="0.2">
      <c r="A94" s="8">
        <v>9</v>
      </c>
      <c r="B94" s="9" t="s">
        <v>202</v>
      </c>
      <c r="C94" s="2" t="s">
        <v>203</v>
      </c>
      <c r="D94" s="8" t="s">
        <v>76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 x14ac:dyDescent="0.2">
      <c r="A95" s="8">
        <v>10</v>
      </c>
      <c r="B95" s="9" t="s">
        <v>204</v>
      </c>
      <c r="C95" s="15" t="s">
        <v>205</v>
      </c>
      <c r="D95" s="13" t="s">
        <v>102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 x14ac:dyDescent="0.5">
      <c r="A96" s="8"/>
      <c r="B96" s="18" t="s">
        <v>111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 x14ac:dyDescent="0.2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 x14ac:dyDescent="0.2">
      <c r="A98" s="8"/>
      <c r="B98" s="18" t="s">
        <v>207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 x14ac:dyDescent="0.2">
      <c r="A99" s="8">
        <v>1</v>
      </c>
      <c r="B99" s="12" t="s">
        <v>208</v>
      </c>
      <c r="C99" s="2" t="s">
        <v>209</v>
      </c>
      <c r="D99" s="14" t="s">
        <v>154</v>
      </c>
      <c r="E99" s="70">
        <f>'[13]NASS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 x14ac:dyDescent="0.2">
      <c r="A100" s="8">
        <v>2</v>
      </c>
      <c r="B100" s="9" t="s">
        <v>211</v>
      </c>
      <c r="C100" s="2" t="s">
        <v>212</v>
      </c>
      <c r="D100" s="13" t="s">
        <v>46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 x14ac:dyDescent="0.2">
      <c r="A101" s="8">
        <v>3</v>
      </c>
      <c r="B101" s="9" t="s">
        <v>217</v>
      </c>
      <c r="C101" s="2" t="s">
        <v>218</v>
      </c>
      <c r="D101" s="13" t="s">
        <v>162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 x14ac:dyDescent="0.2">
      <c r="A102" s="8">
        <v>4</v>
      </c>
      <c r="B102" s="9" t="s">
        <v>219</v>
      </c>
      <c r="C102" s="2" t="s">
        <v>220</v>
      </c>
      <c r="D102" s="13" t="s">
        <v>76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 x14ac:dyDescent="0.5">
      <c r="A103" s="2"/>
      <c r="B103" s="18" t="s">
        <v>111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 x14ac:dyDescent="0.2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 x14ac:dyDescent="0.2">
      <c r="A105" s="2"/>
      <c r="B105" s="18" t="s">
        <v>221</v>
      </c>
      <c r="C105" s="2"/>
      <c r="D105" s="2"/>
      <c r="E105" s="2"/>
      <c r="F105" s="2"/>
      <c r="G105" s="2"/>
      <c r="H105" s="2"/>
      <c r="I105" s="2"/>
    </row>
    <row r="106" spans="1:9" ht="20.100000000000001" customHeight="1" x14ac:dyDescent="0.2">
      <c r="A106" s="2">
        <v>1</v>
      </c>
      <c r="B106" s="9" t="s">
        <v>222</v>
      </c>
      <c r="C106" s="10" t="s">
        <v>223</v>
      </c>
      <c r="D106" s="13" t="s">
        <v>115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 x14ac:dyDescent="0.2">
      <c r="A107" s="2">
        <v>2</v>
      </c>
      <c r="B107" s="9" t="s">
        <v>224</v>
      </c>
      <c r="C107" s="2" t="s">
        <v>225</v>
      </c>
      <c r="D107" s="14" t="s">
        <v>154</v>
      </c>
      <c r="E107" s="70">
        <f>'[13]NASS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 x14ac:dyDescent="0.2">
      <c r="A108" s="2">
        <v>3</v>
      </c>
      <c r="B108" s="9" t="s">
        <v>226</v>
      </c>
      <c r="C108" s="2" t="s">
        <v>227</v>
      </c>
      <c r="D108" s="8" t="s">
        <v>52</v>
      </c>
      <c r="E108" s="70">
        <f>'[13]NASS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 x14ac:dyDescent="0.2">
      <c r="A109" s="2">
        <v>4</v>
      </c>
      <c r="B109" s="9" t="s">
        <v>228</v>
      </c>
      <c r="C109" s="2" t="s">
        <v>227</v>
      </c>
      <c r="D109" s="8" t="s">
        <v>52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 x14ac:dyDescent="0.2">
      <c r="A110" s="2">
        <v>5</v>
      </c>
      <c r="B110" s="9" t="s">
        <v>230</v>
      </c>
      <c r="C110" s="2" t="s">
        <v>231</v>
      </c>
      <c r="D110" s="13" t="s">
        <v>553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 x14ac:dyDescent="0.2">
      <c r="A111" s="2">
        <v>6</v>
      </c>
      <c r="B111" s="16" t="s">
        <v>233</v>
      </c>
      <c r="C111" s="2" t="s">
        <v>231</v>
      </c>
      <c r="D111" s="8" t="s">
        <v>554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 x14ac:dyDescent="0.2">
      <c r="A112" s="2">
        <v>7</v>
      </c>
      <c r="B112" s="16" t="s">
        <v>234</v>
      </c>
      <c r="C112" s="2" t="s">
        <v>231</v>
      </c>
      <c r="D112" s="13" t="s">
        <v>102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 x14ac:dyDescent="0.5">
      <c r="A113" s="2"/>
      <c r="B113" s="18" t="s">
        <v>111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 x14ac:dyDescent="0.5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 x14ac:dyDescent="0.2">
      <c r="A115" s="8"/>
      <c r="B115" s="18" t="s">
        <v>235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 x14ac:dyDescent="0.2">
      <c r="A116" s="8">
        <v>1</v>
      </c>
      <c r="B116" s="12" t="s">
        <v>152</v>
      </c>
      <c r="C116" s="2" t="s">
        <v>130</v>
      </c>
      <c r="D116" s="8" t="s">
        <v>38</v>
      </c>
      <c r="E116" s="70">
        <f>'[13]NASS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 x14ac:dyDescent="0.2">
      <c r="A117" s="8">
        <v>2</v>
      </c>
      <c r="B117" s="9" t="s">
        <v>236</v>
      </c>
      <c r="C117" s="2" t="s">
        <v>237</v>
      </c>
      <c r="D117" s="13" t="s">
        <v>162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 x14ac:dyDescent="0.2">
      <c r="A118" s="8">
        <v>3</v>
      </c>
      <c r="B118" s="9" t="s">
        <v>177</v>
      </c>
      <c r="C118" s="10" t="s">
        <v>555</v>
      </c>
      <c r="D118" s="13" t="s">
        <v>65</v>
      </c>
      <c r="E118" s="70">
        <f>'[13]NASS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 x14ac:dyDescent="0.5">
      <c r="A119" s="2"/>
      <c r="B119" s="18" t="s">
        <v>111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 x14ac:dyDescent="0.2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 x14ac:dyDescent="0.2">
      <c r="A121" s="2"/>
      <c r="B121" s="18" t="s">
        <v>250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 x14ac:dyDescent="0.2">
      <c r="A122" s="2">
        <v>1</v>
      </c>
      <c r="B122" s="9" t="s">
        <v>251</v>
      </c>
      <c r="C122" s="10" t="s">
        <v>252</v>
      </c>
      <c r="D122" s="13" t="s">
        <v>115</v>
      </c>
      <c r="E122" s="70">
        <f>'[13]NASS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 x14ac:dyDescent="0.2">
      <c r="A123" s="2">
        <v>2</v>
      </c>
      <c r="B123" s="9" t="s">
        <v>253</v>
      </c>
      <c r="C123" s="10" t="s">
        <v>254</v>
      </c>
      <c r="D123" s="13" t="s">
        <v>35</v>
      </c>
      <c r="E123" s="70">
        <f>'[13]NASS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 x14ac:dyDescent="0.2">
      <c r="A124" s="2">
        <v>3</v>
      </c>
      <c r="B124" s="12" t="s">
        <v>255</v>
      </c>
      <c r="C124" s="10" t="s">
        <v>256</v>
      </c>
      <c r="D124" s="13" t="s">
        <v>131</v>
      </c>
      <c r="E124" s="70">
        <f>'[13]NASS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 x14ac:dyDescent="0.2">
      <c r="A125" s="2">
        <v>4</v>
      </c>
      <c r="B125" s="12" t="s">
        <v>556</v>
      </c>
      <c r="C125" s="10" t="s">
        <v>256</v>
      </c>
      <c r="D125" s="13" t="s">
        <v>49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 x14ac:dyDescent="0.2">
      <c r="A126" s="2">
        <v>5</v>
      </c>
      <c r="B126" s="9" t="s">
        <v>257</v>
      </c>
      <c r="C126" s="10" t="s">
        <v>258</v>
      </c>
      <c r="D126" s="13" t="s">
        <v>176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 x14ac:dyDescent="0.2">
      <c r="A127" s="2">
        <v>6</v>
      </c>
      <c r="B127" s="9" t="s">
        <v>259</v>
      </c>
      <c r="C127" s="10" t="s">
        <v>489</v>
      </c>
      <c r="D127" s="13" t="s">
        <v>197</v>
      </c>
      <c r="E127" s="70">
        <f>'[13]NASS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 x14ac:dyDescent="0.2">
      <c r="A128" s="2">
        <v>7</v>
      </c>
      <c r="B128" s="9" t="s">
        <v>260</v>
      </c>
      <c r="C128" s="10" t="s">
        <v>258</v>
      </c>
      <c r="D128" s="13" t="s">
        <v>46</v>
      </c>
      <c r="E128" s="70">
        <f>'[13]NASS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 x14ac:dyDescent="0.2">
      <c r="A129" s="2">
        <v>8</v>
      </c>
      <c r="B129" s="9" t="s">
        <v>263</v>
      </c>
      <c r="C129" s="10" t="s">
        <v>264</v>
      </c>
      <c r="D129" s="8" t="s">
        <v>84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 x14ac:dyDescent="0.2">
      <c r="A130" s="2">
        <v>9</v>
      </c>
      <c r="B130" s="16" t="s">
        <v>265</v>
      </c>
      <c r="C130" s="10" t="s">
        <v>266</v>
      </c>
      <c r="D130" s="13" t="s">
        <v>105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 x14ac:dyDescent="0.2">
      <c r="A131" s="2">
        <v>10</v>
      </c>
      <c r="B131" s="16" t="s">
        <v>267</v>
      </c>
      <c r="C131" s="10" t="s">
        <v>262</v>
      </c>
      <c r="D131" s="13" t="s">
        <v>105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 x14ac:dyDescent="0.2">
      <c r="A132" s="2"/>
      <c r="B132" s="18" t="s">
        <v>111</v>
      </c>
      <c r="C132" s="24" t="s">
        <v>490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 x14ac:dyDescent="0.2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 x14ac:dyDescent="0.2">
      <c r="A134" s="2"/>
      <c r="B134" s="18" t="s">
        <v>270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 x14ac:dyDescent="0.2">
      <c r="A135" s="25">
        <v>1</v>
      </c>
      <c r="B135" s="9" t="s">
        <v>557</v>
      </c>
      <c r="C135" s="10" t="s">
        <v>558</v>
      </c>
      <c r="D135" s="13" t="s">
        <v>115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 x14ac:dyDescent="0.2">
      <c r="A136" s="25">
        <v>2</v>
      </c>
      <c r="B136" s="9" t="s">
        <v>559</v>
      </c>
      <c r="C136" s="10" t="s">
        <v>560</v>
      </c>
      <c r="D136" s="13" t="s">
        <v>154</v>
      </c>
      <c r="E136" s="70"/>
      <c r="F136" s="70"/>
      <c r="G136" s="70"/>
      <c r="H136" s="70"/>
      <c r="I136" s="70"/>
    </row>
    <row r="137" spans="1:9" ht="20.100000000000001" customHeight="1" x14ac:dyDescent="0.2">
      <c r="A137" s="25">
        <v>3</v>
      </c>
      <c r="B137" s="12" t="s">
        <v>274</v>
      </c>
      <c r="C137" s="2" t="s">
        <v>275</v>
      </c>
      <c r="D137" s="14" t="s">
        <v>154</v>
      </c>
      <c r="E137" s="70">
        <f>'[13]NASS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 x14ac:dyDescent="0.2">
      <c r="A138" s="25">
        <v>4</v>
      </c>
      <c r="B138" s="9" t="s">
        <v>276</v>
      </c>
      <c r="C138" s="10" t="s">
        <v>561</v>
      </c>
      <c r="D138" s="13" t="s">
        <v>41</v>
      </c>
      <c r="E138" s="70">
        <f>'[13]NASS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 x14ac:dyDescent="0.2">
      <c r="A139" s="25">
        <v>5</v>
      </c>
      <c r="B139" s="9" t="s">
        <v>278</v>
      </c>
      <c r="C139" s="2" t="s">
        <v>562</v>
      </c>
      <c r="D139" s="13" t="s">
        <v>41</v>
      </c>
      <c r="E139" s="70">
        <f>'[13]NASS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 x14ac:dyDescent="0.2">
      <c r="A140" s="25">
        <v>6</v>
      </c>
      <c r="B140" s="9" t="s">
        <v>280</v>
      </c>
      <c r="C140" s="2" t="s">
        <v>562</v>
      </c>
      <c r="D140" s="13" t="s">
        <v>41</v>
      </c>
      <c r="E140" s="70">
        <f>'[13]NASS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 x14ac:dyDescent="0.2">
      <c r="A141" s="25">
        <v>7</v>
      </c>
      <c r="B141" s="9" t="s">
        <v>213</v>
      </c>
      <c r="C141" s="10" t="s">
        <v>563</v>
      </c>
      <c r="D141" s="13" t="s">
        <v>65</v>
      </c>
      <c r="E141" s="70">
        <f>'[13]NASS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 x14ac:dyDescent="0.2">
      <c r="A142" s="25">
        <v>8</v>
      </c>
      <c r="B142" s="9" t="s">
        <v>281</v>
      </c>
      <c r="C142" s="10" t="s">
        <v>563</v>
      </c>
      <c r="D142" s="13" t="s">
        <v>65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 x14ac:dyDescent="0.2">
      <c r="A143" s="25">
        <v>9</v>
      </c>
      <c r="B143" s="9" t="s">
        <v>282</v>
      </c>
      <c r="C143" s="2" t="s">
        <v>564</v>
      </c>
      <c r="D143" s="13" t="s">
        <v>65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 x14ac:dyDescent="0.2">
      <c r="A144" s="25">
        <v>10</v>
      </c>
      <c r="B144" s="9" t="s">
        <v>284</v>
      </c>
      <c r="C144" s="10" t="s">
        <v>285</v>
      </c>
      <c r="D144" s="13" t="s">
        <v>162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 x14ac:dyDescent="0.2">
      <c r="A145" s="25">
        <v>11</v>
      </c>
      <c r="B145" s="9" t="s">
        <v>286</v>
      </c>
      <c r="C145" s="10" t="s">
        <v>287</v>
      </c>
      <c r="D145" s="13" t="s">
        <v>68</v>
      </c>
      <c r="E145" s="70">
        <f>'[13]NASS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 x14ac:dyDescent="0.2">
      <c r="A146" s="25">
        <v>12</v>
      </c>
      <c r="B146" s="9" t="s">
        <v>60</v>
      </c>
      <c r="C146" s="10" t="s">
        <v>565</v>
      </c>
      <c r="D146" s="13" t="s">
        <v>65</v>
      </c>
      <c r="E146" s="70">
        <f>'[13]NASS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 x14ac:dyDescent="0.2">
      <c r="A147" s="25">
        <v>13</v>
      </c>
      <c r="B147" s="16" t="s">
        <v>288</v>
      </c>
      <c r="C147" s="2" t="s">
        <v>289</v>
      </c>
      <c r="D147" s="13" t="s">
        <v>137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 x14ac:dyDescent="0.2">
      <c r="A148" s="25">
        <v>14</v>
      </c>
      <c r="B148" s="9" t="s">
        <v>290</v>
      </c>
      <c r="C148" s="2" t="s">
        <v>566</v>
      </c>
      <c r="D148" s="13" t="s">
        <v>119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 x14ac:dyDescent="0.2">
      <c r="A149" s="25">
        <v>15</v>
      </c>
      <c r="B149" s="9" t="s">
        <v>291</v>
      </c>
      <c r="C149" s="2" t="s">
        <v>566</v>
      </c>
      <c r="D149" s="13" t="s">
        <v>300</v>
      </c>
      <c r="E149" s="186">
        <f>'[13]NASS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 x14ac:dyDescent="0.2">
      <c r="A150" s="25">
        <v>16</v>
      </c>
      <c r="B150" s="9" t="s">
        <v>293</v>
      </c>
      <c r="C150" s="2" t="s">
        <v>566</v>
      </c>
      <c r="D150" s="13" t="s">
        <v>300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 x14ac:dyDescent="0.2">
      <c r="A151" s="25">
        <v>17</v>
      </c>
      <c r="B151" s="9" t="s">
        <v>294</v>
      </c>
      <c r="C151" s="10" t="s">
        <v>295</v>
      </c>
      <c r="D151" s="13" t="s">
        <v>76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 x14ac:dyDescent="0.2">
      <c r="A152" s="25">
        <v>18</v>
      </c>
      <c r="B152" s="9" t="s">
        <v>296</v>
      </c>
      <c r="C152" s="10" t="s">
        <v>297</v>
      </c>
      <c r="D152" s="8" t="s">
        <v>87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 x14ac:dyDescent="0.2">
      <c r="A153" s="25">
        <v>19</v>
      </c>
      <c r="B153" s="9" t="s">
        <v>298</v>
      </c>
      <c r="C153" s="10" t="s">
        <v>299</v>
      </c>
      <c r="D153" s="13" t="s">
        <v>119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 x14ac:dyDescent="0.2">
      <c r="A154" s="25">
        <v>20</v>
      </c>
      <c r="B154" s="9" t="s">
        <v>301</v>
      </c>
      <c r="C154" s="10" t="s">
        <v>302</v>
      </c>
      <c r="D154" s="13" t="s">
        <v>84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 x14ac:dyDescent="0.2">
      <c r="A155" s="25">
        <v>21</v>
      </c>
      <c r="B155" s="9" t="s">
        <v>303</v>
      </c>
      <c r="C155" s="10" t="s">
        <v>304</v>
      </c>
      <c r="D155" s="13" t="s">
        <v>119</v>
      </c>
      <c r="E155" s="186">
        <f>'[13]NASS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 x14ac:dyDescent="0.2">
      <c r="A156" s="25">
        <v>22</v>
      </c>
      <c r="B156" s="9" t="s">
        <v>305</v>
      </c>
      <c r="C156" s="10" t="s">
        <v>306</v>
      </c>
      <c r="D156" s="13" t="s">
        <v>84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 x14ac:dyDescent="0.2">
      <c r="A157" s="25">
        <v>23</v>
      </c>
      <c r="B157" s="16" t="s">
        <v>307</v>
      </c>
      <c r="C157" s="10" t="s">
        <v>308</v>
      </c>
      <c r="D157" s="13" t="s">
        <v>96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 x14ac:dyDescent="0.2">
      <c r="A158" s="25">
        <v>24</v>
      </c>
      <c r="B158" s="16" t="s">
        <v>312</v>
      </c>
      <c r="C158" s="10" t="s">
        <v>313</v>
      </c>
      <c r="D158" s="13" t="s">
        <v>105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 x14ac:dyDescent="0.2">
      <c r="A159" s="25">
        <v>25</v>
      </c>
      <c r="B159" s="16" t="s">
        <v>314</v>
      </c>
      <c r="C159" s="10" t="s">
        <v>315</v>
      </c>
      <c r="D159" s="13" t="s">
        <v>105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 x14ac:dyDescent="0.2">
      <c r="A160" s="25">
        <v>26</v>
      </c>
      <c r="B160" s="16" t="s">
        <v>316</v>
      </c>
      <c r="C160" s="10" t="s">
        <v>317</v>
      </c>
      <c r="D160" s="13" t="s">
        <v>105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 x14ac:dyDescent="0.2">
      <c r="A161" s="25">
        <v>27</v>
      </c>
      <c r="B161" s="16" t="s">
        <v>318</v>
      </c>
      <c r="C161" s="10" t="s">
        <v>319</v>
      </c>
      <c r="D161" s="13" t="s">
        <v>102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 x14ac:dyDescent="0.2">
      <c r="A162" s="25">
        <v>28</v>
      </c>
      <c r="B162" s="16" t="s">
        <v>320</v>
      </c>
      <c r="C162" s="10" t="s">
        <v>315</v>
      </c>
      <c r="D162" s="13" t="s">
        <v>105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 x14ac:dyDescent="0.2">
      <c r="A163" s="25">
        <v>29</v>
      </c>
      <c r="B163" s="9" t="s">
        <v>329</v>
      </c>
      <c r="C163" s="10" t="s">
        <v>330</v>
      </c>
      <c r="D163" s="13" t="s">
        <v>337</v>
      </c>
      <c r="E163" s="192">
        <f>'[13]NASS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 x14ac:dyDescent="0.2">
      <c r="A164" s="25">
        <v>30</v>
      </c>
      <c r="B164" s="9" t="s">
        <v>332</v>
      </c>
      <c r="C164" s="10" t="s">
        <v>330</v>
      </c>
      <c r="D164" s="13" t="s">
        <v>337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 x14ac:dyDescent="0.2">
      <c r="A165" s="25">
        <v>31</v>
      </c>
      <c r="B165" s="9" t="s">
        <v>333</v>
      </c>
      <c r="C165" s="10" t="s">
        <v>330</v>
      </c>
      <c r="D165" s="13" t="s">
        <v>337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 x14ac:dyDescent="0.2">
      <c r="A166" s="25">
        <v>32</v>
      </c>
      <c r="B166" s="9" t="s">
        <v>334</v>
      </c>
      <c r="C166" s="10" t="s">
        <v>330</v>
      </c>
      <c r="D166" s="13" t="s">
        <v>337</v>
      </c>
      <c r="E166" s="192">
        <f>'[13]NASS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 x14ac:dyDescent="0.2">
      <c r="A167" s="25">
        <v>33</v>
      </c>
      <c r="B167" s="9" t="s">
        <v>335</v>
      </c>
      <c r="C167" s="10" t="s">
        <v>330</v>
      </c>
      <c r="D167" s="13" t="s">
        <v>337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 x14ac:dyDescent="0.2">
      <c r="A168" s="25">
        <v>34</v>
      </c>
      <c r="B168" s="9" t="s">
        <v>336</v>
      </c>
      <c r="C168" s="10" t="s">
        <v>330</v>
      </c>
      <c r="D168" s="13" t="s">
        <v>348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 x14ac:dyDescent="0.2">
      <c r="A169" s="25">
        <v>35</v>
      </c>
      <c r="B169" s="9" t="s">
        <v>338</v>
      </c>
      <c r="C169" s="10" t="s">
        <v>330</v>
      </c>
      <c r="D169" s="13" t="s">
        <v>348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 x14ac:dyDescent="0.2">
      <c r="A170" s="25">
        <v>36</v>
      </c>
      <c r="B170" s="12" t="s">
        <v>339</v>
      </c>
      <c r="C170" s="10" t="s">
        <v>330</v>
      </c>
      <c r="D170" s="13" t="s">
        <v>348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 x14ac:dyDescent="0.2">
      <c r="A171" s="25">
        <v>37</v>
      </c>
      <c r="B171" s="9" t="s">
        <v>340</v>
      </c>
      <c r="C171" s="10" t="s">
        <v>330</v>
      </c>
      <c r="D171" s="13" t="s">
        <v>348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 x14ac:dyDescent="0.2">
      <c r="A172" s="25">
        <v>38</v>
      </c>
      <c r="B172" s="16" t="s">
        <v>341</v>
      </c>
      <c r="C172" s="10" t="s">
        <v>330</v>
      </c>
      <c r="D172" s="13" t="s">
        <v>348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 x14ac:dyDescent="0.2">
      <c r="A173" s="25">
        <v>39</v>
      </c>
      <c r="B173" s="16" t="s">
        <v>342</v>
      </c>
      <c r="C173" s="10" t="s">
        <v>330</v>
      </c>
      <c r="D173" s="13" t="s">
        <v>348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 x14ac:dyDescent="0.2">
      <c r="A174" s="25">
        <v>40</v>
      </c>
      <c r="B174" s="9" t="s">
        <v>343</v>
      </c>
      <c r="C174" s="10" t="s">
        <v>344</v>
      </c>
      <c r="D174" s="13" t="s">
        <v>351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 x14ac:dyDescent="0.2">
      <c r="A175" s="25">
        <v>41</v>
      </c>
      <c r="B175" s="9" t="s">
        <v>346</v>
      </c>
      <c r="C175" s="10" t="s">
        <v>344</v>
      </c>
      <c r="D175" s="13" t="s">
        <v>351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 x14ac:dyDescent="0.2">
      <c r="A176" s="25">
        <v>42</v>
      </c>
      <c r="B176" s="16" t="s">
        <v>347</v>
      </c>
      <c r="C176" s="10" t="s">
        <v>344</v>
      </c>
      <c r="D176" s="13" t="s">
        <v>345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 x14ac:dyDescent="0.2">
      <c r="A177" s="25">
        <v>43</v>
      </c>
      <c r="B177" s="9" t="s">
        <v>349</v>
      </c>
      <c r="C177" s="10" t="s">
        <v>350</v>
      </c>
      <c r="D177" s="13" t="s">
        <v>354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 x14ac:dyDescent="0.2">
      <c r="A178" s="25">
        <v>44</v>
      </c>
      <c r="B178" s="9" t="s">
        <v>352</v>
      </c>
      <c r="C178" s="10" t="s">
        <v>353</v>
      </c>
      <c r="D178" s="13" t="s">
        <v>364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 x14ac:dyDescent="0.2">
      <c r="A179" s="25">
        <v>45</v>
      </c>
      <c r="B179" s="9" t="s">
        <v>355</v>
      </c>
      <c r="C179" s="10" t="s">
        <v>353</v>
      </c>
      <c r="D179" s="13" t="s">
        <v>364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 x14ac:dyDescent="0.2">
      <c r="A180" s="25">
        <v>46</v>
      </c>
      <c r="B180" s="9" t="s">
        <v>356</v>
      </c>
      <c r="C180" s="10" t="s">
        <v>353</v>
      </c>
      <c r="D180" s="13" t="s">
        <v>364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 x14ac:dyDescent="0.2">
      <c r="A181" s="25">
        <v>47</v>
      </c>
      <c r="B181" s="9" t="s">
        <v>357</v>
      </c>
      <c r="C181" s="10" t="s">
        <v>353</v>
      </c>
      <c r="D181" s="13" t="s">
        <v>364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 x14ac:dyDescent="0.2">
      <c r="A182" s="25">
        <v>48</v>
      </c>
      <c r="B182" s="9" t="s">
        <v>358</v>
      </c>
      <c r="C182" s="10" t="s">
        <v>353</v>
      </c>
      <c r="D182" s="13" t="s">
        <v>364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 x14ac:dyDescent="0.2">
      <c r="A183" s="25">
        <v>49</v>
      </c>
      <c r="B183" s="16" t="s">
        <v>359</v>
      </c>
      <c r="C183" s="10" t="s">
        <v>353</v>
      </c>
      <c r="D183" s="13" t="s">
        <v>364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 x14ac:dyDescent="0.2">
      <c r="A184" s="25">
        <v>50</v>
      </c>
      <c r="B184" s="16" t="s">
        <v>360</v>
      </c>
      <c r="C184" s="10" t="s">
        <v>353</v>
      </c>
      <c r="D184" s="13" t="s">
        <v>364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 x14ac:dyDescent="0.2">
      <c r="A185" s="25">
        <v>51</v>
      </c>
      <c r="B185" s="9" t="s">
        <v>493</v>
      </c>
      <c r="C185" s="10" t="s">
        <v>350</v>
      </c>
      <c r="D185" s="13" t="s">
        <v>364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 x14ac:dyDescent="0.2">
      <c r="A186" s="25">
        <v>52</v>
      </c>
      <c r="B186" s="9" t="s">
        <v>361</v>
      </c>
      <c r="C186" s="10" t="s">
        <v>350</v>
      </c>
      <c r="D186" s="13" t="s">
        <v>364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 x14ac:dyDescent="0.2">
      <c r="A187" s="25">
        <v>53</v>
      </c>
      <c r="B187" s="16" t="s">
        <v>362</v>
      </c>
      <c r="C187" s="10" t="s">
        <v>363</v>
      </c>
      <c r="D187" s="13" t="s">
        <v>376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 x14ac:dyDescent="0.2">
      <c r="A188" s="25">
        <v>54</v>
      </c>
      <c r="B188" s="16" t="s">
        <v>367</v>
      </c>
      <c r="C188" s="10" t="s">
        <v>353</v>
      </c>
      <c r="D188" s="13" t="s">
        <v>567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 x14ac:dyDescent="0.2">
      <c r="A189" s="25">
        <v>55</v>
      </c>
      <c r="B189" s="16" t="s">
        <v>369</v>
      </c>
      <c r="C189" s="10" t="s">
        <v>370</v>
      </c>
      <c r="D189" s="13" t="s">
        <v>568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 x14ac:dyDescent="0.2">
      <c r="A190" s="25">
        <v>56</v>
      </c>
      <c r="B190" s="16" t="s">
        <v>372</v>
      </c>
      <c r="C190" s="10" t="s">
        <v>370</v>
      </c>
      <c r="D190" s="13" t="s">
        <v>568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 x14ac:dyDescent="0.2">
      <c r="A191" s="25">
        <v>57</v>
      </c>
      <c r="B191" s="16" t="s">
        <v>373</v>
      </c>
      <c r="C191" s="10" t="s">
        <v>370</v>
      </c>
      <c r="D191" s="13" t="s">
        <v>568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 x14ac:dyDescent="0.2">
      <c r="A192" s="25">
        <v>58</v>
      </c>
      <c r="B192" s="16" t="s">
        <v>374</v>
      </c>
      <c r="C192" s="10" t="s">
        <v>375</v>
      </c>
      <c r="D192" s="13" t="s">
        <v>366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 x14ac:dyDescent="0.2">
      <c r="A193" s="25">
        <v>59</v>
      </c>
      <c r="B193" s="16" t="s">
        <v>377</v>
      </c>
      <c r="C193" s="10" t="s">
        <v>375</v>
      </c>
      <c r="D193" s="13" t="s">
        <v>366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 x14ac:dyDescent="0.5">
      <c r="A194" s="25"/>
      <c r="B194" s="6" t="s">
        <v>111</v>
      </c>
      <c r="C194" s="26" t="s">
        <v>569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 x14ac:dyDescent="0.2">
      <c r="A195" s="2"/>
      <c r="B195" s="28" t="s">
        <v>379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 x14ac:dyDescent="0.2">
      <c r="B196" s="31"/>
      <c r="D196" s="32"/>
      <c r="E196" s="32"/>
      <c r="F196" s="32"/>
      <c r="G196" s="32"/>
      <c r="H196" s="33"/>
    </row>
    <row r="197" spans="1:10" ht="36.75" customHeight="1" x14ac:dyDescent="0.2">
      <c r="B197" s="31"/>
      <c r="C197" s="32"/>
      <c r="D197" s="32"/>
      <c r="E197" s="32"/>
      <c r="F197" s="32"/>
      <c r="G197" s="32"/>
    </row>
    <row r="199" spans="1:10" ht="20.100000000000001" customHeight="1" x14ac:dyDescent="0.2"/>
  </sheetData>
  <mergeCells count="2">
    <mergeCell ref="A1:G1"/>
    <mergeCell ref="A2:G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6"/>
  <sheetViews>
    <sheetView workbookViewId="0">
      <selection activeCell="I11" sqref="I11"/>
    </sheetView>
  </sheetViews>
  <sheetFormatPr defaultColWidth="9.03515625" defaultRowHeight="12.75" x14ac:dyDescent="0.15"/>
  <cols>
    <col min="1" max="1" width="21.84375" customWidth="1"/>
    <col min="2" max="2" width="32.2265625" customWidth="1"/>
    <col min="3" max="3" width="15.5078125" customWidth="1"/>
    <col min="4" max="4" width="12.5390625" customWidth="1"/>
    <col min="5" max="5" width="12" customWidth="1"/>
    <col min="6" max="6" width="15.5078125" customWidth="1"/>
  </cols>
  <sheetData>
    <row r="1" spans="1:7" ht="14.25" x14ac:dyDescent="0.15">
      <c r="D1" s="564" t="s">
        <v>797</v>
      </c>
      <c r="E1" s="564" t="s">
        <v>15</v>
      </c>
      <c r="F1" s="565"/>
      <c r="G1" s="565"/>
    </row>
    <row r="2" spans="1:7" ht="36" customHeight="1" x14ac:dyDescent="0.2">
      <c r="A2" s="16" t="s">
        <v>100</v>
      </c>
      <c r="B2" s="10" t="s">
        <v>101</v>
      </c>
      <c r="C2" s="566" t="s">
        <v>108</v>
      </c>
      <c r="D2" s="564">
        <f>'[8]JANUARY 2024'!$R$33</f>
        <v>173329.04949999999</v>
      </c>
      <c r="E2" s="564">
        <f>'[8]JANUARY 2024'!$W$33</f>
        <v>16512.682190666699</v>
      </c>
      <c r="F2" s="565"/>
      <c r="G2" s="565"/>
    </row>
    <row r="3" spans="1:7" ht="31.5" x14ac:dyDescent="0.2">
      <c r="A3" s="16" t="s">
        <v>100</v>
      </c>
      <c r="B3" s="10" t="s">
        <v>101</v>
      </c>
      <c r="C3" s="566" t="s">
        <v>105</v>
      </c>
      <c r="D3" s="564">
        <f>'[8]JANUARY 2024'!$R$38</f>
        <v>176816.1</v>
      </c>
      <c r="E3" s="564">
        <f>'[8]JANUARY 2024'!$W$38</f>
        <v>17042.713866666702</v>
      </c>
      <c r="F3" s="565"/>
      <c r="G3" s="565"/>
    </row>
    <row r="4" spans="1:7" ht="25.5" customHeight="1" x14ac:dyDescent="0.15">
      <c r="A4" s="257" t="s">
        <v>648</v>
      </c>
      <c r="D4" s="564">
        <f>D3-D2</f>
        <v>3487.0505000000098</v>
      </c>
      <c r="E4" s="564">
        <f>E3-E2</f>
        <v>530.03167600000199</v>
      </c>
      <c r="F4" s="567">
        <f>D4-E4</f>
        <v>2957.0188240000102</v>
      </c>
      <c r="G4" s="565"/>
    </row>
    <row r="5" spans="1:7" ht="14.25" x14ac:dyDescent="0.15">
      <c r="D5" s="565"/>
      <c r="E5" s="565"/>
      <c r="F5" s="565"/>
      <c r="G5" s="565"/>
    </row>
    <row r="6" spans="1:7" ht="14.25" x14ac:dyDescent="0.15">
      <c r="D6" s="565"/>
      <c r="E6" s="565"/>
      <c r="F6" s="565"/>
      <c r="G6" s="565"/>
    </row>
  </sheetData>
  <pageMargins left="0.7" right="0.7" top="0.75" bottom="0.75" header="0.3" footer="0.3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96"/>
  <sheetViews>
    <sheetView zoomScaleSheetLayoutView="50" workbookViewId="0">
      <pane xSplit="3" ySplit="7" topLeftCell="D190" activePane="bottomRight" state="frozen"/>
      <selection pane="bottomLeft"/>
      <selection pane="topRight"/>
      <selection pane="bottomRight" activeCell="H128" sqref="H128"/>
    </sheetView>
  </sheetViews>
  <sheetFormatPr defaultColWidth="9.16796875" defaultRowHeight="20.100000000000001" customHeight="1" x14ac:dyDescent="0.2"/>
  <cols>
    <col min="1" max="1" width="5.390625" style="1" customWidth="1"/>
    <col min="2" max="2" width="41.8046875" style="1" customWidth="1"/>
    <col min="3" max="3" width="38.703125" style="1" customWidth="1"/>
    <col min="4" max="4" width="11.59375" style="1" customWidth="1"/>
    <col min="5" max="5" width="19.55078125" style="1" customWidth="1"/>
    <col min="6" max="16384" width="9.16796875" style="1"/>
  </cols>
  <sheetData>
    <row r="1" spans="1:5" ht="27" customHeight="1" x14ac:dyDescent="0.25">
      <c r="A1" s="965" t="s">
        <v>0</v>
      </c>
      <c r="B1" s="965"/>
      <c r="C1" s="965"/>
      <c r="D1" s="965"/>
      <c r="E1" s="965"/>
    </row>
    <row r="2" spans="1:5" ht="33.75" customHeight="1" x14ac:dyDescent="0.3">
      <c r="A2" s="563" t="s">
        <v>798</v>
      </c>
      <c r="B2" s="62"/>
      <c r="C2" s="61"/>
      <c r="D2" s="61"/>
      <c r="E2" s="182"/>
    </row>
    <row r="3" spans="1:5" ht="9.75" customHeight="1" x14ac:dyDescent="0.2">
      <c r="E3" s="183" t="e">
        <f>'[1]FEB 08'!E11/'[1]FEB 08'!M11</f>
        <v>#REF!</v>
      </c>
    </row>
    <row r="4" spans="1:5" ht="40.5" customHeight="1" x14ac:dyDescent="0.2">
      <c r="A4" s="2"/>
      <c r="B4" s="3" t="s">
        <v>2</v>
      </c>
      <c r="C4" s="4" t="s">
        <v>3</v>
      </c>
      <c r="D4" s="5" t="s">
        <v>4</v>
      </c>
      <c r="E4" s="319" t="s">
        <v>638</v>
      </c>
    </row>
    <row r="5" spans="1:5" ht="17.25" customHeight="1" x14ac:dyDescent="0.2">
      <c r="C5" s="6"/>
      <c r="D5" s="6"/>
      <c r="E5" s="320" t="s">
        <v>20</v>
      </c>
    </row>
    <row r="6" spans="1:5" ht="20.100000000000001" customHeight="1" x14ac:dyDescent="0.2">
      <c r="A6" s="7" t="s">
        <v>21</v>
      </c>
      <c r="B6" s="6" t="s">
        <v>22</v>
      </c>
      <c r="C6" s="6"/>
      <c r="D6" s="6"/>
      <c r="E6" s="67"/>
    </row>
    <row r="7" spans="1:5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70">
        <v>540000</v>
      </c>
    </row>
    <row r="8" spans="1:5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70">
        <v>180000</v>
      </c>
    </row>
    <row r="9" spans="1:5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70">
        <v>180000</v>
      </c>
    </row>
    <row r="10" spans="1:5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70">
        <v>180000</v>
      </c>
    </row>
    <row r="11" spans="1:5" ht="20.100000000000001" customHeight="1" x14ac:dyDescent="0.2">
      <c r="A11" s="8">
        <v>5</v>
      </c>
      <c r="B11" s="12" t="s">
        <v>271</v>
      </c>
      <c r="C11" s="2" t="s">
        <v>529</v>
      </c>
      <c r="D11" s="8" t="s">
        <v>28</v>
      </c>
      <c r="E11" s="70">
        <v>180000</v>
      </c>
    </row>
    <row r="12" spans="1:5" ht="20.100000000000001" customHeight="1" x14ac:dyDescent="0.2">
      <c r="A12" s="8">
        <v>6</v>
      </c>
      <c r="B12" s="16" t="s">
        <v>530</v>
      </c>
      <c r="C12" s="8" t="s">
        <v>531</v>
      </c>
      <c r="D12" s="8" t="s">
        <v>28</v>
      </c>
      <c r="E12" s="70">
        <v>180000</v>
      </c>
    </row>
    <row r="13" spans="1:5" ht="20.100000000000001" customHeight="1" x14ac:dyDescent="0.2">
      <c r="A13" s="8">
        <v>7</v>
      </c>
      <c r="B13" s="9" t="s">
        <v>33</v>
      </c>
      <c r="C13" s="10" t="s">
        <v>532</v>
      </c>
      <c r="D13" s="13" t="s">
        <v>131</v>
      </c>
      <c r="E13" s="70">
        <v>126000</v>
      </c>
    </row>
    <row r="14" spans="1:5" ht="20.100000000000001" customHeight="1" x14ac:dyDescent="0.2">
      <c r="A14" s="8">
        <v>8</v>
      </c>
      <c r="B14" s="9" t="s">
        <v>36</v>
      </c>
      <c r="C14" s="2" t="s">
        <v>37</v>
      </c>
      <c r="D14" s="8" t="s">
        <v>49</v>
      </c>
      <c r="E14" s="70">
        <v>126000</v>
      </c>
    </row>
    <row r="15" spans="1:5" ht="20.100000000000001" customHeight="1" x14ac:dyDescent="0.2">
      <c r="A15" s="8">
        <v>9</v>
      </c>
      <c r="B15" s="9" t="s">
        <v>39</v>
      </c>
      <c r="C15" s="2" t="s">
        <v>40</v>
      </c>
      <c r="D15" s="13" t="s">
        <v>41</v>
      </c>
      <c r="E15" s="70">
        <v>90000</v>
      </c>
    </row>
    <row r="16" spans="1:5" ht="20.100000000000001" customHeight="1" x14ac:dyDescent="0.2">
      <c r="A16" s="8">
        <v>10</v>
      </c>
      <c r="B16" s="12" t="s">
        <v>42</v>
      </c>
      <c r="C16" s="15" t="s">
        <v>156</v>
      </c>
      <c r="D16" s="13" t="s">
        <v>176</v>
      </c>
      <c r="E16" s="70">
        <v>90000</v>
      </c>
    </row>
    <row r="17" spans="1:5" ht="20.100000000000001" customHeight="1" x14ac:dyDescent="0.2">
      <c r="A17" s="8">
        <v>11</v>
      </c>
      <c r="B17" s="9" t="s">
        <v>44</v>
      </c>
      <c r="C17" s="2" t="s">
        <v>45</v>
      </c>
      <c r="D17" s="8" t="s">
        <v>197</v>
      </c>
      <c r="E17" s="70">
        <v>90000</v>
      </c>
    </row>
    <row r="18" spans="1:5" ht="20.100000000000001" customHeight="1" x14ac:dyDescent="0.2">
      <c r="A18" s="8">
        <v>12</v>
      </c>
      <c r="B18" s="9" t="s">
        <v>47</v>
      </c>
      <c r="C18" s="2" t="s">
        <v>533</v>
      </c>
      <c r="D18" s="8" t="s">
        <v>52</v>
      </c>
      <c r="E18" s="70">
        <v>90000</v>
      </c>
    </row>
    <row r="19" spans="1:5" ht="20.100000000000001" customHeight="1" x14ac:dyDescent="0.2">
      <c r="A19" s="8">
        <v>13</v>
      </c>
      <c r="B19" s="9" t="s">
        <v>50</v>
      </c>
      <c r="C19" s="10" t="s">
        <v>51</v>
      </c>
      <c r="D19" s="13" t="s">
        <v>534</v>
      </c>
      <c r="E19" s="70">
        <v>90000</v>
      </c>
    </row>
    <row r="20" spans="1:5" ht="20.100000000000001" customHeight="1" x14ac:dyDescent="0.2">
      <c r="A20" s="8">
        <v>14</v>
      </c>
      <c r="B20" s="16" t="s">
        <v>53</v>
      </c>
      <c r="C20" s="2" t="s">
        <v>54</v>
      </c>
      <c r="D20" s="13" t="s">
        <v>535</v>
      </c>
      <c r="E20" s="70">
        <v>90000</v>
      </c>
    </row>
    <row r="21" spans="1:5" ht="18.75" customHeight="1" x14ac:dyDescent="0.2">
      <c r="A21" s="8">
        <v>15</v>
      </c>
      <c r="B21" s="9" t="s">
        <v>63</v>
      </c>
      <c r="C21" s="10" t="s">
        <v>64</v>
      </c>
      <c r="D21" s="13" t="s">
        <v>162</v>
      </c>
      <c r="E21" s="70">
        <v>68000</v>
      </c>
    </row>
    <row r="22" spans="1:5" ht="20.100000000000001" customHeight="1" x14ac:dyDescent="0.2">
      <c r="A22" s="8">
        <v>16</v>
      </c>
      <c r="B22" s="12" t="s">
        <v>66</v>
      </c>
      <c r="C22" s="15" t="s">
        <v>67</v>
      </c>
      <c r="D22" s="8" t="s">
        <v>137</v>
      </c>
      <c r="E22" s="70">
        <v>68000</v>
      </c>
    </row>
    <row r="23" spans="1:5" ht="21.6" customHeight="1" x14ac:dyDescent="0.2">
      <c r="A23" s="8">
        <v>17</v>
      </c>
      <c r="B23" s="9" t="s">
        <v>69</v>
      </c>
      <c r="C23" s="15" t="s">
        <v>70</v>
      </c>
      <c r="D23" s="13" t="s">
        <v>137</v>
      </c>
      <c r="E23" s="70">
        <v>68000</v>
      </c>
    </row>
    <row r="24" spans="1:5" ht="20.100000000000001" customHeight="1" x14ac:dyDescent="0.2">
      <c r="A24" s="8">
        <v>18</v>
      </c>
      <c r="B24" s="12" t="s">
        <v>71</v>
      </c>
      <c r="C24" s="15" t="s">
        <v>72</v>
      </c>
      <c r="D24" s="8" t="s">
        <v>73</v>
      </c>
      <c r="E24" s="70">
        <v>68000</v>
      </c>
    </row>
    <row r="25" spans="1:5" ht="18.75" customHeight="1" x14ac:dyDescent="0.2">
      <c r="A25" s="8">
        <v>19</v>
      </c>
      <c r="B25" s="2" t="s">
        <v>77</v>
      </c>
      <c r="C25" s="2" t="s">
        <v>78</v>
      </c>
      <c r="D25" s="8" t="s">
        <v>84</v>
      </c>
      <c r="E25" s="70">
        <v>54000</v>
      </c>
    </row>
    <row r="26" spans="1:5" ht="18.75" customHeight="1" x14ac:dyDescent="0.2">
      <c r="A26" s="8">
        <v>20</v>
      </c>
      <c r="B26" s="16" t="s">
        <v>80</v>
      </c>
      <c r="C26" s="10" t="s">
        <v>78</v>
      </c>
      <c r="D26" s="13" t="s">
        <v>84</v>
      </c>
      <c r="E26" s="70">
        <v>54000</v>
      </c>
    </row>
    <row r="27" spans="1:5" ht="20.100000000000001" customHeight="1" x14ac:dyDescent="0.2">
      <c r="A27" s="8">
        <v>21</v>
      </c>
      <c r="B27" s="9" t="s">
        <v>81</v>
      </c>
      <c r="C27" s="15" t="s">
        <v>67</v>
      </c>
      <c r="D27" s="8" t="s">
        <v>84</v>
      </c>
      <c r="E27" s="70">
        <v>54000</v>
      </c>
    </row>
    <row r="28" spans="1:5" ht="18.75" customHeight="1" x14ac:dyDescent="0.2">
      <c r="A28" s="8">
        <v>22</v>
      </c>
      <c r="B28" s="16" t="s">
        <v>82</v>
      </c>
      <c r="C28" s="10" t="s">
        <v>83</v>
      </c>
      <c r="D28" s="13" t="s">
        <v>87</v>
      </c>
      <c r="E28" s="70">
        <v>54000</v>
      </c>
    </row>
    <row r="29" spans="1:5" ht="18.75" customHeight="1" x14ac:dyDescent="0.2">
      <c r="A29" s="8">
        <v>23</v>
      </c>
      <c r="B29" s="16" t="s">
        <v>85</v>
      </c>
      <c r="C29" s="2" t="s">
        <v>86</v>
      </c>
      <c r="D29" s="8" t="s">
        <v>96</v>
      </c>
      <c r="E29" s="70">
        <v>54000</v>
      </c>
    </row>
    <row r="30" spans="1:5" ht="18.75" customHeight="1" x14ac:dyDescent="0.2">
      <c r="A30" s="8">
        <v>24</v>
      </c>
      <c r="B30" s="16" t="s">
        <v>88</v>
      </c>
      <c r="C30" s="2" t="s">
        <v>86</v>
      </c>
      <c r="D30" s="8" t="s">
        <v>96</v>
      </c>
      <c r="E30" s="70">
        <v>54000</v>
      </c>
    </row>
    <row r="31" spans="1:5" ht="18.75" customHeight="1" x14ac:dyDescent="0.2">
      <c r="A31" s="8">
        <v>25</v>
      </c>
      <c r="B31" s="16" t="s">
        <v>89</v>
      </c>
      <c r="C31" s="15" t="s">
        <v>90</v>
      </c>
      <c r="D31" s="13" t="s">
        <v>84</v>
      </c>
      <c r="E31" s="70">
        <v>54000</v>
      </c>
    </row>
    <row r="32" spans="1:5" ht="18.75" customHeight="1" x14ac:dyDescent="0.2">
      <c r="A32" s="8">
        <v>26</v>
      </c>
      <c r="B32" s="16" t="s">
        <v>92</v>
      </c>
      <c r="C32" s="2" t="s">
        <v>93</v>
      </c>
      <c r="D32" s="8" t="s">
        <v>102</v>
      </c>
      <c r="E32" s="70">
        <v>54000</v>
      </c>
    </row>
    <row r="33" spans="1:5" ht="18.75" customHeight="1" x14ac:dyDescent="0.2">
      <c r="A33" s="8">
        <v>27</v>
      </c>
      <c r="B33" s="16" t="s">
        <v>100</v>
      </c>
      <c r="C33" s="10" t="s">
        <v>101</v>
      </c>
      <c r="D33" s="13" t="s">
        <v>105</v>
      </c>
      <c r="E33" s="70">
        <v>54000</v>
      </c>
    </row>
    <row r="34" spans="1:5" ht="26.25" customHeight="1" x14ac:dyDescent="0.2">
      <c r="A34" s="8"/>
      <c r="B34" s="18" t="s">
        <v>111</v>
      </c>
      <c r="C34" s="19">
        <v>27</v>
      </c>
      <c r="D34" s="13"/>
      <c r="E34" s="187">
        <f>SUM(E7:E33)</f>
        <v>2990000</v>
      </c>
    </row>
    <row r="35" spans="1:5" ht="18.75" customHeight="1" x14ac:dyDescent="0.2">
      <c r="A35" s="8"/>
      <c r="B35" s="20"/>
      <c r="C35" s="2"/>
      <c r="D35" s="13"/>
      <c r="E35" s="187"/>
    </row>
    <row r="36" spans="1:5" ht="18.75" customHeight="1" x14ac:dyDescent="0.2">
      <c r="A36" s="8"/>
      <c r="B36" s="18" t="s">
        <v>112</v>
      </c>
      <c r="C36" s="2"/>
      <c r="D36" s="13"/>
      <c r="E36" s="70"/>
    </row>
    <row r="37" spans="1:5" ht="18.75" customHeight="1" x14ac:dyDescent="0.2">
      <c r="A37" s="8">
        <v>1</v>
      </c>
      <c r="B37" s="16" t="s">
        <v>113</v>
      </c>
      <c r="C37" s="2" t="s">
        <v>114</v>
      </c>
      <c r="D37" s="8" t="s">
        <v>115</v>
      </c>
      <c r="E37" s="70">
        <v>270000</v>
      </c>
    </row>
    <row r="38" spans="1:5" ht="18.75" customHeight="1" x14ac:dyDescent="0.2">
      <c r="A38" s="8">
        <v>2</v>
      </c>
      <c r="B38" s="16" t="s">
        <v>116</v>
      </c>
      <c r="C38" s="2" t="s">
        <v>799</v>
      </c>
      <c r="D38" s="8" t="s">
        <v>73</v>
      </c>
      <c r="E38" s="70">
        <v>68000</v>
      </c>
    </row>
    <row r="39" spans="1:5" ht="18.75" customHeight="1" x14ac:dyDescent="0.2">
      <c r="A39" s="8">
        <v>3</v>
      </c>
      <c r="B39" s="9" t="s">
        <v>118</v>
      </c>
      <c r="C39" s="10" t="s">
        <v>796</v>
      </c>
      <c r="D39" s="13" t="s">
        <v>76</v>
      </c>
      <c r="E39" s="70">
        <v>68000</v>
      </c>
    </row>
    <row r="40" spans="1:5" ht="19.5" customHeight="1" x14ac:dyDescent="0.2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 x14ac:dyDescent="0.2">
      <c r="A41" s="8"/>
      <c r="B41" s="12"/>
      <c r="C41" s="2"/>
      <c r="D41" s="8"/>
      <c r="E41" s="187"/>
    </row>
    <row r="42" spans="1:5" ht="20.100000000000001" customHeight="1" x14ac:dyDescent="0.2">
      <c r="A42" s="8"/>
      <c r="B42" s="21" t="s">
        <v>125</v>
      </c>
      <c r="C42" s="3"/>
      <c r="D42" s="22"/>
      <c r="E42" s="187"/>
    </row>
    <row r="43" spans="1:5" ht="20.100000000000001" customHeight="1" x14ac:dyDescent="0.2">
      <c r="A43" s="8">
        <v>1</v>
      </c>
      <c r="B43" s="9" t="s">
        <v>536</v>
      </c>
      <c r="C43" s="2" t="s">
        <v>537</v>
      </c>
      <c r="D43" s="8" t="s">
        <v>115</v>
      </c>
      <c r="E43" s="70">
        <v>270000</v>
      </c>
    </row>
    <row r="44" spans="1:5" ht="20.100000000000001" customHeight="1" x14ac:dyDescent="0.2">
      <c r="A44" s="8">
        <v>2</v>
      </c>
      <c r="B44" s="9" t="s">
        <v>538</v>
      </c>
      <c r="C44" s="2" t="s">
        <v>43</v>
      </c>
      <c r="D44" s="8" t="s">
        <v>131</v>
      </c>
      <c r="E44" s="70">
        <v>126000</v>
      </c>
    </row>
    <row r="45" spans="1:5" ht="20.100000000000001" customHeight="1" x14ac:dyDescent="0.2">
      <c r="A45" s="8">
        <v>3</v>
      </c>
      <c r="B45" s="9" t="s">
        <v>126</v>
      </c>
      <c r="C45" s="2" t="s">
        <v>127</v>
      </c>
      <c r="D45" s="8" t="s">
        <v>35</v>
      </c>
      <c r="E45" s="70">
        <v>180000</v>
      </c>
    </row>
    <row r="46" spans="1:5" ht="20.100000000000001" customHeight="1" x14ac:dyDescent="0.2">
      <c r="A46" s="8">
        <v>4</v>
      </c>
      <c r="B46" s="9" t="s">
        <v>129</v>
      </c>
      <c r="C46" s="2" t="s">
        <v>130</v>
      </c>
      <c r="D46" s="8" t="s">
        <v>131</v>
      </c>
      <c r="E46" s="70">
        <v>126000</v>
      </c>
    </row>
    <row r="47" spans="1:5" ht="20.100000000000001" customHeight="1" x14ac:dyDescent="0.2">
      <c r="A47" s="8">
        <v>5</v>
      </c>
      <c r="B47" s="9" t="s">
        <v>132</v>
      </c>
      <c r="C47" s="2" t="s">
        <v>130</v>
      </c>
      <c r="D47" s="8" t="s">
        <v>131</v>
      </c>
      <c r="E47" s="70">
        <v>126000</v>
      </c>
    </row>
    <row r="48" spans="1:5" ht="20.100000000000001" customHeight="1" x14ac:dyDescent="0.2">
      <c r="A48" s="8">
        <v>6</v>
      </c>
      <c r="B48" s="9" t="s">
        <v>133</v>
      </c>
      <c r="C48" s="2" t="s">
        <v>130</v>
      </c>
      <c r="D48" s="8" t="s">
        <v>49</v>
      </c>
      <c r="E48" s="70">
        <v>126000</v>
      </c>
    </row>
    <row r="49" spans="1:5" ht="20.100000000000001" customHeight="1" x14ac:dyDescent="0.2">
      <c r="A49" s="8">
        <v>7</v>
      </c>
      <c r="B49" s="12" t="s">
        <v>134</v>
      </c>
      <c r="C49" s="2" t="s">
        <v>156</v>
      </c>
      <c r="D49" s="14" t="s">
        <v>176</v>
      </c>
      <c r="E49" s="70">
        <v>90000</v>
      </c>
    </row>
    <row r="50" spans="1:5" ht="20.100000000000001" customHeight="1" x14ac:dyDescent="0.2">
      <c r="A50" s="8">
        <v>8</v>
      </c>
      <c r="B50" s="9" t="s">
        <v>138</v>
      </c>
      <c r="C50" s="2" t="s">
        <v>139</v>
      </c>
      <c r="D50" s="8" t="s">
        <v>76</v>
      </c>
      <c r="E50" s="70">
        <v>68000</v>
      </c>
    </row>
    <row r="51" spans="1:5" ht="20.100000000000001" customHeight="1" x14ac:dyDescent="0.2">
      <c r="A51" s="8">
        <v>9</v>
      </c>
      <c r="B51" s="9" t="s">
        <v>142</v>
      </c>
      <c r="C51" s="2" t="s">
        <v>139</v>
      </c>
      <c r="D51" s="8" t="s">
        <v>87</v>
      </c>
      <c r="E51" s="70">
        <v>54000</v>
      </c>
    </row>
    <row r="52" spans="1:5" ht="20.100000000000001" customHeight="1" x14ac:dyDescent="0.2">
      <c r="A52" s="8">
        <v>10</v>
      </c>
      <c r="B52" s="9" t="s">
        <v>539</v>
      </c>
      <c r="C52" s="2" t="s">
        <v>139</v>
      </c>
      <c r="D52" s="8" t="s">
        <v>87</v>
      </c>
      <c r="E52" s="70">
        <v>54000</v>
      </c>
    </row>
    <row r="53" spans="1:5" ht="20.100000000000001" customHeight="1" x14ac:dyDescent="0.2">
      <c r="A53" s="8">
        <v>11</v>
      </c>
      <c r="B53" s="9" t="s">
        <v>143</v>
      </c>
      <c r="C53" s="2" t="s">
        <v>139</v>
      </c>
      <c r="D53" s="8" t="s">
        <v>87</v>
      </c>
      <c r="E53" s="70">
        <v>54000</v>
      </c>
    </row>
    <row r="54" spans="1:5" ht="25.5" customHeight="1" x14ac:dyDescent="0.5">
      <c r="A54" s="8"/>
      <c r="B54" s="18" t="s">
        <v>111</v>
      </c>
      <c r="C54" s="19">
        <v>11</v>
      </c>
      <c r="D54" s="19"/>
      <c r="E54" s="78">
        <f>SUM(E43:E53)</f>
        <v>1274000</v>
      </c>
    </row>
    <row r="55" spans="1:5" ht="20.100000000000001" customHeight="1" x14ac:dyDescent="0.2">
      <c r="A55" s="8"/>
      <c r="B55" s="20"/>
      <c r="C55" s="19"/>
      <c r="D55" s="19"/>
      <c r="E55" s="122"/>
    </row>
    <row r="56" spans="1:5" ht="20.100000000000001" customHeight="1" x14ac:dyDescent="0.2">
      <c r="A56" s="8"/>
      <c r="B56" s="18" t="s">
        <v>145</v>
      </c>
      <c r="C56" s="19"/>
      <c r="D56" s="19"/>
      <c r="E56" s="122"/>
    </row>
    <row r="57" spans="1:5" ht="20.100000000000001" customHeight="1" x14ac:dyDescent="0.2">
      <c r="A57" s="8">
        <v>1</v>
      </c>
      <c r="B57" s="9" t="s">
        <v>540</v>
      </c>
      <c r="C57" s="10" t="s">
        <v>147</v>
      </c>
      <c r="D57" s="13" t="s">
        <v>115</v>
      </c>
      <c r="E57" s="70">
        <v>270000</v>
      </c>
    </row>
    <row r="58" spans="1:5" ht="20.100000000000001" customHeight="1" x14ac:dyDescent="0.2">
      <c r="A58" s="8">
        <v>2</v>
      </c>
      <c r="B58" s="9" t="s">
        <v>148</v>
      </c>
      <c r="C58" s="10" t="s">
        <v>149</v>
      </c>
      <c r="D58" s="13" t="s">
        <v>150</v>
      </c>
      <c r="E58" s="70">
        <v>126000</v>
      </c>
    </row>
    <row r="59" spans="1:5" ht="20.100000000000001" customHeight="1" x14ac:dyDescent="0.5">
      <c r="A59" s="8"/>
      <c r="B59" s="18" t="s">
        <v>111</v>
      </c>
      <c r="C59" s="19">
        <v>2</v>
      </c>
      <c r="D59" s="19"/>
      <c r="E59" s="78">
        <f>SUM(E57:E58)</f>
        <v>396000</v>
      </c>
    </row>
    <row r="60" spans="1:5" ht="20.100000000000001" customHeight="1" x14ac:dyDescent="0.2">
      <c r="A60" s="8"/>
      <c r="B60" s="18"/>
      <c r="C60" s="19"/>
      <c r="D60" s="19"/>
      <c r="E60" s="122"/>
    </row>
    <row r="61" spans="1:5" ht="20.100000000000001" customHeight="1" x14ac:dyDescent="0.2">
      <c r="A61" s="8"/>
      <c r="B61" s="18" t="s">
        <v>151</v>
      </c>
      <c r="C61" s="19"/>
      <c r="D61" s="19"/>
      <c r="E61" s="122"/>
    </row>
    <row r="62" spans="1:5" ht="20.100000000000001" customHeight="1" x14ac:dyDescent="0.2">
      <c r="A62" s="8">
        <v>1</v>
      </c>
      <c r="B62" s="9" t="s">
        <v>541</v>
      </c>
      <c r="C62" s="15" t="s">
        <v>542</v>
      </c>
      <c r="D62" s="8" t="s">
        <v>115</v>
      </c>
      <c r="E62" s="70">
        <v>270000</v>
      </c>
    </row>
    <row r="63" spans="1:5" ht="20.100000000000001" customHeight="1" x14ac:dyDescent="0.2">
      <c r="A63" s="8">
        <v>2</v>
      </c>
      <c r="B63" s="313" t="s">
        <v>543</v>
      </c>
      <c r="C63" s="15" t="s">
        <v>544</v>
      </c>
      <c r="D63" s="13" t="s">
        <v>38</v>
      </c>
      <c r="E63" s="70">
        <v>126000</v>
      </c>
    </row>
    <row r="64" spans="1:5" ht="20.100000000000001" customHeight="1" x14ac:dyDescent="0.2">
      <c r="A64" s="8">
        <v>3</v>
      </c>
      <c r="B64" s="9" t="s">
        <v>155</v>
      </c>
      <c r="C64" s="2" t="s">
        <v>156</v>
      </c>
      <c r="D64" s="8" t="s">
        <v>197</v>
      </c>
      <c r="E64" s="70">
        <v>90000</v>
      </c>
    </row>
    <row r="65" spans="1:5" ht="20.100000000000001" customHeight="1" x14ac:dyDescent="0.2">
      <c r="A65" s="8">
        <v>4</v>
      </c>
      <c r="B65" s="16" t="s">
        <v>545</v>
      </c>
      <c r="C65" s="15" t="s">
        <v>158</v>
      </c>
      <c r="D65" s="13" t="s">
        <v>534</v>
      </c>
      <c r="E65" s="70">
        <v>90000</v>
      </c>
    </row>
    <row r="66" spans="1:5" ht="20.100000000000001" customHeight="1" x14ac:dyDescent="0.2">
      <c r="A66" s="8">
        <v>5</v>
      </c>
      <c r="B66" s="12" t="s">
        <v>546</v>
      </c>
      <c r="C66" s="15" t="s">
        <v>156</v>
      </c>
      <c r="D66" s="13" t="s">
        <v>41</v>
      </c>
      <c r="E66" s="70">
        <v>90000</v>
      </c>
    </row>
    <row r="67" spans="1:5" ht="20.100000000000001" customHeight="1" x14ac:dyDescent="0.2">
      <c r="A67" s="8">
        <v>7</v>
      </c>
      <c r="B67" s="9" t="s">
        <v>161</v>
      </c>
      <c r="C67" s="2" t="s">
        <v>139</v>
      </c>
      <c r="D67" s="8" t="s">
        <v>68</v>
      </c>
      <c r="E67" s="70">
        <v>68000</v>
      </c>
    </row>
    <row r="68" spans="1:5" ht="20.100000000000001" customHeight="1" x14ac:dyDescent="0.2">
      <c r="A68" s="8">
        <v>8</v>
      </c>
      <c r="B68" s="9" t="s">
        <v>163</v>
      </c>
      <c r="C68" s="15" t="s">
        <v>70</v>
      </c>
      <c r="D68" s="8" t="s">
        <v>68</v>
      </c>
      <c r="E68" s="70">
        <v>68000</v>
      </c>
    </row>
    <row r="69" spans="1:5" ht="20.100000000000001" customHeight="1" x14ac:dyDescent="0.2">
      <c r="A69" s="8">
        <v>9</v>
      </c>
      <c r="B69" s="9" t="s">
        <v>164</v>
      </c>
      <c r="C69" s="15" t="s">
        <v>70</v>
      </c>
      <c r="D69" s="8" t="s">
        <v>68</v>
      </c>
      <c r="E69" s="70">
        <v>68000</v>
      </c>
    </row>
    <row r="70" spans="1:5" ht="20.100000000000001" customHeight="1" x14ac:dyDescent="0.2">
      <c r="A70" s="8">
        <v>10</v>
      </c>
      <c r="B70" s="9" t="s">
        <v>165</v>
      </c>
      <c r="C70" s="2" t="s">
        <v>166</v>
      </c>
      <c r="D70" s="8" t="s">
        <v>162</v>
      </c>
      <c r="E70" s="70">
        <v>68000</v>
      </c>
    </row>
    <row r="71" spans="1:5" ht="21.6" customHeight="1" x14ac:dyDescent="0.2">
      <c r="A71" s="8">
        <v>11</v>
      </c>
      <c r="B71" s="9" t="s">
        <v>168</v>
      </c>
      <c r="C71" s="2" t="s">
        <v>139</v>
      </c>
      <c r="D71" s="8" t="s">
        <v>76</v>
      </c>
      <c r="E71" s="70">
        <v>68000</v>
      </c>
    </row>
    <row r="72" spans="1:5" ht="27" customHeight="1" x14ac:dyDescent="0.5">
      <c r="A72" s="8"/>
      <c r="B72" s="18" t="s">
        <v>111</v>
      </c>
      <c r="C72" s="19">
        <v>11</v>
      </c>
      <c r="D72" s="19"/>
      <c r="E72" s="78">
        <f>SUM(E62:E71)</f>
        <v>1006000</v>
      </c>
    </row>
    <row r="73" spans="1:5" ht="20.100000000000001" customHeight="1" x14ac:dyDescent="0.2">
      <c r="A73" s="8"/>
      <c r="B73" s="20"/>
      <c r="C73" s="19"/>
      <c r="D73" s="19"/>
      <c r="E73" s="122"/>
    </row>
    <row r="74" spans="1:5" ht="20.100000000000001" customHeight="1" x14ac:dyDescent="0.2">
      <c r="A74" s="8"/>
      <c r="B74" s="18" t="s">
        <v>169</v>
      </c>
      <c r="C74" s="19"/>
      <c r="D74" s="19"/>
      <c r="E74" s="122"/>
    </row>
    <row r="75" spans="1:5" ht="20.100000000000001" customHeight="1" x14ac:dyDescent="0.2">
      <c r="A75" s="8">
        <v>1</v>
      </c>
      <c r="B75" s="9" t="s">
        <v>170</v>
      </c>
      <c r="C75" s="2" t="s">
        <v>171</v>
      </c>
      <c r="D75" s="8" t="s">
        <v>115</v>
      </c>
      <c r="E75" s="70">
        <v>270000</v>
      </c>
    </row>
    <row r="76" spans="1:5" ht="20.100000000000001" customHeight="1" x14ac:dyDescent="0.2">
      <c r="A76" s="8">
        <v>2</v>
      </c>
      <c r="B76" s="12" t="s">
        <v>547</v>
      </c>
      <c r="C76" s="2" t="s">
        <v>548</v>
      </c>
      <c r="D76" s="13" t="s">
        <v>549</v>
      </c>
      <c r="E76" s="70">
        <v>126000</v>
      </c>
    </row>
    <row r="77" spans="1:5" ht="20.100000000000001" customHeight="1" x14ac:dyDescent="0.2">
      <c r="A77" s="8">
        <v>3</v>
      </c>
      <c r="B77" s="16" t="s">
        <v>550</v>
      </c>
      <c r="C77" s="10" t="s">
        <v>551</v>
      </c>
      <c r="D77" s="8" t="s">
        <v>150</v>
      </c>
      <c r="E77" s="70">
        <v>126000</v>
      </c>
    </row>
    <row r="78" spans="1:5" ht="20.100000000000001" customHeight="1" x14ac:dyDescent="0.2">
      <c r="A78" s="8">
        <v>4</v>
      </c>
      <c r="B78" s="9" t="s">
        <v>174</v>
      </c>
      <c r="C78" s="2" t="s">
        <v>175</v>
      </c>
      <c r="D78" s="13" t="s">
        <v>46</v>
      </c>
      <c r="E78" s="70">
        <v>90000</v>
      </c>
    </row>
    <row r="79" spans="1:5" ht="20.100000000000001" customHeight="1" x14ac:dyDescent="0.2">
      <c r="A79" s="8">
        <v>5</v>
      </c>
      <c r="B79" s="9" t="s">
        <v>181</v>
      </c>
      <c r="C79" s="2" t="s">
        <v>184</v>
      </c>
      <c r="D79" s="8" t="s">
        <v>119</v>
      </c>
      <c r="E79" s="70">
        <v>68000</v>
      </c>
    </row>
    <row r="80" spans="1:5" ht="20.100000000000001" customHeight="1" x14ac:dyDescent="0.2">
      <c r="A80" s="8">
        <v>6</v>
      </c>
      <c r="B80" s="9" t="s">
        <v>183</v>
      </c>
      <c r="C80" s="2" t="s">
        <v>184</v>
      </c>
      <c r="D80" s="8" t="s">
        <v>87</v>
      </c>
      <c r="E80" s="70">
        <v>54000</v>
      </c>
    </row>
    <row r="81" spans="1:5" ht="20.100000000000001" customHeight="1" x14ac:dyDescent="0.2">
      <c r="A81" s="8">
        <v>7</v>
      </c>
      <c r="B81" s="9" t="s">
        <v>185</v>
      </c>
      <c r="C81" s="2" t="s">
        <v>186</v>
      </c>
      <c r="D81" s="8" t="s">
        <v>105</v>
      </c>
      <c r="E81" s="70">
        <v>54000</v>
      </c>
    </row>
    <row r="82" spans="1:5" ht="20.100000000000001" customHeight="1" x14ac:dyDescent="0.5">
      <c r="A82" s="8"/>
      <c r="B82" s="18" t="s">
        <v>111</v>
      </c>
      <c r="C82" s="19">
        <v>7</v>
      </c>
      <c r="D82" s="19"/>
      <c r="E82" s="78">
        <f>SUM(E75:E81)</f>
        <v>788000</v>
      </c>
    </row>
    <row r="83" spans="1:5" ht="20.100000000000001" customHeight="1" x14ac:dyDescent="0.2">
      <c r="A83" s="8"/>
      <c r="B83" s="18"/>
      <c r="C83" s="19"/>
      <c r="D83" s="19"/>
      <c r="E83" s="122"/>
    </row>
    <row r="84" spans="1:5" ht="20.100000000000001" customHeight="1" x14ac:dyDescent="0.2">
      <c r="A84" s="8"/>
      <c r="B84" s="18" t="s">
        <v>187</v>
      </c>
      <c r="C84" s="23"/>
      <c r="D84" s="19"/>
      <c r="E84" s="122"/>
    </row>
    <row r="85" spans="1:5" ht="20.100000000000001" customHeight="1" x14ac:dyDescent="0.2">
      <c r="A85" s="8">
        <v>1</v>
      </c>
      <c r="B85" s="9" t="s">
        <v>190</v>
      </c>
      <c r="C85" s="2" t="s">
        <v>130</v>
      </c>
      <c r="D85" s="8" t="s">
        <v>131</v>
      </c>
      <c r="E85" s="70">
        <v>126000</v>
      </c>
    </row>
    <row r="86" spans="1:5" ht="20.100000000000001" customHeight="1" x14ac:dyDescent="0.2">
      <c r="A86" s="8">
        <v>2</v>
      </c>
      <c r="B86" s="9" t="s">
        <v>188</v>
      </c>
      <c r="C86" s="2" t="s">
        <v>130</v>
      </c>
      <c r="D86" s="8" t="s">
        <v>131</v>
      </c>
      <c r="E86" s="70">
        <v>126000</v>
      </c>
    </row>
    <row r="87" spans="1:5" ht="20.100000000000001" customHeight="1" x14ac:dyDescent="0.2">
      <c r="A87" s="8">
        <v>3</v>
      </c>
      <c r="B87" s="9" t="s">
        <v>193</v>
      </c>
      <c r="C87" s="2" t="s">
        <v>130</v>
      </c>
      <c r="D87" s="8" t="s">
        <v>49</v>
      </c>
      <c r="E87" s="70">
        <v>126000</v>
      </c>
    </row>
    <row r="88" spans="1:5" ht="21.6" customHeight="1" x14ac:dyDescent="0.2">
      <c r="A88" s="8">
        <v>4</v>
      </c>
      <c r="B88" s="9" t="s">
        <v>194</v>
      </c>
      <c r="C88" s="2" t="s">
        <v>552</v>
      </c>
      <c r="D88" s="13" t="s">
        <v>52</v>
      </c>
      <c r="E88" s="70">
        <v>90000</v>
      </c>
    </row>
    <row r="89" spans="1:5" ht="21.6" customHeight="1" x14ac:dyDescent="0.2">
      <c r="A89" s="8">
        <v>5</v>
      </c>
      <c r="B89" s="9" t="s">
        <v>195</v>
      </c>
      <c r="C89" s="10" t="s">
        <v>158</v>
      </c>
      <c r="D89" s="13" t="s">
        <v>534</v>
      </c>
      <c r="E89" s="70">
        <v>90000</v>
      </c>
    </row>
    <row r="90" spans="1:5" ht="21.6" customHeight="1" x14ac:dyDescent="0.2">
      <c r="A90" s="8">
        <v>6</v>
      </c>
      <c r="B90" s="9" t="s">
        <v>196</v>
      </c>
      <c r="C90" s="10" t="s">
        <v>156</v>
      </c>
      <c r="D90" s="13" t="s">
        <v>229</v>
      </c>
      <c r="E90" s="70">
        <v>90000</v>
      </c>
    </row>
    <row r="91" spans="1:5" ht="21.6" customHeight="1" x14ac:dyDescent="0.2">
      <c r="A91" s="8">
        <v>7</v>
      </c>
      <c r="B91" s="9" t="s">
        <v>198</v>
      </c>
      <c r="C91" s="15" t="s">
        <v>70</v>
      </c>
      <c r="D91" s="13" t="s">
        <v>68</v>
      </c>
      <c r="E91" s="70">
        <v>68000</v>
      </c>
    </row>
    <row r="92" spans="1:5" ht="21.6" customHeight="1" x14ac:dyDescent="0.2">
      <c r="A92" s="8">
        <v>8</v>
      </c>
      <c r="B92" s="9" t="s">
        <v>199</v>
      </c>
      <c r="C92" s="15" t="s">
        <v>158</v>
      </c>
      <c r="D92" s="13" t="s">
        <v>159</v>
      </c>
      <c r="E92" s="70">
        <v>90000</v>
      </c>
    </row>
    <row r="93" spans="1:5" ht="21.6" customHeight="1" x14ac:dyDescent="0.2">
      <c r="A93" s="8">
        <v>9</v>
      </c>
      <c r="B93" s="9" t="s">
        <v>202</v>
      </c>
      <c r="C93" s="2" t="s">
        <v>203</v>
      </c>
      <c r="D93" s="8" t="s">
        <v>76</v>
      </c>
      <c r="E93" s="186">
        <v>66000</v>
      </c>
    </row>
    <row r="94" spans="1:5" ht="21.6" customHeight="1" x14ac:dyDescent="0.2">
      <c r="A94" s="8">
        <v>10</v>
      </c>
      <c r="B94" s="9" t="s">
        <v>204</v>
      </c>
      <c r="C94" s="15" t="s">
        <v>205</v>
      </c>
      <c r="D94" s="13" t="s">
        <v>102</v>
      </c>
      <c r="E94" s="186">
        <v>54000</v>
      </c>
    </row>
    <row r="95" spans="1:5" ht="20.100000000000001" customHeight="1" x14ac:dyDescent="0.5">
      <c r="A95" s="8"/>
      <c r="B95" s="18" t="s">
        <v>111</v>
      </c>
      <c r="C95" s="19">
        <v>10</v>
      </c>
      <c r="D95" s="19"/>
      <c r="E95" s="78">
        <f>SUM(E85:E94)</f>
        <v>926000</v>
      </c>
    </row>
    <row r="96" spans="1:5" ht="20.100000000000001" customHeight="1" x14ac:dyDescent="0.2">
      <c r="A96" s="8"/>
      <c r="B96" s="20"/>
      <c r="C96" s="19"/>
      <c r="D96" s="19"/>
      <c r="E96" s="122"/>
    </row>
    <row r="97" spans="1:5" ht="20.100000000000001" customHeight="1" x14ac:dyDescent="0.2">
      <c r="A97" s="8"/>
      <c r="B97" s="18" t="s">
        <v>207</v>
      </c>
      <c r="C97" s="19"/>
      <c r="D97" s="19"/>
      <c r="E97" s="122"/>
    </row>
    <row r="98" spans="1:5" ht="20.100000000000001" customHeight="1" x14ac:dyDescent="0.2">
      <c r="A98" s="8">
        <v>1</v>
      </c>
      <c r="B98" s="12" t="s">
        <v>208</v>
      </c>
      <c r="C98" s="2" t="s">
        <v>209</v>
      </c>
      <c r="D98" s="14" t="s">
        <v>128</v>
      </c>
      <c r="E98" s="70">
        <v>270000</v>
      </c>
    </row>
    <row r="99" spans="1:5" ht="20.100000000000001" customHeight="1" x14ac:dyDescent="0.2">
      <c r="A99" s="8">
        <v>2</v>
      </c>
      <c r="B99" s="9" t="s">
        <v>211</v>
      </c>
      <c r="C99" s="2" t="s">
        <v>212</v>
      </c>
      <c r="D99" s="13" t="s">
        <v>46</v>
      </c>
      <c r="E99" s="70">
        <v>90000</v>
      </c>
    </row>
    <row r="100" spans="1:5" ht="20.100000000000001" customHeight="1" x14ac:dyDescent="0.2">
      <c r="A100" s="8">
        <v>3</v>
      </c>
      <c r="B100" s="9" t="s">
        <v>217</v>
      </c>
      <c r="C100" s="2" t="s">
        <v>218</v>
      </c>
      <c r="D100" s="13" t="s">
        <v>162</v>
      </c>
      <c r="E100" s="70">
        <v>68000</v>
      </c>
    </row>
    <row r="101" spans="1:5" ht="20.100000000000001" customHeight="1" x14ac:dyDescent="0.2">
      <c r="A101" s="8">
        <v>4</v>
      </c>
      <c r="B101" s="9" t="s">
        <v>219</v>
      </c>
      <c r="C101" s="2" t="s">
        <v>220</v>
      </c>
      <c r="D101" s="13" t="s">
        <v>76</v>
      </c>
      <c r="E101" s="70">
        <v>68000</v>
      </c>
    </row>
    <row r="102" spans="1:5" ht="20.100000000000001" customHeight="1" x14ac:dyDescent="0.5">
      <c r="A102" s="2"/>
      <c r="B102" s="18" t="s">
        <v>111</v>
      </c>
      <c r="C102" s="19">
        <v>4</v>
      </c>
      <c r="D102" s="24"/>
      <c r="E102" s="78">
        <f>SUM(E98:E101)</f>
        <v>496000</v>
      </c>
    </row>
    <row r="103" spans="1:5" ht="20.100000000000001" customHeight="1" x14ac:dyDescent="0.2">
      <c r="A103" s="2"/>
      <c r="B103" s="20"/>
      <c r="C103" s="19"/>
      <c r="D103" s="24"/>
      <c r="E103" s="122"/>
    </row>
    <row r="104" spans="1:5" ht="20.100000000000001" customHeight="1" x14ac:dyDescent="0.2">
      <c r="A104" s="2"/>
      <c r="B104" s="18" t="s">
        <v>221</v>
      </c>
      <c r="C104" s="2"/>
      <c r="D104" s="2"/>
      <c r="E104" s="2"/>
    </row>
    <row r="105" spans="1:5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70">
        <v>270000</v>
      </c>
    </row>
    <row r="106" spans="1:5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154</v>
      </c>
      <c r="E106" s="70">
        <v>180000</v>
      </c>
    </row>
    <row r="107" spans="1:5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70">
        <v>90000</v>
      </c>
    </row>
    <row r="108" spans="1:5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52</v>
      </c>
      <c r="E108" s="70">
        <v>90000</v>
      </c>
    </row>
    <row r="109" spans="1:5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553</v>
      </c>
      <c r="E109" s="186">
        <v>54000</v>
      </c>
    </row>
    <row r="110" spans="1:5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554</v>
      </c>
      <c r="E110" s="186">
        <v>54000</v>
      </c>
    </row>
    <row r="111" spans="1:5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102</v>
      </c>
      <c r="E111" s="186">
        <v>54000</v>
      </c>
    </row>
    <row r="112" spans="1:5" ht="25.5" customHeight="1" x14ac:dyDescent="0.5">
      <c r="A112" s="2"/>
      <c r="B112" s="18" t="s">
        <v>111</v>
      </c>
      <c r="C112" s="19">
        <v>7</v>
      </c>
      <c r="D112" s="2"/>
      <c r="E112" s="189">
        <f>SUM(E105:E111)</f>
        <v>792000</v>
      </c>
    </row>
    <row r="113" spans="1:5" ht="20.100000000000001" customHeight="1" x14ac:dyDescent="0.5">
      <c r="A113" s="2"/>
      <c r="B113" s="18"/>
      <c r="C113" s="19"/>
      <c r="D113" s="2"/>
      <c r="E113" s="189"/>
    </row>
    <row r="114" spans="1:5" ht="20.100000000000001" customHeight="1" x14ac:dyDescent="0.2">
      <c r="A114" s="8"/>
      <c r="B114" s="18" t="s">
        <v>235</v>
      </c>
      <c r="C114" s="19"/>
      <c r="D114" s="19"/>
      <c r="E114" s="122"/>
    </row>
    <row r="115" spans="1:5" ht="20.100000000000001" customHeight="1" x14ac:dyDescent="0.2">
      <c r="A115" s="8">
        <v>1</v>
      </c>
      <c r="B115" s="12" t="s">
        <v>152</v>
      </c>
      <c r="C115" s="2" t="s">
        <v>130</v>
      </c>
      <c r="D115" s="8" t="s">
        <v>38</v>
      </c>
      <c r="E115" s="70">
        <v>126000</v>
      </c>
    </row>
    <row r="116" spans="1:5" ht="18.75" customHeight="1" x14ac:dyDescent="0.2">
      <c r="A116" s="8">
        <v>2</v>
      </c>
      <c r="B116" s="9" t="s">
        <v>236</v>
      </c>
      <c r="C116" s="2" t="s">
        <v>237</v>
      </c>
      <c r="D116" s="13" t="s">
        <v>162</v>
      </c>
      <c r="E116" s="70">
        <v>68000</v>
      </c>
    </row>
    <row r="117" spans="1:5" ht="20.100000000000001" customHeight="1" x14ac:dyDescent="0.2">
      <c r="A117" s="8">
        <v>3</v>
      </c>
      <c r="B117" s="9" t="s">
        <v>177</v>
      </c>
      <c r="C117" s="10" t="s">
        <v>555</v>
      </c>
      <c r="D117" s="13" t="s">
        <v>65</v>
      </c>
      <c r="E117" s="70">
        <v>68000</v>
      </c>
    </row>
    <row r="118" spans="1:5" ht="24.75" customHeight="1" x14ac:dyDescent="0.5">
      <c r="A118" s="2"/>
      <c r="B118" s="18" t="s">
        <v>111</v>
      </c>
      <c r="C118" s="19">
        <v>3</v>
      </c>
      <c r="D118" s="24"/>
      <c r="E118" s="78">
        <f>SUM(E115:E117)</f>
        <v>262000</v>
      </c>
    </row>
    <row r="119" spans="1:5" ht="20.100000000000001" customHeight="1" x14ac:dyDescent="0.2">
      <c r="A119" s="2"/>
      <c r="B119" s="20"/>
      <c r="C119" s="8"/>
      <c r="D119" s="2"/>
      <c r="E119" s="190"/>
    </row>
    <row r="120" spans="1:5" ht="20.100000000000001" customHeight="1" x14ac:dyDescent="0.2">
      <c r="A120" s="2"/>
      <c r="B120" s="18" t="s">
        <v>250</v>
      </c>
      <c r="C120" s="19"/>
      <c r="D120" s="19"/>
      <c r="E120" s="122"/>
    </row>
    <row r="121" spans="1:5" ht="20.100000000000001" customHeight="1" x14ac:dyDescent="0.2">
      <c r="A121" s="2">
        <v>1</v>
      </c>
      <c r="B121" s="9" t="s">
        <v>251</v>
      </c>
      <c r="C121" s="10" t="s">
        <v>252</v>
      </c>
      <c r="D121" s="13" t="s">
        <v>115</v>
      </c>
      <c r="E121" s="70">
        <v>270000</v>
      </c>
    </row>
    <row r="122" spans="1:5" ht="20.100000000000001" customHeight="1" x14ac:dyDescent="0.2">
      <c r="A122" s="2">
        <v>2</v>
      </c>
      <c r="B122" s="9" t="s">
        <v>253</v>
      </c>
      <c r="C122" s="10" t="s">
        <v>254</v>
      </c>
      <c r="D122" s="13" t="s">
        <v>35</v>
      </c>
      <c r="E122" s="70">
        <v>180000</v>
      </c>
    </row>
    <row r="123" spans="1:5" ht="20.100000000000001" customHeight="1" x14ac:dyDescent="0.2">
      <c r="A123" s="2">
        <v>3</v>
      </c>
      <c r="B123" s="12" t="s">
        <v>255</v>
      </c>
      <c r="C123" s="10" t="s">
        <v>256</v>
      </c>
      <c r="D123" s="13" t="s">
        <v>131</v>
      </c>
      <c r="E123" s="70">
        <v>126000</v>
      </c>
    </row>
    <row r="124" spans="1:5" ht="20.100000000000001" customHeight="1" x14ac:dyDescent="0.2">
      <c r="A124" s="2">
        <v>4</v>
      </c>
      <c r="B124" s="12" t="s">
        <v>556</v>
      </c>
      <c r="C124" s="10" t="s">
        <v>256</v>
      </c>
      <c r="D124" s="13" t="s">
        <v>49</v>
      </c>
      <c r="E124" s="70">
        <v>126000</v>
      </c>
    </row>
    <row r="125" spans="1:5" ht="20.100000000000001" customHeight="1" x14ac:dyDescent="0.2">
      <c r="A125" s="2">
        <v>5</v>
      </c>
      <c r="B125" s="9" t="s">
        <v>257</v>
      </c>
      <c r="C125" s="10" t="s">
        <v>258</v>
      </c>
      <c r="D125" s="13" t="s">
        <v>176</v>
      </c>
      <c r="E125" s="70">
        <v>90000</v>
      </c>
    </row>
    <row r="126" spans="1:5" ht="20.100000000000001" customHeight="1" x14ac:dyDescent="0.2">
      <c r="A126" s="2">
        <v>6</v>
      </c>
      <c r="B126" s="9" t="s">
        <v>259</v>
      </c>
      <c r="C126" s="10" t="s">
        <v>489</v>
      </c>
      <c r="D126" s="13" t="s">
        <v>197</v>
      </c>
      <c r="E126" s="70">
        <v>90000</v>
      </c>
    </row>
    <row r="127" spans="1:5" ht="20.100000000000001" customHeight="1" x14ac:dyDescent="0.2">
      <c r="A127" s="2">
        <v>7</v>
      </c>
      <c r="B127" s="9" t="s">
        <v>260</v>
      </c>
      <c r="C127" s="10" t="s">
        <v>258</v>
      </c>
      <c r="D127" s="13" t="s">
        <v>46</v>
      </c>
      <c r="E127" s="70">
        <v>90000</v>
      </c>
    </row>
    <row r="128" spans="1:5" ht="20.100000000000001" customHeight="1" x14ac:dyDescent="0.2">
      <c r="A128" s="2">
        <v>8</v>
      </c>
      <c r="B128" s="9" t="s">
        <v>263</v>
      </c>
      <c r="C128" s="10" t="s">
        <v>264</v>
      </c>
      <c r="D128" s="8" t="s">
        <v>84</v>
      </c>
      <c r="E128" s="70">
        <v>54000</v>
      </c>
    </row>
    <row r="129" spans="1:5" ht="20.100000000000001" customHeight="1" x14ac:dyDescent="0.2">
      <c r="A129" s="2">
        <v>9</v>
      </c>
      <c r="B129" s="16" t="s">
        <v>265</v>
      </c>
      <c r="C129" s="10" t="s">
        <v>266</v>
      </c>
      <c r="D129" s="13" t="s">
        <v>105</v>
      </c>
      <c r="E129" s="70">
        <v>54000</v>
      </c>
    </row>
    <row r="130" spans="1:5" ht="20.100000000000001" customHeight="1" x14ac:dyDescent="0.2">
      <c r="A130" s="2">
        <v>10</v>
      </c>
      <c r="B130" s="16" t="s">
        <v>267</v>
      </c>
      <c r="C130" s="10" t="s">
        <v>262</v>
      </c>
      <c r="D130" s="13" t="s">
        <v>105</v>
      </c>
      <c r="E130" s="70">
        <v>54000</v>
      </c>
    </row>
    <row r="131" spans="1:5" ht="28.5" customHeight="1" x14ac:dyDescent="0.5">
      <c r="A131" s="2"/>
      <c r="B131" s="18" t="s">
        <v>111</v>
      </c>
      <c r="C131" s="24" t="s">
        <v>490</v>
      </c>
      <c r="D131" s="13"/>
      <c r="E131" s="78">
        <f>SUM(E121:E130)</f>
        <v>1134000</v>
      </c>
    </row>
    <row r="132" spans="1:5" ht="20.100000000000001" customHeight="1" x14ac:dyDescent="0.2">
      <c r="A132" s="2"/>
      <c r="B132" s="20"/>
      <c r="C132" s="24"/>
      <c r="D132" s="13"/>
      <c r="E132" s="122"/>
    </row>
    <row r="133" spans="1:5" ht="20.100000000000001" customHeight="1" x14ac:dyDescent="0.2">
      <c r="A133" s="2"/>
      <c r="B133" s="18" t="s">
        <v>270</v>
      </c>
      <c r="C133" s="10"/>
      <c r="D133" s="13"/>
      <c r="E133" s="70"/>
    </row>
    <row r="134" spans="1:5" ht="20.100000000000001" customHeight="1" x14ac:dyDescent="0.2">
      <c r="A134" s="25">
        <v>1</v>
      </c>
      <c r="B134" s="9" t="s">
        <v>557</v>
      </c>
      <c r="C134" s="10" t="s">
        <v>558</v>
      </c>
      <c r="D134" s="13" t="s">
        <v>115</v>
      </c>
      <c r="E134" s="70">
        <v>270000</v>
      </c>
    </row>
    <row r="135" spans="1:5" ht="20.100000000000001" customHeight="1" x14ac:dyDescent="0.2">
      <c r="A135" s="25">
        <v>2</v>
      </c>
      <c r="B135" s="9" t="s">
        <v>559</v>
      </c>
      <c r="C135" s="10" t="s">
        <v>560</v>
      </c>
      <c r="D135" s="13" t="s">
        <v>154</v>
      </c>
      <c r="E135" s="70">
        <v>180000</v>
      </c>
    </row>
    <row r="136" spans="1:5" ht="20.100000000000001" customHeight="1" x14ac:dyDescent="0.2">
      <c r="A136" s="25">
        <v>3</v>
      </c>
      <c r="B136" s="12" t="s">
        <v>274</v>
      </c>
      <c r="C136" s="2" t="s">
        <v>275</v>
      </c>
      <c r="D136" s="14" t="s">
        <v>154</v>
      </c>
      <c r="E136" s="70">
        <v>180000</v>
      </c>
    </row>
    <row r="137" spans="1:5" ht="20.100000000000001" customHeight="1" x14ac:dyDescent="0.2">
      <c r="A137" s="25">
        <v>4</v>
      </c>
      <c r="B137" s="9" t="s">
        <v>276</v>
      </c>
      <c r="C137" s="10" t="s">
        <v>561</v>
      </c>
      <c r="D137" s="13" t="s">
        <v>41</v>
      </c>
      <c r="E137" s="70">
        <v>90000</v>
      </c>
    </row>
    <row r="138" spans="1:5" ht="20.100000000000001" customHeight="1" x14ac:dyDescent="0.2">
      <c r="A138" s="25">
        <v>5</v>
      </c>
      <c r="B138" s="9" t="s">
        <v>278</v>
      </c>
      <c r="C138" s="2" t="s">
        <v>562</v>
      </c>
      <c r="D138" s="13" t="s">
        <v>41</v>
      </c>
      <c r="E138" s="70">
        <v>90000</v>
      </c>
    </row>
    <row r="139" spans="1:5" ht="20.100000000000001" customHeight="1" x14ac:dyDescent="0.2">
      <c r="A139" s="25">
        <v>6</v>
      </c>
      <c r="B139" s="9" t="s">
        <v>280</v>
      </c>
      <c r="C139" s="2" t="s">
        <v>562</v>
      </c>
      <c r="D139" s="13" t="s">
        <v>41</v>
      </c>
      <c r="E139" s="70">
        <v>90000</v>
      </c>
    </row>
    <row r="140" spans="1:5" ht="20.100000000000001" customHeight="1" x14ac:dyDescent="0.2">
      <c r="A140" s="25">
        <v>7</v>
      </c>
      <c r="B140" s="9" t="s">
        <v>213</v>
      </c>
      <c r="C140" s="10" t="s">
        <v>563</v>
      </c>
      <c r="D140" s="13" t="s">
        <v>65</v>
      </c>
      <c r="E140" s="70">
        <v>68000</v>
      </c>
    </row>
    <row r="141" spans="1:5" ht="20.100000000000001" customHeight="1" x14ac:dyDescent="0.2">
      <c r="A141" s="25">
        <v>8</v>
      </c>
      <c r="B141" s="9" t="s">
        <v>281</v>
      </c>
      <c r="C141" s="10" t="s">
        <v>563</v>
      </c>
      <c r="D141" s="13" t="s">
        <v>65</v>
      </c>
      <c r="E141" s="70">
        <v>68000</v>
      </c>
    </row>
    <row r="142" spans="1:5" ht="20.100000000000001" customHeight="1" x14ac:dyDescent="0.2">
      <c r="A142" s="25">
        <v>9</v>
      </c>
      <c r="B142" s="9" t="s">
        <v>282</v>
      </c>
      <c r="C142" s="2" t="s">
        <v>564</v>
      </c>
      <c r="D142" s="13" t="s">
        <v>65</v>
      </c>
      <c r="E142" s="70">
        <v>68000</v>
      </c>
    </row>
    <row r="143" spans="1:5" ht="20.100000000000001" customHeight="1" x14ac:dyDescent="0.2">
      <c r="A143" s="25">
        <v>10</v>
      </c>
      <c r="B143" s="9" t="s">
        <v>284</v>
      </c>
      <c r="C143" s="10" t="s">
        <v>285</v>
      </c>
      <c r="D143" s="13" t="s">
        <v>162</v>
      </c>
      <c r="E143" s="70">
        <v>68000</v>
      </c>
    </row>
    <row r="144" spans="1:5" ht="20.100000000000001" customHeight="1" x14ac:dyDescent="0.2">
      <c r="A144" s="25">
        <v>11</v>
      </c>
      <c r="B144" s="9" t="s">
        <v>286</v>
      </c>
      <c r="C144" s="10" t="s">
        <v>287</v>
      </c>
      <c r="D144" s="13" t="s">
        <v>68</v>
      </c>
      <c r="E144" s="70">
        <v>68000</v>
      </c>
    </row>
    <row r="145" spans="1:5" ht="20.100000000000001" customHeight="1" x14ac:dyDescent="0.2">
      <c r="A145" s="25">
        <v>12</v>
      </c>
      <c r="B145" s="9" t="s">
        <v>60</v>
      </c>
      <c r="C145" s="10" t="s">
        <v>565</v>
      </c>
      <c r="D145" s="13" t="s">
        <v>65</v>
      </c>
      <c r="E145" s="70">
        <v>68000</v>
      </c>
    </row>
    <row r="146" spans="1:5" ht="20.100000000000001" customHeight="1" x14ac:dyDescent="0.2">
      <c r="A146" s="25">
        <v>13</v>
      </c>
      <c r="B146" s="16" t="s">
        <v>288</v>
      </c>
      <c r="C146" s="2" t="s">
        <v>289</v>
      </c>
      <c r="D146" s="13" t="s">
        <v>137</v>
      </c>
      <c r="E146" s="70">
        <v>68000</v>
      </c>
    </row>
    <row r="147" spans="1:5" ht="20.100000000000001" customHeight="1" x14ac:dyDescent="0.2">
      <c r="A147" s="25">
        <v>14</v>
      </c>
      <c r="B147" s="9" t="s">
        <v>290</v>
      </c>
      <c r="C147" s="2" t="s">
        <v>566</v>
      </c>
      <c r="D147" s="13" t="s">
        <v>119</v>
      </c>
      <c r="E147" s="70">
        <v>68000</v>
      </c>
    </row>
    <row r="148" spans="1:5" ht="20.100000000000001" customHeight="1" x14ac:dyDescent="0.2">
      <c r="A148" s="25">
        <v>15</v>
      </c>
      <c r="B148" s="9" t="s">
        <v>291</v>
      </c>
      <c r="C148" s="2" t="s">
        <v>566</v>
      </c>
      <c r="D148" s="13" t="s">
        <v>300</v>
      </c>
      <c r="E148" s="70">
        <v>68000</v>
      </c>
    </row>
    <row r="149" spans="1:5" ht="20.100000000000001" customHeight="1" x14ac:dyDescent="0.2">
      <c r="A149" s="25">
        <v>16</v>
      </c>
      <c r="B149" s="9" t="s">
        <v>293</v>
      </c>
      <c r="C149" s="2" t="s">
        <v>566</v>
      </c>
      <c r="D149" s="13" t="s">
        <v>300</v>
      </c>
      <c r="E149" s="70">
        <v>68000</v>
      </c>
    </row>
    <row r="150" spans="1:5" ht="20.100000000000001" customHeight="1" x14ac:dyDescent="0.2">
      <c r="A150" s="25">
        <v>17</v>
      </c>
      <c r="B150" s="9" t="s">
        <v>294</v>
      </c>
      <c r="C150" s="10" t="s">
        <v>295</v>
      </c>
      <c r="D150" s="13" t="s">
        <v>76</v>
      </c>
      <c r="E150" s="70">
        <v>68000</v>
      </c>
    </row>
    <row r="151" spans="1:5" ht="20.100000000000001" customHeight="1" x14ac:dyDescent="0.2">
      <c r="A151" s="25">
        <v>18</v>
      </c>
      <c r="B151" s="9" t="s">
        <v>296</v>
      </c>
      <c r="C151" s="10" t="s">
        <v>297</v>
      </c>
      <c r="D151" s="8" t="s">
        <v>87</v>
      </c>
      <c r="E151" s="70">
        <v>54000</v>
      </c>
    </row>
    <row r="152" spans="1:5" ht="20.100000000000001" customHeight="1" x14ac:dyDescent="0.2">
      <c r="A152" s="25">
        <v>19</v>
      </c>
      <c r="B152" s="9" t="s">
        <v>298</v>
      </c>
      <c r="C152" s="10" t="s">
        <v>299</v>
      </c>
      <c r="D152" s="13" t="s">
        <v>119</v>
      </c>
      <c r="E152" s="186">
        <v>68000</v>
      </c>
    </row>
    <row r="153" spans="1:5" ht="20.100000000000001" customHeight="1" x14ac:dyDescent="0.2">
      <c r="A153" s="25">
        <v>20</v>
      </c>
      <c r="B153" s="9" t="s">
        <v>301</v>
      </c>
      <c r="C153" s="10" t="s">
        <v>302</v>
      </c>
      <c r="D153" s="13" t="s">
        <v>84</v>
      </c>
      <c r="E153" s="186">
        <v>54000</v>
      </c>
    </row>
    <row r="154" spans="1:5" ht="20.100000000000001" customHeight="1" x14ac:dyDescent="0.2">
      <c r="A154" s="25">
        <v>21</v>
      </c>
      <c r="B154" s="9" t="s">
        <v>303</v>
      </c>
      <c r="C154" s="10" t="s">
        <v>304</v>
      </c>
      <c r="D154" s="13" t="s">
        <v>119</v>
      </c>
      <c r="E154" s="186">
        <v>68000</v>
      </c>
    </row>
    <row r="155" spans="1:5" ht="20.100000000000001" customHeight="1" x14ac:dyDescent="0.2">
      <c r="A155" s="25">
        <v>22</v>
      </c>
      <c r="B155" s="9" t="s">
        <v>305</v>
      </c>
      <c r="C155" s="10" t="s">
        <v>306</v>
      </c>
      <c r="D155" s="13" t="s">
        <v>84</v>
      </c>
      <c r="E155" s="186">
        <v>54000</v>
      </c>
    </row>
    <row r="156" spans="1:5" ht="20.100000000000001" customHeight="1" x14ac:dyDescent="0.2">
      <c r="A156" s="25">
        <v>23</v>
      </c>
      <c r="B156" s="16" t="s">
        <v>307</v>
      </c>
      <c r="C156" s="10" t="s">
        <v>308</v>
      </c>
      <c r="D156" s="13" t="s">
        <v>96</v>
      </c>
      <c r="E156" s="186">
        <v>54000</v>
      </c>
    </row>
    <row r="157" spans="1:5" ht="20.100000000000001" customHeight="1" x14ac:dyDescent="0.2">
      <c r="A157" s="25">
        <v>24</v>
      </c>
      <c r="B157" s="16" t="s">
        <v>312</v>
      </c>
      <c r="C157" s="10" t="s">
        <v>313</v>
      </c>
      <c r="D157" s="13" t="s">
        <v>105</v>
      </c>
      <c r="E157" s="186">
        <v>54000</v>
      </c>
    </row>
    <row r="158" spans="1:5" ht="20.100000000000001" customHeight="1" x14ac:dyDescent="0.2">
      <c r="A158" s="25">
        <v>25</v>
      </c>
      <c r="B158" s="16" t="s">
        <v>314</v>
      </c>
      <c r="C158" s="10" t="s">
        <v>315</v>
      </c>
      <c r="D158" s="13" t="s">
        <v>105</v>
      </c>
      <c r="E158" s="186">
        <v>54000</v>
      </c>
    </row>
    <row r="159" spans="1:5" ht="20.100000000000001" customHeight="1" x14ac:dyDescent="0.2">
      <c r="A159" s="25">
        <v>26</v>
      </c>
      <c r="B159" s="16" t="s">
        <v>316</v>
      </c>
      <c r="C159" s="10" t="s">
        <v>317</v>
      </c>
      <c r="D159" s="13" t="s">
        <v>105</v>
      </c>
      <c r="E159" s="186">
        <v>54000</v>
      </c>
    </row>
    <row r="160" spans="1:5" ht="20.100000000000001" customHeight="1" x14ac:dyDescent="0.2">
      <c r="A160" s="25">
        <v>27</v>
      </c>
      <c r="B160" s="16" t="s">
        <v>318</v>
      </c>
      <c r="C160" s="10" t="s">
        <v>319</v>
      </c>
      <c r="D160" s="13" t="s">
        <v>102</v>
      </c>
      <c r="E160" s="186">
        <v>54000</v>
      </c>
    </row>
    <row r="161" spans="1:5" ht="20.100000000000001" customHeight="1" x14ac:dyDescent="0.2">
      <c r="A161" s="25">
        <v>28</v>
      </c>
      <c r="B161" s="16" t="s">
        <v>320</v>
      </c>
      <c r="C161" s="10" t="s">
        <v>315</v>
      </c>
      <c r="D161" s="13" t="s">
        <v>105</v>
      </c>
      <c r="E161" s="186">
        <v>54000</v>
      </c>
    </row>
    <row r="162" spans="1:5" ht="20.100000000000001" customHeight="1" x14ac:dyDescent="0.2">
      <c r="A162" s="25">
        <v>29</v>
      </c>
      <c r="B162" s="9" t="s">
        <v>329</v>
      </c>
      <c r="C162" s="10" t="s">
        <v>330</v>
      </c>
      <c r="D162" s="13" t="s">
        <v>337</v>
      </c>
      <c r="E162" s="192">
        <v>36000</v>
      </c>
    </row>
    <row r="163" spans="1:5" ht="20.100000000000001" customHeight="1" x14ac:dyDescent="0.2">
      <c r="A163" s="25">
        <v>30</v>
      </c>
      <c r="B163" s="9" t="s">
        <v>332</v>
      </c>
      <c r="C163" s="10" t="s">
        <v>330</v>
      </c>
      <c r="D163" s="13" t="s">
        <v>337</v>
      </c>
      <c r="E163" s="192">
        <v>36000</v>
      </c>
    </row>
    <row r="164" spans="1:5" ht="20.100000000000001" customHeight="1" x14ac:dyDescent="0.2">
      <c r="A164" s="25">
        <v>31</v>
      </c>
      <c r="B164" s="9" t="s">
        <v>333</v>
      </c>
      <c r="C164" s="10" t="s">
        <v>330</v>
      </c>
      <c r="D164" s="13" t="s">
        <v>337</v>
      </c>
      <c r="E164" s="192">
        <v>36000</v>
      </c>
    </row>
    <row r="165" spans="1:5" ht="20.100000000000001" customHeight="1" x14ac:dyDescent="0.2">
      <c r="A165" s="25">
        <v>32</v>
      </c>
      <c r="B165" s="9" t="s">
        <v>334</v>
      </c>
      <c r="C165" s="10" t="s">
        <v>330</v>
      </c>
      <c r="D165" s="13" t="s">
        <v>337</v>
      </c>
      <c r="E165" s="192">
        <v>36000</v>
      </c>
    </row>
    <row r="166" spans="1:5" ht="20.100000000000001" customHeight="1" x14ac:dyDescent="0.2">
      <c r="A166" s="25">
        <v>33</v>
      </c>
      <c r="B166" s="9" t="s">
        <v>335</v>
      </c>
      <c r="C166" s="10" t="s">
        <v>330</v>
      </c>
      <c r="D166" s="13" t="s">
        <v>337</v>
      </c>
      <c r="E166" s="192">
        <v>36000</v>
      </c>
    </row>
    <row r="167" spans="1:5" ht="20.100000000000001" customHeight="1" x14ac:dyDescent="0.2">
      <c r="A167" s="25">
        <v>34</v>
      </c>
      <c r="B167" s="9" t="s">
        <v>336</v>
      </c>
      <c r="C167" s="10" t="s">
        <v>330</v>
      </c>
      <c r="D167" s="13" t="s">
        <v>348</v>
      </c>
      <c r="E167" s="192">
        <v>36000</v>
      </c>
    </row>
    <row r="168" spans="1:5" ht="20.100000000000001" customHeight="1" x14ac:dyDescent="0.2">
      <c r="A168" s="25">
        <v>35</v>
      </c>
      <c r="B168" s="9" t="s">
        <v>338</v>
      </c>
      <c r="C168" s="10" t="s">
        <v>330</v>
      </c>
      <c r="D168" s="13" t="s">
        <v>348</v>
      </c>
      <c r="E168" s="192">
        <v>36000</v>
      </c>
    </row>
    <row r="169" spans="1:5" ht="20.100000000000001" customHeight="1" x14ac:dyDescent="0.2">
      <c r="A169" s="25">
        <v>36</v>
      </c>
      <c r="B169" s="12" t="s">
        <v>339</v>
      </c>
      <c r="C169" s="10" t="s">
        <v>330</v>
      </c>
      <c r="D169" s="13" t="s">
        <v>348</v>
      </c>
      <c r="E169" s="192">
        <v>36000</v>
      </c>
    </row>
    <row r="170" spans="1:5" ht="20.100000000000001" customHeight="1" x14ac:dyDescent="0.2">
      <c r="A170" s="25">
        <v>37</v>
      </c>
      <c r="B170" s="9" t="s">
        <v>340</v>
      </c>
      <c r="C170" s="10" t="s">
        <v>330</v>
      </c>
      <c r="D170" s="13" t="s">
        <v>348</v>
      </c>
      <c r="E170" s="192">
        <v>36000</v>
      </c>
    </row>
    <row r="171" spans="1:5" ht="20.100000000000001" customHeight="1" x14ac:dyDescent="0.2">
      <c r="A171" s="25">
        <v>38</v>
      </c>
      <c r="B171" s="16" t="s">
        <v>341</v>
      </c>
      <c r="C171" s="10" t="s">
        <v>330</v>
      </c>
      <c r="D171" s="13" t="s">
        <v>348</v>
      </c>
      <c r="E171" s="192">
        <v>36000</v>
      </c>
    </row>
    <row r="172" spans="1:5" ht="20.100000000000001" customHeight="1" x14ac:dyDescent="0.2">
      <c r="A172" s="25">
        <v>39</v>
      </c>
      <c r="B172" s="16" t="s">
        <v>342</v>
      </c>
      <c r="C172" s="10" t="s">
        <v>330</v>
      </c>
      <c r="D172" s="13" t="s">
        <v>348</v>
      </c>
      <c r="E172" s="192">
        <v>36000</v>
      </c>
    </row>
    <row r="173" spans="1:5" ht="20.100000000000001" customHeight="1" x14ac:dyDescent="0.2">
      <c r="A173" s="25">
        <v>40</v>
      </c>
      <c r="B173" s="9" t="s">
        <v>343</v>
      </c>
      <c r="C173" s="10" t="s">
        <v>344</v>
      </c>
      <c r="D173" s="13" t="s">
        <v>351</v>
      </c>
      <c r="E173" s="192">
        <v>36000</v>
      </c>
    </row>
    <row r="174" spans="1:5" ht="20.100000000000001" customHeight="1" x14ac:dyDescent="0.2">
      <c r="A174" s="25">
        <v>41</v>
      </c>
      <c r="B174" s="9" t="s">
        <v>346</v>
      </c>
      <c r="C174" s="10" t="s">
        <v>344</v>
      </c>
      <c r="D174" s="13" t="s">
        <v>351</v>
      </c>
      <c r="E174" s="192">
        <v>36000</v>
      </c>
    </row>
    <row r="175" spans="1:5" ht="20.100000000000001" customHeight="1" x14ac:dyDescent="0.2">
      <c r="A175" s="25">
        <v>42</v>
      </c>
      <c r="B175" s="16" t="s">
        <v>347</v>
      </c>
      <c r="C175" s="10" t="s">
        <v>344</v>
      </c>
      <c r="D175" s="13" t="s">
        <v>345</v>
      </c>
      <c r="E175" s="192">
        <v>36000</v>
      </c>
    </row>
    <row r="176" spans="1:5" ht="20.100000000000001" customHeight="1" x14ac:dyDescent="0.2">
      <c r="A176" s="25">
        <v>43</v>
      </c>
      <c r="B176" s="9" t="s">
        <v>349</v>
      </c>
      <c r="C176" s="10" t="s">
        <v>350</v>
      </c>
      <c r="D176" s="13" t="s">
        <v>354</v>
      </c>
      <c r="E176" s="70">
        <v>36000</v>
      </c>
    </row>
    <row r="177" spans="1:5" ht="20.100000000000001" customHeight="1" x14ac:dyDescent="0.2">
      <c r="A177" s="25">
        <v>44</v>
      </c>
      <c r="B177" s="9" t="s">
        <v>352</v>
      </c>
      <c r="C177" s="10" t="s">
        <v>353</v>
      </c>
      <c r="D177" s="13" t="s">
        <v>364</v>
      </c>
      <c r="E177" s="70">
        <v>36000</v>
      </c>
    </row>
    <row r="178" spans="1:5" ht="20.100000000000001" customHeight="1" x14ac:dyDescent="0.2">
      <c r="A178" s="25">
        <v>45</v>
      </c>
      <c r="B178" s="9" t="s">
        <v>355</v>
      </c>
      <c r="C178" s="10" t="s">
        <v>353</v>
      </c>
      <c r="D178" s="13" t="s">
        <v>364</v>
      </c>
      <c r="E178" s="70">
        <v>36000</v>
      </c>
    </row>
    <row r="179" spans="1:5" ht="20.100000000000001" customHeight="1" x14ac:dyDescent="0.2">
      <c r="A179" s="25">
        <v>46</v>
      </c>
      <c r="B179" s="9" t="s">
        <v>356</v>
      </c>
      <c r="C179" s="10" t="s">
        <v>353</v>
      </c>
      <c r="D179" s="13" t="s">
        <v>364</v>
      </c>
      <c r="E179" s="70">
        <v>36000</v>
      </c>
    </row>
    <row r="180" spans="1:5" ht="20.100000000000001" customHeight="1" x14ac:dyDescent="0.2">
      <c r="A180" s="25">
        <v>47</v>
      </c>
      <c r="B180" s="9" t="s">
        <v>357</v>
      </c>
      <c r="C180" s="10" t="s">
        <v>353</v>
      </c>
      <c r="D180" s="13" t="s">
        <v>364</v>
      </c>
      <c r="E180" s="70">
        <v>36000</v>
      </c>
    </row>
    <row r="181" spans="1:5" ht="20.100000000000001" customHeight="1" x14ac:dyDescent="0.2">
      <c r="A181" s="25">
        <v>48</v>
      </c>
      <c r="B181" s="9" t="s">
        <v>358</v>
      </c>
      <c r="C181" s="10" t="s">
        <v>353</v>
      </c>
      <c r="D181" s="13" t="s">
        <v>364</v>
      </c>
      <c r="E181" s="70">
        <v>36000</v>
      </c>
    </row>
    <row r="182" spans="1:5" ht="20.100000000000001" customHeight="1" x14ac:dyDescent="0.2">
      <c r="A182" s="25">
        <v>49</v>
      </c>
      <c r="B182" s="16" t="s">
        <v>359</v>
      </c>
      <c r="C182" s="10" t="s">
        <v>353</v>
      </c>
      <c r="D182" s="13" t="s">
        <v>364</v>
      </c>
      <c r="E182" s="70">
        <v>36000</v>
      </c>
    </row>
    <row r="183" spans="1:5" ht="20.100000000000001" customHeight="1" x14ac:dyDescent="0.2">
      <c r="A183" s="25">
        <v>50</v>
      </c>
      <c r="B183" s="16" t="s">
        <v>360</v>
      </c>
      <c r="C183" s="10" t="s">
        <v>353</v>
      </c>
      <c r="D183" s="13" t="s">
        <v>364</v>
      </c>
      <c r="E183" s="70">
        <v>36000</v>
      </c>
    </row>
    <row r="184" spans="1:5" ht="20.100000000000001" customHeight="1" x14ac:dyDescent="0.2">
      <c r="A184" s="25">
        <v>51</v>
      </c>
      <c r="B184" s="9" t="s">
        <v>493</v>
      </c>
      <c r="C184" s="10" t="s">
        <v>350</v>
      </c>
      <c r="D184" s="13" t="s">
        <v>364</v>
      </c>
      <c r="E184" s="70">
        <v>36000</v>
      </c>
    </row>
    <row r="185" spans="1:5" ht="20.100000000000001" customHeight="1" x14ac:dyDescent="0.2">
      <c r="A185" s="25">
        <v>52</v>
      </c>
      <c r="B185" s="9" t="s">
        <v>361</v>
      </c>
      <c r="C185" s="10" t="s">
        <v>350</v>
      </c>
      <c r="D185" s="13" t="s">
        <v>364</v>
      </c>
      <c r="E185" s="70">
        <v>36000</v>
      </c>
    </row>
    <row r="186" spans="1:5" ht="20.100000000000001" customHeight="1" x14ac:dyDescent="0.2">
      <c r="A186" s="25">
        <v>53</v>
      </c>
      <c r="B186" s="16" t="s">
        <v>362</v>
      </c>
      <c r="C186" s="10" t="s">
        <v>363</v>
      </c>
      <c r="D186" s="13" t="s">
        <v>376</v>
      </c>
      <c r="E186" s="70">
        <v>36000</v>
      </c>
    </row>
    <row r="187" spans="1:5" ht="20.100000000000001" customHeight="1" x14ac:dyDescent="0.2">
      <c r="A187" s="25">
        <v>54</v>
      </c>
      <c r="B187" s="16" t="s">
        <v>367</v>
      </c>
      <c r="C187" s="10" t="s">
        <v>353</v>
      </c>
      <c r="D187" s="13" t="s">
        <v>567</v>
      </c>
      <c r="E187" s="70">
        <v>36000</v>
      </c>
    </row>
    <row r="188" spans="1:5" ht="20.100000000000001" customHeight="1" x14ac:dyDescent="0.2">
      <c r="A188" s="25">
        <v>55</v>
      </c>
      <c r="B188" s="16" t="s">
        <v>369</v>
      </c>
      <c r="C188" s="10" t="s">
        <v>370</v>
      </c>
      <c r="D188" s="13" t="s">
        <v>568</v>
      </c>
      <c r="E188" s="70">
        <v>36000</v>
      </c>
    </row>
    <row r="189" spans="1:5" ht="20.100000000000001" customHeight="1" x14ac:dyDescent="0.2">
      <c r="A189" s="25">
        <v>56</v>
      </c>
      <c r="B189" s="16" t="s">
        <v>372</v>
      </c>
      <c r="C189" s="10" t="s">
        <v>370</v>
      </c>
      <c r="D189" s="13" t="s">
        <v>568</v>
      </c>
      <c r="E189" s="70">
        <v>36000</v>
      </c>
    </row>
    <row r="190" spans="1:5" ht="20.100000000000001" customHeight="1" x14ac:dyDescent="0.2">
      <c r="A190" s="25">
        <v>57</v>
      </c>
      <c r="B190" s="16" t="s">
        <v>373</v>
      </c>
      <c r="C190" s="10" t="s">
        <v>370</v>
      </c>
      <c r="D190" s="13" t="s">
        <v>568</v>
      </c>
      <c r="E190" s="70">
        <v>36000</v>
      </c>
    </row>
    <row r="191" spans="1:5" ht="20.100000000000001" customHeight="1" x14ac:dyDescent="0.2">
      <c r="A191" s="25">
        <v>58</v>
      </c>
      <c r="B191" s="16" t="s">
        <v>374</v>
      </c>
      <c r="C191" s="10" t="s">
        <v>375</v>
      </c>
      <c r="D191" s="13" t="s">
        <v>366</v>
      </c>
      <c r="E191" s="70">
        <v>36000</v>
      </c>
    </row>
    <row r="192" spans="1:5" ht="20.100000000000001" customHeight="1" x14ac:dyDescent="0.2">
      <c r="A192" s="25">
        <v>59</v>
      </c>
      <c r="B192" s="16" t="s">
        <v>377</v>
      </c>
      <c r="C192" s="10" t="s">
        <v>375</v>
      </c>
      <c r="D192" s="13" t="s">
        <v>366</v>
      </c>
      <c r="E192" s="70">
        <v>36000</v>
      </c>
    </row>
    <row r="193" spans="1:5" ht="30.75" customHeight="1" x14ac:dyDescent="0.5">
      <c r="A193" s="25"/>
      <c r="B193" s="6" t="s">
        <v>111</v>
      </c>
      <c r="C193" s="26" t="s">
        <v>569</v>
      </c>
      <c r="D193" s="27"/>
      <c r="E193" s="78">
        <f>SUM(E134:E192)</f>
        <v>3386000</v>
      </c>
    </row>
    <row r="194" spans="1:5" ht="42.75" customHeight="1" x14ac:dyDescent="0.2">
      <c r="A194" s="2"/>
      <c r="B194" s="28" t="s">
        <v>379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 x14ac:dyDescent="0.2">
      <c r="B195" s="31"/>
      <c r="D195" s="32"/>
      <c r="E195" s="32"/>
    </row>
    <row r="196" spans="1:5" ht="36.75" customHeight="1" x14ac:dyDescent="0.2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workbookViewId="0"/>
  </sheetViews>
  <sheetFormatPr defaultColWidth="9.03515625" defaultRowHeight="12.75" x14ac:dyDescent="0.1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198"/>
  <sheetViews>
    <sheetView workbookViewId="0">
      <selection activeCell="F12" sqref="F12"/>
    </sheetView>
  </sheetViews>
  <sheetFormatPr defaultColWidth="9.16796875" defaultRowHeight="18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5" width="20.2265625" style="1" customWidth="1"/>
    <col min="6" max="6" width="17.93359375" style="1" customWidth="1"/>
    <col min="7" max="7" width="18.33984375" style="1" customWidth="1"/>
    <col min="8" max="8" width="18.0703125" style="1" customWidth="1"/>
    <col min="9" max="9" width="17.80078125" style="1" customWidth="1"/>
    <col min="10" max="12" width="19.95703125" style="1" customWidth="1"/>
    <col min="13" max="15" width="19.6875" style="1" customWidth="1"/>
    <col min="16" max="16" width="3.640625" style="1" customWidth="1"/>
    <col min="17" max="17" width="21.7109375" style="1" customWidth="1"/>
    <col min="18" max="16384" width="9.16796875" style="1"/>
  </cols>
  <sheetData>
    <row r="1" spans="1:17" ht="27" customHeight="1" x14ac:dyDescent="0.3">
      <c r="A1" s="967" t="s">
        <v>0</v>
      </c>
      <c r="B1" s="967"/>
      <c r="C1" s="967"/>
      <c r="D1" s="967"/>
      <c r="E1" s="967"/>
      <c r="F1" s="967"/>
      <c r="G1" s="183"/>
      <c r="H1" s="183"/>
      <c r="I1" s="183"/>
      <c r="J1" s="183"/>
      <c r="K1" s="183"/>
      <c r="L1" s="183"/>
    </row>
    <row r="2" spans="1:17" ht="33.75" customHeight="1" x14ac:dyDescent="0.3">
      <c r="A2" s="459" t="s">
        <v>800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  <c r="P2" s="63"/>
    </row>
    <row r="3" spans="1:17" ht="9.75" customHeight="1" x14ac:dyDescent="0.2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748</v>
      </c>
      <c r="F4" s="184" t="s">
        <v>801</v>
      </c>
      <c r="G4" s="184" t="s">
        <v>802</v>
      </c>
      <c r="H4" s="184" t="s">
        <v>803</v>
      </c>
      <c r="I4" s="184" t="s">
        <v>8</v>
      </c>
      <c r="J4" s="462" t="s">
        <v>702</v>
      </c>
      <c r="K4" s="462" t="s">
        <v>804</v>
      </c>
      <c r="L4" s="462" t="s">
        <v>805</v>
      </c>
      <c r="M4" s="463" t="s">
        <v>806</v>
      </c>
      <c r="N4" s="522" t="s">
        <v>807</v>
      </c>
      <c r="O4" s="522" t="s">
        <v>808</v>
      </c>
      <c r="P4" s="523"/>
      <c r="Q4" s="541" t="s">
        <v>809</v>
      </c>
    </row>
    <row r="5" spans="1:17" ht="17.25" customHeight="1" x14ac:dyDescent="0.2">
      <c r="C5" s="6"/>
      <c r="D5" s="6"/>
      <c r="L5" s="330" t="s">
        <v>469</v>
      </c>
      <c r="O5" s="524" t="s">
        <v>470</v>
      </c>
      <c r="P5" s="525"/>
      <c r="Q5" s="330" t="s">
        <v>810</v>
      </c>
    </row>
    <row r="6" spans="1:17" ht="20.100000000000001" customHeight="1" x14ac:dyDescent="0.2">
      <c r="A6" s="7" t="s">
        <v>21</v>
      </c>
      <c r="B6" s="6" t="s">
        <v>22</v>
      </c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  <c r="J6" s="67" t="s">
        <v>20</v>
      </c>
      <c r="K6" s="67" t="s">
        <v>20</v>
      </c>
      <c r="L6" s="67" t="s">
        <v>20</v>
      </c>
      <c r="M6" s="67" t="s">
        <v>20</v>
      </c>
      <c r="N6" s="526" t="s">
        <v>20</v>
      </c>
      <c r="O6" s="526" t="s">
        <v>20</v>
      </c>
      <c r="P6" s="527"/>
      <c r="Q6" s="542" t="s">
        <v>20</v>
      </c>
    </row>
    <row r="7" spans="1:17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528">
        <v>201165.83594666701</v>
      </c>
      <c r="O7" s="529">
        <f>M7-N7</f>
        <v>149018.174784</v>
      </c>
      <c r="P7" s="530"/>
      <c r="Q7" s="543">
        <f>L7-O7</f>
        <v>627118.15221600002</v>
      </c>
    </row>
    <row r="8" spans="1:17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528">
        <v>82627.951418666693</v>
      </c>
      <c r="O8" s="529">
        <f t="shared" ref="O8:O33" si="2">M8-N8</f>
        <v>47984.3114080003</v>
      </c>
      <c r="P8" s="530"/>
      <c r="Q8" s="543">
        <f t="shared" ref="Q8:Q33" si="3">L8-O8</f>
        <v>262923.83050866699</v>
      </c>
    </row>
    <row r="9" spans="1:17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528">
        <v>121027.951418667</v>
      </c>
      <c r="O9" s="529">
        <f t="shared" si="2"/>
        <v>59694.363248000001</v>
      </c>
      <c r="P9" s="530"/>
      <c r="Q9" s="543">
        <f t="shared" si="3"/>
        <v>251213.77866866699</v>
      </c>
    </row>
    <row r="10" spans="1:17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528">
        <v>99703.216202666707</v>
      </c>
      <c r="O10" s="529">
        <f t="shared" si="2"/>
        <v>47984.3114080003</v>
      </c>
      <c r="P10" s="530"/>
      <c r="Q10" s="543">
        <f t="shared" si="3"/>
        <v>262923.83050866699</v>
      </c>
    </row>
    <row r="11" spans="1:17" ht="20.100000000000001" customHeight="1" x14ac:dyDescent="0.2">
      <c r="A11" s="8">
        <v>5</v>
      </c>
      <c r="B11" s="12" t="s">
        <v>271</v>
      </c>
      <c r="C11" s="2" t="s">
        <v>792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528">
        <v>111223.216202667</v>
      </c>
      <c r="O11" s="529">
        <f t="shared" si="2"/>
        <v>47984.311408000001</v>
      </c>
      <c r="P11" s="530"/>
      <c r="Q11" s="543">
        <f t="shared" si="3"/>
        <v>262923.83050866699</v>
      </c>
    </row>
    <row r="12" spans="1:17" ht="20.100000000000001" customHeight="1" x14ac:dyDescent="0.2">
      <c r="A12" s="8">
        <v>6</v>
      </c>
      <c r="B12" s="16" t="s">
        <v>530</v>
      </c>
      <c r="C12" s="8" t="s">
        <v>531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528">
        <v>101827.951418667</v>
      </c>
      <c r="O12" s="529">
        <f t="shared" si="2"/>
        <v>59694.363248000001</v>
      </c>
      <c r="P12" s="530"/>
      <c r="Q12" s="543">
        <f t="shared" si="3"/>
        <v>251213.77866866699</v>
      </c>
    </row>
    <row r="13" spans="1:17" ht="20.100000000000001" customHeight="1" x14ac:dyDescent="0.2">
      <c r="A13" s="8">
        <v>7</v>
      </c>
      <c r="B13" s="9" t="s">
        <v>33</v>
      </c>
      <c r="C13" s="10" t="s">
        <v>532</v>
      </c>
      <c r="D13" s="13" t="s">
        <v>131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528">
        <v>74036.103146666705</v>
      </c>
      <c r="O13" s="529">
        <f t="shared" si="2"/>
        <v>39065.8625600003</v>
      </c>
      <c r="P13" s="530"/>
      <c r="Q13" s="543">
        <f t="shared" si="3"/>
        <v>214056.21827333301</v>
      </c>
    </row>
    <row r="14" spans="1:17" ht="20.100000000000001" customHeight="1" x14ac:dyDescent="0.2">
      <c r="A14" s="8">
        <v>8</v>
      </c>
      <c r="B14" s="9" t="s">
        <v>36</v>
      </c>
      <c r="C14" s="2" t="s">
        <v>37</v>
      </c>
      <c r="D14" s="8" t="s">
        <v>49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528">
        <v>94625.782058666693</v>
      </c>
      <c r="O14" s="529">
        <f t="shared" si="2"/>
        <v>36637.327616000301</v>
      </c>
      <c r="P14" s="530"/>
      <c r="Q14" s="543">
        <f t="shared" si="3"/>
        <v>200751.53371733299</v>
      </c>
    </row>
    <row r="15" spans="1:17" ht="20.100000000000001" customHeight="1" x14ac:dyDescent="0.2">
      <c r="A15" s="8">
        <v>9</v>
      </c>
      <c r="B15" s="9" t="s">
        <v>39</v>
      </c>
      <c r="C15" s="2" t="s">
        <v>40</v>
      </c>
      <c r="D15" s="13" t="s">
        <v>41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528">
        <v>44846.6165886667</v>
      </c>
      <c r="O15" s="529">
        <f t="shared" si="2"/>
        <v>32819.829277999997</v>
      </c>
      <c r="P15" s="530"/>
      <c r="Q15" s="543">
        <f t="shared" si="3"/>
        <v>178220.88547199999</v>
      </c>
    </row>
    <row r="16" spans="1:17" ht="20.100000000000001" customHeight="1" x14ac:dyDescent="0.2">
      <c r="A16" s="8">
        <v>10</v>
      </c>
      <c r="B16" s="12" t="s">
        <v>42</v>
      </c>
      <c r="C16" s="15" t="s">
        <v>156</v>
      </c>
      <c r="D16" s="13" t="s">
        <v>176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528">
        <v>67626.609434666694</v>
      </c>
      <c r="O16" s="529">
        <f t="shared" si="2"/>
        <v>30628.823951999999</v>
      </c>
      <c r="P16" s="530"/>
      <c r="Q16" s="543">
        <f t="shared" si="3"/>
        <v>166536.14079800001</v>
      </c>
    </row>
    <row r="17" spans="1:17" ht="20.100000000000001" customHeight="1" x14ac:dyDescent="0.2">
      <c r="A17" s="8">
        <v>11</v>
      </c>
      <c r="B17" s="9" t="s">
        <v>44</v>
      </c>
      <c r="C17" s="2" t="s">
        <v>45</v>
      </c>
      <c r="D17" s="8" t="s">
        <v>197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528">
        <v>83731.249226666696</v>
      </c>
      <c r="O17" s="529">
        <f t="shared" si="2"/>
        <v>28822.1592000003</v>
      </c>
      <c r="P17" s="530"/>
      <c r="Q17" s="543">
        <f t="shared" si="3"/>
        <v>156712.97330000001</v>
      </c>
    </row>
    <row r="18" spans="1:17" ht="20.100000000000001" customHeight="1" x14ac:dyDescent="0.2">
      <c r="A18" s="8">
        <v>12</v>
      </c>
      <c r="B18" s="9" t="s">
        <v>47</v>
      </c>
      <c r="C18" s="2" t="s">
        <v>533</v>
      </c>
      <c r="D18" s="8" t="s">
        <v>52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528">
        <v>42046.063686666697</v>
      </c>
      <c r="O18" s="529">
        <f t="shared" si="2"/>
        <v>28101.02346</v>
      </c>
      <c r="P18" s="530"/>
      <c r="Q18" s="543">
        <f t="shared" si="3"/>
        <v>157040.815706667</v>
      </c>
    </row>
    <row r="19" spans="1:17" ht="20.100000000000001" customHeight="1" x14ac:dyDescent="0.2">
      <c r="A19" s="8">
        <v>13</v>
      </c>
      <c r="B19" s="9" t="s">
        <v>50</v>
      </c>
      <c r="C19" s="10" t="s">
        <v>51</v>
      </c>
      <c r="D19" s="13" t="s">
        <v>534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528">
        <v>49548.776186666699</v>
      </c>
      <c r="O19" s="529">
        <f t="shared" si="2"/>
        <v>27921.598000000002</v>
      </c>
      <c r="P19" s="530"/>
      <c r="Q19" s="543">
        <f t="shared" si="3"/>
        <v>151816.66491666701</v>
      </c>
    </row>
    <row r="20" spans="1:17" ht="20.100000000000001" customHeight="1" x14ac:dyDescent="0.2">
      <c r="A20" s="8">
        <v>14</v>
      </c>
      <c r="B20" s="16" t="s">
        <v>53</v>
      </c>
      <c r="C20" s="2" t="s">
        <v>793</v>
      </c>
      <c r="D20" s="13" t="s">
        <v>535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528">
        <v>67370.870282666699</v>
      </c>
      <c r="O20" s="529">
        <f t="shared" si="2"/>
        <v>26904.033184</v>
      </c>
      <c r="P20" s="530"/>
      <c r="Q20" s="543">
        <f t="shared" si="3"/>
        <v>147121.82298266701</v>
      </c>
    </row>
    <row r="21" spans="1:17" ht="18.75" customHeight="1" x14ac:dyDescent="0.2">
      <c r="A21" s="8">
        <v>15</v>
      </c>
      <c r="B21" s="9" t="s">
        <v>63</v>
      </c>
      <c r="C21" s="10" t="s">
        <v>64</v>
      </c>
      <c r="D21" s="13" t="s">
        <v>162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528">
        <v>52497.770378666602</v>
      </c>
      <c r="O21" s="529">
        <f t="shared" si="2"/>
        <v>23640.298528000101</v>
      </c>
      <c r="P21" s="530"/>
      <c r="Q21" s="543">
        <f t="shared" si="3"/>
        <v>129717.86963866701</v>
      </c>
    </row>
    <row r="22" spans="1:17" ht="20.100000000000001" customHeight="1" x14ac:dyDescent="0.2">
      <c r="A22" s="8">
        <v>16</v>
      </c>
      <c r="B22" s="12" t="s">
        <v>66</v>
      </c>
      <c r="C22" s="15" t="s">
        <v>794</v>
      </c>
      <c r="D22" s="8" t="s">
        <v>137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528">
        <v>55538.1050666667</v>
      </c>
      <c r="O22" s="529">
        <f t="shared" si="2"/>
        <v>23973.009600000001</v>
      </c>
      <c r="P22" s="530"/>
      <c r="Q22" s="543">
        <f t="shared" si="3"/>
        <v>129167.4154</v>
      </c>
    </row>
    <row r="23" spans="1:17" ht="21.6" customHeight="1" x14ac:dyDescent="0.2">
      <c r="A23" s="8">
        <v>17</v>
      </c>
      <c r="B23" s="9" t="s">
        <v>69</v>
      </c>
      <c r="C23" s="15" t="s">
        <v>70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f>1015372.075-700000</f>
        <v>315372.07500000001</v>
      </c>
      <c r="L23" s="466">
        <f t="shared" si="1"/>
        <v>148140.42499999999</v>
      </c>
      <c r="M23" s="467">
        <v>62231.114666666697</v>
      </c>
      <c r="N23" s="528">
        <v>40149.175266666702</v>
      </c>
      <c r="O23" s="529">
        <f t="shared" si="2"/>
        <v>22081.939399999999</v>
      </c>
      <c r="P23" s="530"/>
      <c r="Q23" s="543">
        <f t="shared" si="3"/>
        <v>126058.4856</v>
      </c>
    </row>
    <row r="24" spans="1:17" ht="20.100000000000001" customHeight="1" x14ac:dyDescent="0.2">
      <c r="A24" s="8">
        <v>18</v>
      </c>
      <c r="B24" s="12" t="s">
        <v>71</v>
      </c>
      <c r="C24" s="15" t="s">
        <v>72</v>
      </c>
      <c r="D24" s="8" t="s">
        <v>73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528">
        <v>42371.815728666697</v>
      </c>
      <c r="O24" s="529">
        <f t="shared" si="2"/>
        <v>18775.611258000001</v>
      </c>
      <c r="P24" s="530"/>
      <c r="Q24" s="543">
        <f t="shared" si="3"/>
        <v>105651.97765866701</v>
      </c>
    </row>
    <row r="25" spans="1:17" ht="18.75" customHeight="1" x14ac:dyDescent="0.2">
      <c r="A25" s="8">
        <v>19</v>
      </c>
      <c r="B25" s="2" t="s">
        <v>77</v>
      </c>
      <c r="C25" s="2" t="s">
        <v>78</v>
      </c>
      <c r="D25" s="8" t="s">
        <v>84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528">
        <v>23036.012346666699</v>
      </c>
      <c r="O25" s="529">
        <f t="shared" si="2"/>
        <v>16016.300719999999</v>
      </c>
      <c r="P25" s="530"/>
      <c r="Q25" s="543">
        <f t="shared" si="3"/>
        <v>100957.355946667</v>
      </c>
    </row>
    <row r="26" spans="1:17" ht="18.75" customHeight="1" x14ac:dyDescent="0.2">
      <c r="A26" s="8">
        <v>20</v>
      </c>
      <c r="B26" s="16" t="s">
        <v>80</v>
      </c>
      <c r="C26" s="10" t="s">
        <v>78</v>
      </c>
      <c r="D26" s="13" t="s">
        <v>84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528">
        <v>23036.012346666699</v>
      </c>
      <c r="O26" s="529">
        <f t="shared" si="2"/>
        <v>16016.300719999999</v>
      </c>
      <c r="P26" s="530"/>
      <c r="Q26" s="543">
        <f t="shared" si="3"/>
        <v>100957.355946667</v>
      </c>
    </row>
    <row r="27" spans="1:17" ht="20.100000000000001" customHeight="1" x14ac:dyDescent="0.2">
      <c r="A27" s="8">
        <v>21</v>
      </c>
      <c r="B27" s="9" t="s">
        <v>81</v>
      </c>
      <c r="C27" s="15" t="s">
        <v>67</v>
      </c>
      <c r="D27" s="8" t="s">
        <v>84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528">
        <v>29756.012346666699</v>
      </c>
      <c r="O27" s="529">
        <f t="shared" si="2"/>
        <v>16016.300719999999</v>
      </c>
      <c r="P27" s="530"/>
      <c r="Q27" s="543">
        <f t="shared" si="3"/>
        <v>100957.355946667</v>
      </c>
    </row>
    <row r="28" spans="1:17" ht="18.75" customHeight="1" x14ac:dyDescent="0.2">
      <c r="A28" s="8">
        <v>22</v>
      </c>
      <c r="B28" s="16" t="s">
        <v>82</v>
      </c>
      <c r="C28" s="10" t="s">
        <v>83</v>
      </c>
      <c r="D28" s="13" t="s">
        <v>87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528">
        <v>22338.4826046667</v>
      </c>
      <c r="O28" s="529">
        <f t="shared" si="2"/>
        <v>15583.017981999999</v>
      </c>
      <c r="P28" s="530"/>
      <c r="Q28" s="543">
        <f t="shared" si="3"/>
        <v>98226.268101333</v>
      </c>
    </row>
    <row r="29" spans="1:17" ht="18.75" customHeight="1" x14ac:dyDescent="0.2">
      <c r="A29" s="8">
        <v>23</v>
      </c>
      <c r="B29" s="16" t="s">
        <v>85</v>
      </c>
      <c r="C29" s="2" t="s">
        <v>86</v>
      </c>
      <c r="D29" s="8" t="s">
        <v>96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528">
        <v>21640.952862666702</v>
      </c>
      <c r="O29" s="529">
        <f t="shared" si="2"/>
        <v>15149.735244</v>
      </c>
      <c r="P29" s="530"/>
      <c r="Q29" s="543">
        <f t="shared" si="3"/>
        <v>95495.180256000007</v>
      </c>
    </row>
    <row r="30" spans="1:17" ht="18.75" customHeight="1" x14ac:dyDescent="0.2">
      <c r="A30" s="8">
        <v>24</v>
      </c>
      <c r="B30" s="16" t="s">
        <v>88</v>
      </c>
      <c r="C30" s="2" t="s">
        <v>86</v>
      </c>
      <c r="D30" s="8" t="s">
        <v>96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528">
        <v>21640.952862666702</v>
      </c>
      <c r="O30" s="529">
        <f t="shared" si="2"/>
        <v>15149.735244</v>
      </c>
      <c r="P30" s="530"/>
      <c r="Q30" s="543">
        <f t="shared" si="3"/>
        <v>95495.180256000007</v>
      </c>
    </row>
    <row r="31" spans="1:17" ht="18.75" customHeight="1" x14ac:dyDescent="0.2">
      <c r="A31" s="8">
        <v>25</v>
      </c>
      <c r="B31" s="16" t="s">
        <v>89</v>
      </c>
      <c r="C31" s="15" t="s">
        <v>90</v>
      </c>
      <c r="D31" s="13" t="s">
        <v>84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531">
        <v>22338.4826046667</v>
      </c>
      <c r="O31" s="529">
        <f t="shared" si="2"/>
        <v>16713.830462000002</v>
      </c>
      <c r="P31" s="530"/>
      <c r="Q31" s="543">
        <f t="shared" si="3"/>
        <v>104411.788954667</v>
      </c>
    </row>
    <row r="32" spans="1:17" ht="18.75" customHeight="1" x14ac:dyDescent="0.2">
      <c r="A32" s="8">
        <v>26</v>
      </c>
      <c r="B32" s="16" t="s">
        <v>92</v>
      </c>
      <c r="C32" s="2" t="s">
        <v>93</v>
      </c>
      <c r="D32" s="8" t="s">
        <v>102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528">
        <v>17572.885002666699</v>
      </c>
      <c r="O32" s="529">
        <f t="shared" si="2"/>
        <v>13640.250704</v>
      </c>
      <c r="P32" s="530"/>
      <c r="Q32" s="543">
        <f t="shared" si="3"/>
        <v>86687.597962667001</v>
      </c>
    </row>
    <row r="33" spans="1:17" ht="18.75" customHeight="1" x14ac:dyDescent="0.2">
      <c r="A33" s="8">
        <v>27</v>
      </c>
      <c r="B33" s="16" t="s">
        <v>100</v>
      </c>
      <c r="C33" s="10" t="s">
        <v>101</v>
      </c>
      <c r="D33" s="13" t="s">
        <v>105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528">
        <v>16512.682190666699</v>
      </c>
      <c r="O33" s="529">
        <f t="shared" si="2"/>
        <v>13746.483436</v>
      </c>
      <c r="P33" s="530"/>
      <c r="Q33" s="543">
        <f t="shared" si="3"/>
        <v>87384.217063999997</v>
      </c>
    </row>
    <row r="34" spans="1:17" ht="26.25" customHeight="1" x14ac:dyDescent="0.2">
      <c r="A34" s="8"/>
      <c r="B34" s="18" t="s">
        <v>111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889763.30677200202</v>
      </c>
      <c r="P34" s="532"/>
      <c r="Q34" s="544">
        <f>SUM(Q7:Q33)</f>
        <v>4651742.304978</v>
      </c>
    </row>
    <row r="35" spans="1:17" ht="18.75" customHeight="1" x14ac:dyDescent="0.2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533"/>
      <c r="O35" s="533"/>
      <c r="P35" s="532"/>
      <c r="Q35" s="545"/>
    </row>
    <row r="36" spans="1:17" ht="18.75" customHeight="1" x14ac:dyDescent="0.2">
      <c r="A36" s="8"/>
      <c r="B36" s="18" t="s">
        <v>112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528"/>
      <c r="O36" s="528"/>
      <c r="P36" s="534"/>
      <c r="Q36" s="546"/>
    </row>
    <row r="37" spans="1:17" ht="18.75" customHeight="1" x14ac:dyDescent="0.2">
      <c r="A37" s="8">
        <v>1</v>
      </c>
      <c r="B37" s="16" t="s">
        <v>113</v>
      </c>
      <c r="C37" s="2" t="s">
        <v>114</v>
      </c>
      <c r="D37" s="8" t="s">
        <v>115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528">
        <v>161106.806858667</v>
      </c>
      <c r="O37" s="529">
        <f>M37-N37</f>
        <v>90365.440608000004</v>
      </c>
      <c r="P37" s="530"/>
      <c r="Q37" s="543">
        <f>L37-O37</f>
        <v>495145.49589199998</v>
      </c>
    </row>
    <row r="38" spans="1:17" ht="18.75" customHeight="1" x14ac:dyDescent="0.2">
      <c r="A38" s="8">
        <v>2</v>
      </c>
      <c r="B38" s="16" t="s">
        <v>116</v>
      </c>
      <c r="C38" s="2" t="s">
        <v>795</v>
      </c>
      <c r="D38" s="8" t="s">
        <v>73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10">E38+F38+G38+H38+I38</f>
        <v>353029.66666666698</v>
      </c>
      <c r="K38" s="466">
        <v>176816.1</v>
      </c>
      <c r="L38" s="466">
        <f t="shared" ref="L38:L39" si="11">J38-K38</f>
        <v>176213.566666667</v>
      </c>
      <c r="M38" s="468">
        <v>42537.331946666702</v>
      </c>
      <c r="N38" s="528">
        <v>17042.713866666702</v>
      </c>
      <c r="O38" s="529">
        <f>M38-N38</f>
        <v>25494.61808</v>
      </c>
      <c r="P38" s="530"/>
      <c r="Q38" s="543">
        <f t="shared" ref="Q38:Q39" si="12">L38-O38</f>
        <v>150718.94858666699</v>
      </c>
    </row>
    <row r="39" spans="1:17" ht="18.75" customHeight="1" x14ac:dyDescent="0.2">
      <c r="A39" s="8">
        <v>3</v>
      </c>
      <c r="B39" s="9" t="s">
        <v>118</v>
      </c>
      <c r="C39" s="10" t="s">
        <v>796</v>
      </c>
      <c r="D39" s="13" t="s">
        <v>76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10"/>
        <v>360965.58333333302</v>
      </c>
      <c r="K39" s="466">
        <v>233169.11749999999</v>
      </c>
      <c r="L39" s="466">
        <f t="shared" si="11"/>
        <v>127796.465833333</v>
      </c>
      <c r="M39" s="468">
        <v>43763.907226666699</v>
      </c>
      <c r="N39" s="528">
        <v>26339.0784066667</v>
      </c>
      <c r="O39" s="529">
        <f>M39-N39</f>
        <v>17424.828819999999</v>
      </c>
      <c r="P39" s="530"/>
      <c r="Q39" s="543">
        <f t="shared" si="12"/>
        <v>110371.63701333301</v>
      </c>
    </row>
    <row r="40" spans="1:17" ht="19.5" customHeight="1" x14ac:dyDescent="0.2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5">
        <v>204488.599132</v>
      </c>
      <c r="O40" s="535">
        <f t="shared" si="13"/>
        <v>133284.88750800001</v>
      </c>
      <c r="P40" s="532"/>
      <c r="Q40" s="544">
        <f>SUM(Q37:Q39)</f>
        <v>756236.08149200003</v>
      </c>
    </row>
    <row r="41" spans="1:17" ht="20.100000000000001" customHeight="1" x14ac:dyDescent="0.2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533"/>
      <c r="O41" s="533"/>
      <c r="P41" s="532"/>
      <c r="Q41" s="545"/>
    </row>
    <row r="42" spans="1:17" ht="20.100000000000001" customHeight="1" x14ac:dyDescent="0.2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528"/>
      <c r="O42" s="528"/>
      <c r="P42" s="534"/>
      <c r="Q42" s="546"/>
    </row>
    <row r="43" spans="1:17" ht="20.100000000000001" customHeight="1" x14ac:dyDescent="0.2">
      <c r="A43" s="8">
        <v>1</v>
      </c>
      <c r="B43" s="9" t="s">
        <v>536</v>
      </c>
      <c r="C43" s="2" t="s">
        <v>537</v>
      </c>
      <c r="D43" s="8" t="s">
        <v>115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528">
        <v>180306.806858667</v>
      </c>
      <c r="O43" s="529">
        <f t="shared" ref="O43:O53" si="14">M43-N43</f>
        <v>90365.440608000004</v>
      </c>
      <c r="P43" s="530"/>
      <c r="Q43" s="543">
        <f>L43-O43</f>
        <v>495145.49589199998</v>
      </c>
    </row>
    <row r="44" spans="1:17" ht="20.100000000000001" customHeight="1" x14ac:dyDescent="0.2">
      <c r="A44" s="8">
        <v>2</v>
      </c>
      <c r="B44" s="9" t="s">
        <v>538</v>
      </c>
      <c r="C44" s="2" t="s">
        <v>43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5">E44+F44+G44+H44+I44</f>
        <v>780675.58333333302</v>
      </c>
      <c r="K44" s="466">
        <v>527553.50249999994</v>
      </c>
      <c r="L44" s="466">
        <f t="shared" ref="L44:L53" si="16">J44-K44</f>
        <v>253122.08083333299</v>
      </c>
      <c r="M44" s="468">
        <v>119022.801706667</v>
      </c>
      <c r="N44" s="528">
        <v>79956.9391466667</v>
      </c>
      <c r="O44" s="529">
        <f t="shared" si="14"/>
        <v>39065.8625600003</v>
      </c>
      <c r="P44" s="530"/>
      <c r="Q44" s="543">
        <f t="shared" ref="Q44:Q53" si="17">L44-O44</f>
        <v>214056.21827333301</v>
      </c>
    </row>
    <row r="45" spans="1:17" ht="20.100000000000001" customHeight="1" x14ac:dyDescent="0.2">
      <c r="A45" s="8">
        <v>3</v>
      </c>
      <c r="B45" s="9" t="s">
        <v>126</v>
      </c>
      <c r="C45" s="2" t="s">
        <v>127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5"/>
        <v>919203.58333333302</v>
      </c>
      <c r="K45" s="466">
        <v>617743.99575</v>
      </c>
      <c r="L45" s="466">
        <f t="shared" si="16"/>
        <v>301459.58758333302</v>
      </c>
      <c r="M45" s="468">
        <v>143799.58762666699</v>
      </c>
      <c r="N45" s="528">
        <v>97273.513850666699</v>
      </c>
      <c r="O45" s="529">
        <f t="shared" si="14"/>
        <v>46526.073776000303</v>
      </c>
      <c r="P45" s="530"/>
      <c r="Q45" s="543">
        <f t="shared" si="17"/>
        <v>254933.51380733299</v>
      </c>
    </row>
    <row r="46" spans="1:17" ht="20.100000000000001" customHeight="1" x14ac:dyDescent="0.2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5"/>
        <v>780675.58333333302</v>
      </c>
      <c r="K46" s="466">
        <v>527553.50249999994</v>
      </c>
      <c r="L46" s="466">
        <f t="shared" si="16"/>
        <v>253122.08083333299</v>
      </c>
      <c r="M46" s="468">
        <v>119022.801706667</v>
      </c>
      <c r="N46" s="528">
        <v>79956.9391466667</v>
      </c>
      <c r="O46" s="529">
        <f t="shared" si="14"/>
        <v>39065.8625600003</v>
      </c>
      <c r="P46" s="530"/>
      <c r="Q46" s="543">
        <f t="shared" si="17"/>
        <v>214056.21827333301</v>
      </c>
    </row>
    <row r="47" spans="1:17" ht="20.100000000000001" customHeight="1" x14ac:dyDescent="0.2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5"/>
        <v>780675.58333333302</v>
      </c>
      <c r="K47" s="466">
        <v>527553.50249999994</v>
      </c>
      <c r="L47" s="466">
        <f t="shared" si="16"/>
        <v>253122.08083333299</v>
      </c>
      <c r="M47" s="468">
        <v>118861.965706667</v>
      </c>
      <c r="N47" s="528">
        <v>79796.103146666603</v>
      </c>
      <c r="O47" s="529">
        <f t="shared" si="14"/>
        <v>39065.862560000402</v>
      </c>
      <c r="P47" s="530"/>
      <c r="Q47" s="543">
        <f t="shared" si="17"/>
        <v>214056.21827333301</v>
      </c>
    </row>
    <row r="48" spans="1:17" ht="20.100000000000001" customHeight="1" x14ac:dyDescent="0.2">
      <c r="A48" s="8">
        <v>6</v>
      </c>
      <c r="B48" s="9" t="s">
        <v>133</v>
      </c>
      <c r="C48" s="2" t="s">
        <v>130</v>
      </c>
      <c r="D48" s="8" t="s">
        <v>49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5"/>
        <v>742118.08333333302</v>
      </c>
      <c r="K48" s="466">
        <v>504720.04700000002</v>
      </c>
      <c r="L48" s="466">
        <f t="shared" si="16"/>
        <v>237398.036333333</v>
      </c>
      <c r="M48" s="468">
        <v>112212.004906667</v>
      </c>
      <c r="N48" s="528">
        <v>75572.915690666705</v>
      </c>
      <c r="O48" s="529">
        <f t="shared" si="14"/>
        <v>36639.089216000299</v>
      </c>
      <c r="P48" s="530"/>
      <c r="Q48" s="543">
        <f t="shared" si="17"/>
        <v>200758.94711733301</v>
      </c>
    </row>
    <row r="49" spans="1:17" ht="20.100000000000001" customHeight="1" x14ac:dyDescent="0.2">
      <c r="A49" s="8">
        <v>7</v>
      </c>
      <c r="B49" s="12" t="s">
        <v>134</v>
      </c>
      <c r="C49" s="2" t="s">
        <v>156</v>
      </c>
      <c r="D49" s="14" t="s">
        <v>176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5"/>
        <v>610498</v>
      </c>
      <c r="K49" s="466">
        <v>413333.03525000002</v>
      </c>
      <c r="L49" s="466">
        <f t="shared" si="16"/>
        <v>197164.96475000001</v>
      </c>
      <c r="M49" s="468">
        <v>88655.4333866667</v>
      </c>
      <c r="N49" s="528">
        <v>58026.609434666701</v>
      </c>
      <c r="O49" s="529">
        <f t="shared" si="14"/>
        <v>30628.823951999999</v>
      </c>
      <c r="P49" s="530"/>
      <c r="Q49" s="543">
        <f t="shared" si="17"/>
        <v>166536.14079800001</v>
      </c>
    </row>
    <row r="50" spans="1:17" ht="20.100000000000001" customHeight="1" x14ac:dyDescent="0.2">
      <c r="A50" s="8">
        <v>8</v>
      </c>
      <c r="B50" s="9" t="s">
        <v>138</v>
      </c>
      <c r="C50" s="2" t="s">
        <v>139</v>
      </c>
      <c r="D50" s="8" t="s">
        <v>76</v>
      </c>
      <c r="E50" s="70">
        <v>300965.58333333302</v>
      </c>
      <c r="F50" s="70"/>
      <c r="G50" s="186">
        <v>100000</v>
      </c>
      <c r="H50" s="186"/>
      <c r="I50" s="70"/>
      <c r="J50" s="466">
        <f t="shared" si="15"/>
        <v>400965.58333333302</v>
      </c>
      <c r="K50" s="466">
        <v>273169.11749999999</v>
      </c>
      <c r="L50" s="466">
        <f t="shared" si="16"/>
        <v>127796.465833333</v>
      </c>
      <c r="M50" s="468">
        <v>51029.227306666697</v>
      </c>
      <c r="N50" s="528">
        <v>33059.078406666697</v>
      </c>
      <c r="O50" s="529">
        <f t="shared" si="14"/>
        <v>17970.1489</v>
      </c>
      <c r="P50" s="530"/>
      <c r="Q50" s="543">
        <f t="shared" si="17"/>
        <v>109826.316933333</v>
      </c>
    </row>
    <row r="51" spans="1:17" ht="20.100000000000001" customHeight="1" x14ac:dyDescent="0.2">
      <c r="A51" s="8">
        <v>9</v>
      </c>
      <c r="B51" s="9" t="s">
        <v>142</v>
      </c>
      <c r="C51" s="2" t="s">
        <v>139</v>
      </c>
      <c r="D51" s="8" t="s">
        <v>87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5"/>
        <v>363165.33333333302</v>
      </c>
      <c r="K51" s="466">
        <v>249356.04725</v>
      </c>
      <c r="L51" s="466">
        <f t="shared" si="16"/>
        <v>113809.28608333301</v>
      </c>
      <c r="M51" s="468">
        <v>44641.500586666698</v>
      </c>
      <c r="N51" s="528">
        <v>29058.4826046667</v>
      </c>
      <c r="O51" s="529">
        <f t="shared" si="14"/>
        <v>15583.017981999999</v>
      </c>
      <c r="P51" s="530"/>
      <c r="Q51" s="543">
        <f t="shared" si="17"/>
        <v>98226.268101333</v>
      </c>
    </row>
    <row r="52" spans="1:17" ht="20.100000000000001" customHeight="1" x14ac:dyDescent="0.2">
      <c r="A52" s="8">
        <v>10</v>
      </c>
      <c r="B52" s="9" t="s">
        <v>539</v>
      </c>
      <c r="C52" s="2" t="s">
        <v>139</v>
      </c>
      <c r="D52" s="8" t="s">
        <v>87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5"/>
        <v>363165.33333333302</v>
      </c>
      <c r="K52" s="466">
        <v>249356.04725</v>
      </c>
      <c r="L52" s="466">
        <f t="shared" si="16"/>
        <v>113809.28608333301</v>
      </c>
      <c r="M52" s="468">
        <v>44641.500586666698</v>
      </c>
      <c r="N52" s="528">
        <v>28360.952862666702</v>
      </c>
      <c r="O52" s="529">
        <f t="shared" si="14"/>
        <v>16280.547724</v>
      </c>
      <c r="P52" s="530"/>
      <c r="Q52" s="543">
        <f t="shared" si="17"/>
        <v>97528.738359333001</v>
      </c>
    </row>
    <row r="53" spans="1:17" ht="20.100000000000001" customHeight="1" x14ac:dyDescent="0.2">
      <c r="A53" s="8">
        <v>11</v>
      </c>
      <c r="B53" s="9" t="s">
        <v>143</v>
      </c>
      <c r="C53" s="2" t="s">
        <v>139</v>
      </c>
      <c r="D53" s="8" t="s">
        <v>87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5"/>
        <v>363165.33333333302</v>
      </c>
      <c r="K53" s="466">
        <v>249356.04725</v>
      </c>
      <c r="L53" s="466">
        <f t="shared" si="16"/>
        <v>113809.28608333301</v>
      </c>
      <c r="M53" s="468">
        <v>44641.500586666698</v>
      </c>
      <c r="N53" s="528">
        <v>29058.4826046667</v>
      </c>
      <c r="O53" s="529">
        <f t="shared" si="14"/>
        <v>15583.017981999999</v>
      </c>
      <c r="P53" s="530"/>
      <c r="Q53" s="543">
        <f t="shared" si="17"/>
        <v>98226.268101333</v>
      </c>
    </row>
    <row r="54" spans="1:17" ht="25.5" customHeight="1" x14ac:dyDescent="0.5">
      <c r="A54" s="8"/>
      <c r="B54" s="18" t="s">
        <v>111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1157200.5715733401</v>
      </c>
      <c r="N54" s="536">
        <v>770426.82375333295</v>
      </c>
      <c r="O54" s="536">
        <f t="shared" si="18"/>
        <v>386773.74782000203</v>
      </c>
      <c r="P54" s="537"/>
      <c r="Q54" s="547">
        <f>SUM(Q43:Q53)</f>
        <v>2163350.34393</v>
      </c>
    </row>
    <row r="55" spans="1:17" ht="20.100000000000001" customHeight="1" x14ac:dyDescent="0.2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538"/>
      <c r="O55" s="538"/>
      <c r="P55" s="539"/>
      <c r="Q55" s="548"/>
    </row>
    <row r="56" spans="1:17" ht="20.100000000000001" customHeight="1" x14ac:dyDescent="0.2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538"/>
      <c r="O56" s="538"/>
      <c r="P56" s="539"/>
      <c r="Q56" s="548"/>
    </row>
    <row r="57" spans="1:17" ht="20.100000000000001" customHeight="1" x14ac:dyDescent="0.2">
      <c r="A57" s="8">
        <v>1</v>
      </c>
      <c r="B57" s="9" t="s">
        <v>540</v>
      </c>
      <c r="C57" s="10" t="s">
        <v>147</v>
      </c>
      <c r="D57" s="13" t="s">
        <v>115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540">
        <v>180306.806858667</v>
      </c>
      <c r="O57" s="529">
        <f>M57-N57</f>
        <v>90365.440608000004</v>
      </c>
      <c r="P57" s="530"/>
      <c r="Q57" s="543">
        <f>L57-O57</f>
        <v>495145.49589199998</v>
      </c>
    </row>
    <row r="58" spans="1:17" ht="20.100000000000001" customHeight="1" x14ac:dyDescent="0.2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540">
        <v>64596.9391466667</v>
      </c>
      <c r="O58" s="529">
        <f>M58-N58</f>
        <v>39065.8625600003</v>
      </c>
      <c r="P58" s="530"/>
      <c r="Q58" s="543">
        <f>L58-O58</f>
        <v>214056.21827333301</v>
      </c>
    </row>
    <row r="59" spans="1:17" ht="20.100000000000001" customHeight="1" x14ac:dyDescent="0.5">
      <c r="A59" s="8"/>
      <c r="B59" s="18" t="s">
        <v>111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374335.04917333397</v>
      </c>
      <c r="N59" s="536">
        <v>244903.746005333</v>
      </c>
      <c r="O59" s="536">
        <f t="shared" si="19"/>
        <v>129431.303168</v>
      </c>
      <c r="P59" s="537"/>
      <c r="Q59" s="547">
        <f>SUM(Q57:Q58)</f>
        <v>709201.71416533296</v>
      </c>
    </row>
    <row r="60" spans="1:17" ht="20.100000000000001" customHeight="1" x14ac:dyDescent="0.2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538"/>
      <c r="O60" s="538"/>
      <c r="P60" s="539"/>
      <c r="Q60" s="548"/>
    </row>
    <row r="61" spans="1:17" ht="20.100000000000001" customHeight="1" x14ac:dyDescent="0.2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538"/>
      <c r="O61" s="538"/>
      <c r="P61" s="539"/>
      <c r="Q61" s="548"/>
    </row>
    <row r="62" spans="1:17" ht="20.100000000000001" customHeight="1" x14ac:dyDescent="0.2">
      <c r="A62" s="8">
        <v>1</v>
      </c>
      <c r="B62" s="9" t="s">
        <v>541</v>
      </c>
      <c r="C62" s="15" t="s">
        <v>542</v>
      </c>
      <c r="D62" s="8" t="s">
        <v>115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528">
        <v>180306.806858667</v>
      </c>
      <c r="O62" s="529">
        <f t="shared" ref="O62:O71" si="20">M62-N62</f>
        <v>112418.099808</v>
      </c>
      <c r="P62" s="530"/>
      <c r="Q62" s="543">
        <f>L62-O62</f>
        <v>473092.83669199998</v>
      </c>
    </row>
    <row r="63" spans="1:17" ht="20.100000000000001" customHeight="1" x14ac:dyDescent="0.2">
      <c r="A63" s="8">
        <v>2</v>
      </c>
      <c r="B63" s="313" t="s">
        <v>543</v>
      </c>
      <c r="C63" s="15" t="s">
        <v>544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21">E63+F63+G63+H63+I63</f>
        <v>761396.83333333302</v>
      </c>
      <c r="K63" s="466">
        <v>516137.05</v>
      </c>
      <c r="L63" s="466">
        <f t="shared" ref="L63:L71" si="22">J63-K63</f>
        <v>245259.78333333301</v>
      </c>
      <c r="M63" s="468">
        <v>115617.40330666699</v>
      </c>
      <c r="N63" s="528">
        <v>77764.980266666695</v>
      </c>
      <c r="O63" s="529">
        <f t="shared" si="20"/>
        <v>37852.4230400003</v>
      </c>
      <c r="P63" s="530"/>
      <c r="Q63" s="543">
        <f t="shared" ref="Q63:Q71" si="23">L63-O63</f>
        <v>207407.36029333301</v>
      </c>
    </row>
    <row r="64" spans="1:17" ht="20.100000000000001" customHeight="1" x14ac:dyDescent="0.2">
      <c r="A64" s="8">
        <v>3</v>
      </c>
      <c r="B64" s="9" t="s">
        <v>155</v>
      </c>
      <c r="C64" s="2" t="s">
        <v>156</v>
      </c>
      <c r="D64" s="8" t="s">
        <v>197</v>
      </c>
      <c r="E64" s="70">
        <v>442746.5</v>
      </c>
      <c r="F64" s="70"/>
      <c r="G64" s="186">
        <v>140000</v>
      </c>
      <c r="H64" s="186"/>
      <c r="I64" s="70"/>
      <c r="J64" s="466">
        <f t="shared" si="21"/>
        <v>582746.5</v>
      </c>
      <c r="K64" s="466">
        <v>397211.36749999999</v>
      </c>
      <c r="L64" s="466">
        <f t="shared" si="22"/>
        <v>185535.13250000001</v>
      </c>
      <c r="M64" s="468">
        <v>83753.408426666603</v>
      </c>
      <c r="N64" s="528">
        <v>54931.249226666703</v>
      </c>
      <c r="O64" s="529">
        <f t="shared" si="20"/>
        <v>28822.1591999999</v>
      </c>
      <c r="P64" s="530"/>
      <c r="Q64" s="543">
        <f t="shared" si="23"/>
        <v>156712.97330000001</v>
      </c>
    </row>
    <row r="65" spans="1:17" ht="20.100000000000001" customHeight="1" x14ac:dyDescent="0.2">
      <c r="A65" s="8">
        <v>4</v>
      </c>
      <c r="B65" s="16" t="s">
        <v>545</v>
      </c>
      <c r="C65" s="15" t="s">
        <v>158</v>
      </c>
      <c r="D65" s="13" t="s">
        <v>534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6">
        <f t="shared" si="21"/>
        <v>548915.91666666698</v>
      </c>
      <c r="K65" s="466">
        <v>369177.65375</v>
      </c>
      <c r="L65" s="466">
        <f t="shared" si="22"/>
        <v>179738.26291666701</v>
      </c>
      <c r="M65" s="468">
        <v>77470.374186666697</v>
      </c>
      <c r="N65" s="528">
        <v>49548.776186666699</v>
      </c>
      <c r="O65" s="529">
        <f t="shared" si="20"/>
        <v>27921.598000000002</v>
      </c>
      <c r="P65" s="530"/>
      <c r="Q65" s="543">
        <f t="shared" si="23"/>
        <v>151816.66491666701</v>
      </c>
    </row>
    <row r="66" spans="1:17" ht="20.100000000000001" customHeight="1" x14ac:dyDescent="0.2">
      <c r="A66" s="8">
        <v>5</v>
      </c>
      <c r="B66" s="12" t="s">
        <v>546</v>
      </c>
      <c r="C66" s="15" t="s">
        <v>156</v>
      </c>
      <c r="D66" s="13" t="s">
        <v>41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21"/>
        <v>624373.75</v>
      </c>
      <c r="K66" s="466">
        <v>421394.00675</v>
      </c>
      <c r="L66" s="466">
        <f t="shared" si="22"/>
        <v>202979.74325</v>
      </c>
      <c r="M66" s="468">
        <v>91106.445866666705</v>
      </c>
      <c r="N66" s="528">
        <v>59574.315962666697</v>
      </c>
      <c r="O66" s="529">
        <f t="shared" si="20"/>
        <v>31532.129904000001</v>
      </c>
      <c r="P66" s="530"/>
      <c r="Q66" s="543">
        <f t="shared" si="23"/>
        <v>171447.613346</v>
      </c>
    </row>
    <row r="67" spans="1:17" ht="20.100000000000001" customHeight="1" x14ac:dyDescent="0.2">
      <c r="A67" s="8">
        <v>7</v>
      </c>
      <c r="B67" s="9" t="s">
        <v>161</v>
      </c>
      <c r="C67" s="2" t="s">
        <v>139</v>
      </c>
      <c r="D67" s="8" t="s">
        <v>68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21"/>
        <v>475703.83333333302</v>
      </c>
      <c r="K67" s="466">
        <v>322454.07400000002</v>
      </c>
      <c r="L67" s="466">
        <f t="shared" si="22"/>
        <v>153249.759333333</v>
      </c>
      <c r="M67" s="468">
        <v>64384.591786666701</v>
      </c>
      <c r="N67" s="528">
        <v>41338.951098666701</v>
      </c>
      <c r="O67" s="529">
        <f t="shared" si="20"/>
        <v>23045.640687999999</v>
      </c>
      <c r="P67" s="530"/>
      <c r="Q67" s="543">
        <f t="shared" si="23"/>
        <v>130204.118645333</v>
      </c>
    </row>
    <row r="68" spans="1:17" ht="20.100000000000001" customHeight="1" x14ac:dyDescent="0.2">
      <c r="A68" s="8">
        <v>8</v>
      </c>
      <c r="B68" s="9" t="s">
        <v>163</v>
      </c>
      <c r="C68" s="15" t="s">
        <v>70</v>
      </c>
      <c r="D68" s="8" t="s">
        <v>68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6">
        <f t="shared" si="21"/>
        <v>475703.83333333302</v>
      </c>
      <c r="K68" s="466">
        <v>322454.07400000002</v>
      </c>
      <c r="L68" s="466">
        <f t="shared" si="22"/>
        <v>153249.759333333</v>
      </c>
      <c r="M68" s="468">
        <v>64384.591786666701</v>
      </c>
      <c r="N68" s="528">
        <v>41338.951098666701</v>
      </c>
      <c r="O68" s="529">
        <f t="shared" si="20"/>
        <v>23045.640687999999</v>
      </c>
      <c r="P68" s="530"/>
      <c r="Q68" s="543">
        <f t="shared" si="23"/>
        <v>130204.118645333</v>
      </c>
    </row>
    <row r="69" spans="1:17" ht="20.100000000000001" customHeight="1" x14ac:dyDescent="0.2">
      <c r="A69" s="8">
        <v>9</v>
      </c>
      <c r="B69" s="9" t="s">
        <v>164</v>
      </c>
      <c r="C69" s="15" t="s">
        <v>70</v>
      </c>
      <c r="D69" s="8" t="s">
        <v>68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6">
        <f t="shared" si="21"/>
        <v>475703.83333333302</v>
      </c>
      <c r="K69" s="466">
        <v>322454.07400000002</v>
      </c>
      <c r="L69" s="466">
        <f t="shared" si="22"/>
        <v>153249.759333333</v>
      </c>
      <c r="M69" s="468">
        <v>64384.591786666701</v>
      </c>
      <c r="N69" s="528">
        <v>41338.951098666701</v>
      </c>
      <c r="O69" s="529">
        <f t="shared" si="20"/>
        <v>23045.640687999999</v>
      </c>
      <c r="P69" s="530"/>
      <c r="Q69" s="543">
        <f t="shared" si="23"/>
        <v>130204.118645333</v>
      </c>
    </row>
    <row r="70" spans="1:17" ht="20.100000000000001" customHeight="1" x14ac:dyDescent="0.2">
      <c r="A70" s="8">
        <v>10</v>
      </c>
      <c r="B70" s="9" t="s">
        <v>165</v>
      </c>
      <c r="C70" s="2" t="s">
        <v>166</v>
      </c>
      <c r="D70" s="8" t="s">
        <v>162</v>
      </c>
      <c r="E70" s="417">
        <v>377895.16666666698</v>
      </c>
      <c r="F70" s="70"/>
      <c r="G70" s="186">
        <f t="shared" si="25"/>
        <v>110000</v>
      </c>
      <c r="H70" s="186"/>
      <c r="I70" s="70"/>
      <c r="J70" s="466">
        <f t="shared" si="21"/>
        <v>487895.16666666698</v>
      </c>
      <c r="K70" s="466">
        <v>334536.99849999999</v>
      </c>
      <c r="L70" s="466">
        <f t="shared" si="22"/>
        <v>153358.16816666699</v>
      </c>
      <c r="M70" s="468">
        <v>66538.068906666696</v>
      </c>
      <c r="N70" s="528">
        <v>43368.882414666703</v>
      </c>
      <c r="O70" s="529">
        <f t="shared" si="20"/>
        <v>23169.186492000001</v>
      </c>
      <c r="P70" s="530"/>
      <c r="Q70" s="543">
        <f t="shared" si="23"/>
        <v>130188.981674667</v>
      </c>
    </row>
    <row r="71" spans="1:17" ht="21.6" customHeight="1" x14ac:dyDescent="0.2">
      <c r="A71" s="8">
        <v>11</v>
      </c>
      <c r="B71" s="9" t="s">
        <v>168</v>
      </c>
      <c r="C71" s="2" t="s">
        <v>139</v>
      </c>
      <c r="D71" s="8" t="s">
        <v>76</v>
      </c>
      <c r="E71" s="186">
        <v>300965.58333333302</v>
      </c>
      <c r="F71" s="70"/>
      <c r="G71" s="186">
        <v>100000</v>
      </c>
      <c r="H71" s="186"/>
      <c r="I71" s="70"/>
      <c r="J71" s="466">
        <f t="shared" si="21"/>
        <v>400965.58333333302</v>
      </c>
      <c r="K71" s="466">
        <v>277734.04700000002</v>
      </c>
      <c r="L71" s="466">
        <f t="shared" si="22"/>
        <v>123231.536333333</v>
      </c>
      <c r="M71" s="468">
        <v>51029.227306666697</v>
      </c>
      <c r="N71" s="528">
        <v>33825.986562666702</v>
      </c>
      <c r="O71" s="529">
        <f t="shared" si="20"/>
        <v>17203.240743999999</v>
      </c>
      <c r="P71" s="530"/>
      <c r="Q71" s="543">
        <f t="shared" si="23"/>
        <v>106028.29558933301</v>
      </c>
    </row>
    <row r="72" spans="1:17" ht="27" customHeight="1" x14ac:dyDescent="0.5">
      <c r="A72" s="8"/>
      <c r="B72" s="18" t="s">
        <v>111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6">
        <v>623337.85077466699</v>
      </c>
      <c r="O72" s="536">
        <f t="shared" si="26"/>
        <v>348055.75925200002</v>
      </c>
      <c r="P72" s="537"/>
      <c r="Q72" s="547">
        <f>SUM(Q62:Q71)</f>
        <v>1787307.0817480001</v>
      </c>
    </row>
    <row r="73" spans="1:17" ht="20.100000000000001" customHeight="1" x14ac:dyDescent="0.2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538"/>
      <c r="O73" s="538"/>
      <c r="P73" s="539"/>
      <c r="Q73" s="548"/>
    </row>
    <row r="74" spans="1:17" ht="20.100000000000001" customHeight="1" x14ac:dyDescent="0.2">
      <c r="A74" s="8"/>
      <c r="B74" s="18" t="s">
        <v>169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538"/>
      <c r="O74" s="538"/>
      <c r="P74" s="539"/>
      <c r="Q74" s="548"/>
    </row>
    <row r="75" spans="1:17" ht="20.100000000000001" customHeight="1" x14ac:dyDescent="0.2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528">
        <v>180306.806858667</v>
      </c>
      <c r="O75" s="529">
        <f t="shared" ref="O75:O81" si="27">M75-N75</f>
        <v>90365.440608000004</v>
      </c>
      <c r="P75" s="530"/>
      <c r="Q75" s="543">
        <f>L75-O75</f>
        <v>495145.49589199998</v>
      </c>
    </row>
    <row r="76" spans="1:17" ht="20.100000000000001" customHeight="1" x14ac:dyDescent="0.2">
      <c r="A76" s="8">
        <v>2</v>
      </c>
      <c r="B76" s="12" t="s">
        <v>547</v>
      </c>
      <c r="C76" s="2" t="s">
        <v>548</v>
      </c>
      <c r="D76" s="13" t="s">
        <v>549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8">E76+F76+G76+H76+I76</f>
        <v>761396.83333333302</v>
      </c>
      <c r="K76" s="466">
        <v>516137.05</v>
      </c>
      <c r="L76" s="466">
        <f t="shared" ref="L76:L81" si="29">J76-K76</f>
        <v>245259.78333333301</v>
      </c>
      <c r="M76" s="468">
        <v>124854.858666667</v>
      </c>
      <c r="N76" s="528">
        <v>77764.980266666695</v>
      </c>
      <c r="O76" s="529">
        <f t="shared" si="27"/>
        <v>47089.8784000003</v>
      </c>
      <c r="P76" s="530"/>
      <c r="Q76" s="543">
        <f t="shared" ref="Q76:Q81" si="30">L76-O76</f>
        <v>198169.90493333299</v>
      </c>
    </row>
    <row r="77" spans="1:17" ht="20.100000000000001" customHeight="1" x14ac:dyDescent="0.2">
      <c r="A77" s="8">
        <v>3</v>
      </c>
      <c r="B77" s="16" t="s">
        <v>550</v>
      </c>
      <c r="C77" s="10" t="s">
        <v>551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8"/>
        <v>700675.58333333302</v>
      </c>
      <c r="K77" s="466">
        <v>447553.5025</v>
      </c>
      <c r="L77" s="466">
        <f t="shared" si="29"/>
        <v>253122.08083333299</v>
      </c>
      <c r="M77" s="468">
        <v>113196.37866666701</v>
      </c>
      <c r="N77" s="528">
        <v>64596.9391466667</v>
      </c>
      <c r="O77" s="529">
        <f t="shared" si="27"/>
        <v>48599.439520000298</v>
      </c>
      <c r="P77" s="530"/>
      <c r="Q77" s="543">
        <f t="shared" si="30"/>
        <v>204522.64131333301</v>
      </c>
    </row>
    <row r="78" spans="1:17" ht="20.100000000000001" customHeight="1" x14ac:dyDescent="0.2">
      <c r="A78" s="8">
        <v>4</v>
      </c>
      <c r="B78" s="9" t="s">
        <v>174</v>
      </c>
      <c r="C78" s="2" t="s">
        <v>175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8"/>
        <v>596622.25</v>
      </c>
      <c r="K78" s="466">
        <v>405272.06374999997</v>
      </c>
      <c r="L78" s="466">
        <f t="shared" si="29"/>
        <v>191350.18625</v>
      </c>
      <c r="M78" s="468">
        <v>86076.104186666693</v>
      </c>
      <c r="N78" s="528">
        <v>56350.586186666696</v>
      </c>
      <c r="O78" s="529">
        <f t="shared" si="27"/>
        <v>29725.518</v>
      </c>
      <c r="P78" s="530"/>
      <c r="Q78" s="543">
        <f t="shared" si="30"/>
        <v>161624.66824999999</v>
      </c>
    </row>
    <row r="79" spans="1:17" ht="20.100000000000001" customHeight="1" x14ac:dyDescent="0.2">
      <c r="A79" s="8">
        <v>5</v>
      </c>
      <c r="B79" s="9" t="s">
        <v>181</v>
      </c>
      <c r="C79" s="2" t="s">
        <v>184</v>
      </c>
      <c r="D79" s="8" t="s">
        <v>119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8"/>
        <v>408901.5</v>
      </c>
      <c r="K79" s="466">
        <v>273169.11749999999</v>
      </c>
      <c r="L79" s="466">
        <f t="shared" si="29"/>
        <v>135732.38250000001</v>
      </c>
      <c r="M79" s="468">
        <v>52431.027626666699</v>
      </c>
      <c r="N79" s="528">
        <v>33059.078406666697</v>
      </c>
      <c r="O79" s="529">
        <f t="shared" si="27"/>
        <v>19371.949219999999</v>
      </c>
      <c r="P79" s="530"/>
      <c r="Q79" s="543">
        <f t="shared" si="30"/>
        <v>116360.43328</v>
      </c>
    </row>
    <row r="80" spans="1:17" ht="20.100000000000001" customHeight="1" x14ac:dyDescent="0.2">
      <c r="A80" s="8">
        <v>6</v>
      </c>
      <c r="B80" s="9" t="s">
        <v>183</v>
      </c>
      <c r="C80" s="2" t="s">
        <v>184</v>
      </c>
      <c r="D80" s="8" t="s">
        <v>87</v>
      </c>
      <c r="E80" s="70">
        <v>263165.33333333302</v>
      </c>
      <c r="F80" s="70"/>
      <c r="G80" s="186">
        <v>100000</v>
      </c>
      <c r="H80" s="186"/>
      <c r="I80" s="70"/>
      <c r="J80" s="466">
        <f t="shared" si="28"/>
        <v>363165.33333333302</v>
      </c>
      <c r="K80" s="466">
        <v>249356.04725</v>
      </c>
      <c r="L80" s="466">
        <f t="shared" si="29"/>
        <v>113809.28608333301</v>
      </c>
      <c r="M80" s="468">
        <v>44641.500586666698</v>
      </c>
      <c r="N80" s="528">
        <v>29058.4826046667</v>
      </c>
      <c r="O80" s="529">
        <f t="shared" si="27"/>
        <v>15583.017981999999</v>
      </c>
      <c r="P80" s="530"/>
      <c r="Q80" s="543">
        <f t="shared" si="30"/>
        <v>98226.268101333</v>
      </c>
    </row>
    <row r="81" spans="1:17" ht="20.100000000000001" customHeight="1" x14ac:dyDescent="0.2">
      <c r="A81" s="8">
        <v>7</v>
      </c>
      <c r="B81" s="9" t="s">
        <v>185</v>
      </c>
      <c r="C81" s="2" t="s">
        <v>186</v>
      </c>
      <c r="D81" s="8" t="s">
        <v>105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8"/>
        <v>324459.75</v>
      </c>
      <c r="K81" s="466">
        <v>223717.28450000001</v>
      </c>
      <c r="L81" s="466">
        <f t="shared" si="29"/>
        <v>100742.46550000001</v>
      </c>
      <c r="M81" s="468">
        <v>38659.165626666698</v>
      </c>
      <c r="N81" s="528">
        <v>24751.170462666701</v>
      </c>
      <c r="O81" s="529">
        <f t="shared" si="27"/>
        <v>13907.995164</v>
      </c>
      <c r="P81" s="530"/>
      <c r="Q81" s="543">
        <f t="shared" si="30"/>
        <v>86834.470335999998</v>
      </c>
    </row>
    <row r="82" spans="1:17" ht="20.100000000000001" customHeight="1" x14ac:dyDescent="0.5">
      <c r="A82" s="8"/>
      <c r="B82" s="18" t="s">
        <v>111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730531.282826668</v>
      </c>
      <c r="N82" s="536">
        <v>465888.043932667</v>
      </c>
      <c r="O82" s="536">
        <f t="shared" si="31"/>
        <v>264643.238894001</v>
      </c>
      <c r="P82" s="537"/>
      <c r="Q82" s="547">
        <f>SUM(Q75:Q81)</f>
        <v>1360883.8821060001</v>
      </c>
    </row>
    <row r="83" spans="1:17" ht="20.100000000000001" customHeight="1" x14ac:dyDescent="0.2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538"/>
      <c r="O83" s="538"/>
      <c r="P83" s="539"/>
      <c r="Q83" s="548"/>
    </row>
    <row r="84" spans="1:17" ht="20.100000000000001" customHeight="1" x14ac:dyDescent="0.2">
      <c r="A84" s="8"/>
      <c r="B84" s="18" t="s">
        <v>187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538"/>
      <c r="O84" s="538"/>
      <c r="P84" s="539"/>
      <c r="Q84" s="548"/>
    </row>
    <row r="85" spans="1:17" ht="20.100000000000001" customHeight="1" x14ac:dyDescent="0.2">
      <c r="A85" s="8">
        <v>1</v>
      </c>
      <c r="B85" s="9" t="s">
        <v>190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528">
        <v>99156.9391466667</v>
      </c>
      <c r="O85" s="529">
        <f t="shared" ref="O85:O94" si="32">M85-N85</f>
        <v>39065.8625600003</v>
      </c>
      <c r="P85" s="530"/>
      <c r="Q85" s="543">
        <f>L85-O85</f>
        <v>214056.21827333301</v>
      </c>
    </row>
    <row r="86" spans="1:17" ht="20.100000000000001" customHeight="1" x14ac:dyDescent="0.2">
      <c r="A86" s="8">
        <v>2</v>
      </c>
      <c r="B86" s="9" t="s">
        <v>188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33">E86+F86+G86+H86+I86</f>
        <v>780675.58333333302</v>
      </c>
      <c r="K86" s="466">
        <v>527553.50249999994</v>
      </c>
      <c r="L86" s="466">
        <f t="shared" ref="L86:L94" si="34">J86-K86</f>
        <v>253122.08083333299</v>
      </c>
      <c r="M86" s="468">
        <v>118861.965706667</v>
      </c>
      <c r="N86" s="528">
        <v>79796.103146666603</v>
      </c>
      <c r="O86" s="529">
        <f t="shared" si="32"/>
        <v>39065.862560000402</v>
      </c>
      <c r="P86" s="530"/>
      <c r="Q86" s="543">
        <f t="shared" ref="Q86:Q94" si="35">L86-O86</f>
        <v>214056.21827333301</v>
      </c>
    </row>
    <row r="87" spans="1:17" ht="20.100000000000001" customHeight="1" x14ac:dyDescent="0.2">
      <c r="A87" s="8">
        <v>3</v>
      </c>
      <c r="B87" s="9" t="s">
        <v>193</v>
      </c>
      <c r="C87" s="2" t="s">
        <v>130</v>
      </c>
      <c r="D87" s="8" t="s">
        <v>49</v>
      </c>
      <c r="E87" s="70">
        <v>582118.08333333302</v>
      </c>
      <c r="F87" s="70"/>
      <c r="G87" s="186">
        <v>160000</v>
      </c>
      <c r="H87" s="186"/>
      <c r="I87" s="70"/>
      <c r="J87" s="466">
        <f t="shared" si="33"/>
        <v>742118.08333333302</v>
      </c>
      <c r="K87" s="466">
        <v>504729.22200000001</v>
      </c>
      <c r="L87" s="466">
        <f t="shared" si="34"/>
        <v>237388.86133333301</v>
      </c>
      <c r="M87" s="468">
        <v>112212.004906667</v>
      </c>
      <c r="N87" s="528">
        <v>75574.677290666703</v>
      </c>
      <c r="O87" s="529">
        <f t="shared" si="32"/>
        <v>36637.327616000301</v>
      </c>
      <c r="P87" s="530"/>
      <c r="Q87" s="543">
        <f t="shared" si="35"/>
        <v>200751.53371733299</v>
      </c>
    </row>
    <row r="88" spans="1:17" ht="21.6" customHeight="1" x14ac:dyDescent="0.2">
      <c r="A88" s="8">
        <v>4</v>
      </c>
      <c r="B88" s="9" t="s">
        <v>194</v>
      </c>
      <c r="C88" s="2" t="s">
        <v>552</v>
      </c>
      <c r="D88" s="13" t="s">
        <v>52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33"/>
        <v>561804.91666666698</v>
      </c>
      <c r="K88" s="466">
        <v>376663.07750000001</v>
      </c>
      <c r="L88" s="466">
        <f t="shared" si="34"/>
        <v>185141.83916666699</v>
      </c>
      <c r="M88" s="468">
        <v>79747.087146666701</v>
      </c>
      <c r="N88" s="528">
        <v>50985.977546666698</v>
      </c>
      <c r="O88" s="529">
        <f t="shared" si="32"/>
        <v>28761.1096</v>
      </c>
      <c r="P88" s="530"/>
      <c r="Q88" s="543">
        <f t="shared" si="35"/>
        <v>156380.729566667</v>
      </c>
    </row>
    <row r="89" spans="1:17" ht="21.6" customHeight="1" x14ac:dyDescent="0.2">
      <c r="A89" s="8">
        <v>5</v>
      </c>
      <c r="B89" s="9" t="s">
        <v>195</v>
      </c>
      <c r="C89" s="10" t="s">
        <v>158</v>
      </c>
      <c r="D89" s="13" t="s">
        <v>534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6">
        <f t="shared" si="33"/>
        <v>548915.91666666698</v>
      </c>
      <c r="K89" s="466">
        <v>369177.65375</v>
      </c>
      <c r="L89" s="466">
        <f t="shared" si="34"/>
        <v>179738.26291666701</v>
      </c>
      <c r="M89" s="468">
        <v>77470.374186666697</v>
      </c>
      <c r="N89" s="528">
        <v>49548.776186666699</v>
      </c>
      <c r="O89" s="529">
        <f t="shared" si="32"/>
        <v>27921.598000000002</v>
      </c>
      <c r="P89" s="530"/>
      <c r="Q89" s="543">
        <f t="shared" si="35"/>
        <v>151816.66491666701</v>
      </c>
    </row>
    <row r="90" spans="1:17" ht="21.6" customHeight="1" x14ac:dyDescent="0.2">
      <c r="A90" s="8">
        <v>6</v>
      </c>
      <c r="B90" s="9" t="s">
        <v>196</v>
      </c>
      <c r="C90" s="10" t="s">
        <v>156</v>
      </c>
      <c r="D90" s="13" t="s">
        <v>229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33"/>
        <v>568870.75</v>
      </c>
      <c r="K90" s="466">
        <v>389153.05674999999</v>
      </c>
      <c r="L90" s="466">
        <f t="shared" si="34"/>
        <v>179717.69325000001</v>
      </c>
      <c r="M90" s="468">
        <v>81302.3959466667</v>
      </c>
      <c r="N90" s="528">
        <v>53384.053562666697</v>
      </c>
      <c r="O90" s="529">
        <f t="shared" si="32"/>
        <v>27918.342384</v>
      </c>
      <c r="P90" s="530"/>
      <c r="Q90" s="543">
        <f t="shared" si="35"/>
        <v>151799.35086599999</v>
      </c>
    </row>
    <row r="91" spans="1:17" ht="21.6" customHeight="1" x14ac:dyDescent="0.2">
      <c r="A91" s="8">
        <v>7</v>
      </c>
      <c r="B91" s="9" t="s">
        <v>198</v>
      </c>
      <c r="C91" s="15" t="s">
        <v>70</v>
      </c>
      <c r="D91" s="13" t="s">
        <v>68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6">
        <f t="shared" si="33"/>
        <v>475703.83333333302</v>
      </c>
      <c r="K91" s="466">
        <v>322454.07400000002</v>
      </c>
      <c r="L91" s="466">
        <f t="shared" si="34"/>
        <v>153249.759333333</v>
      </c>
      <c r="M91" s="468">
        <v>64384.591786666701</v>
      </c>
      <c r="N91" s="528">
        <v>41338.951098666701</v>
      </c>
      <c r="O91" s="529">
        <f t="shared" si="32"/>
        <v>23045.640687999999</v>
      </c>
      <c r="P91" s="530"/>
      <c r="Q91" s="543">
        <f t="shared" si="35"/>
        <v>130204.118645333</v>
      </c>
    </row>
    <row r="92" spans="1:17" ht="21.6" customHeight="1" x14ac:dyDescent="0.2">
      <c r="A92" s="8">
        <v>8</v>
      </c>
      <c r="B92" s="9" t="s">
        <v>199</v>
      </c>
      <c r="C92" s="15" t="s">
        <v>158</v>
      </c>
      <c r="D92" s="13" t="s">
        <v>159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33"/>
        <v>510248.91666666698</v>
      </c>
      <c r="K92" s="466">
        <v>346713.03324999998</v>
      </c>
      <c r="L92" s="466">
        <f t="shared" si="34"/>
        <v>163535.883416667</v>
      </c>
      <c r="M92" s="468">
        <v>70529.475354666705</v>
      </c>
      <c r="N92" s="528">
        <v>45317.541294666698</v>
      </c>
      <c r="O92" s="529">
        <f t="shared" si="32"/>
        <v>25211.93406</v>
      </c>
      <c r="P92" s="530"/>
      <c r="Q92" s="543">
        <f t="shared" si="35"/>
        <v>138323.949356667</v>
      </c>
    </row>
    <row r="93" spans="1:17" ht="21.6" customHeight="1" x14ac:dyDescent="0.2">
      <c r="A93" s="8">
        <v>9</v>
      </c>
      <c r="B93" s="9" t="s">
        <v>202</v>
      </c>
      <c r="C93" s="2" t="s">
        <v>203</v>
      </c>
      <c r="D93" s="8" t="s">
        <v>76</v>
      </c>
      <c r="E93" s="186">
        <v>300965.58333333302</v>
      </c>
      <c r="F93" s="70"/>
      <c r="G93" s="186">
        <v>100000</v>
      </c>
      <c r="H93" s="186"/>
      <c r="I93" s="70"/>
      <c r="J93" s="466">
        <f t="shared" si="33"/>
        <v>400965.58333333302</v>
      </c>
      <c r="K93" s="466">
        <v>277734.04700000002</v>
      </c>
      <c r="L93" s="466">
        <f t="shared" si="34"/>
        <v>123231.536333333</v>
      </c>
      <c r="M93" s="468">
        <v>51029.227306666697</v>
      </c>
      <c r="N93" s="528">
        <v>33825.986562666702</v>
      </c>
      <c r="O93" s="529">
        <f t="shared" si="32"/>
        <v>17203.240743999999</v>
      </c>
      <c r="P93" s="530"/>
      <c r="Q93" s="543">
        <f t="shared" si="35"/>
        <v>106028.29558933301</v>
      </c>
    </row>
    <row r="94" spans="1:17" ht="21.6" customHeight="1" x14ac:dyDescent="0.2">
      <c r="A94" s="8">
        <v>10</v>
      </c>
      <c r="B94" s="9" t="s">
        <v>204</v>
      </c>
      <c r="C94" s="15" t="s">
        <v>205</v>
      </c>
      <c r="D94" s="13" t="s">
        <v>102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6">
        <f t="shared" si="33"/>
        <v>330631.91666666698</v>
      </c>
      <c r="K94" s="466">
        <v>254870.26344499999</v>
      </c>
      <c r="L94" s="466">
        <f t="shared" si="34"/>
        <v>75761.653221667002</v>
      </c>
      <c r="M94" s="468">
        <v>39613.135706666697</v>
      </c>
      <c r="N94" s="528">
        <v>29984.870925426701</v>
      </c>
      <c r="O94" s="529">
        <f t="shared" si="32"/>
        <v>9628.2647812399991</v>
      </c>
      <c r="P94" s="530"/>
      <c r="Q94" s="556">
        <f t="shared" si="35"/>
        <v>66133.388440427007</v>
      </c>
    </row>
    <row r="95" spans="1:17" ht="20.100000000000001" customHeight="1" x14ac:dyDescent="0.5">
      <c r="A95" s="8"/>
      <c r="B95" s="18" t="s">
        <v>111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833373.05975466804</v>
      </c>
      <c r="N95" s="536">
        <v>558913.87676142703</v>
      </c>
      <c r="O95" s="536">
        <f t="shared" si="39"/>
        <v>274459.182993241</v>
      </c>
      <c r="P95" s="537"/>
      <c r="Q95" s="547">
        <f>SUM(Q85:Q94)</f>
        <v>1529550.4676450901</v>
      </c>
    </row>
    <row r="96" spans="1:17" ht="20.100000000000001" customHeight="1" x14ac:dyDescent="0.2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538"/>
      <c r="O96" s="538"/>
      <c r="P96" s="539"/>
      <c r="Q96" s="548"/>
    </row>
    <row r="97" spans="1:17" ht="20.100000000000001" customHeight="1" x14ac:dyDescent="0.2">
      <c r="A97" s="8"/>
      <c r="B97" s="18" t="s">
        <v>207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538"/>
      <c r="O97" s="538"/>
      <c r="P97" s="539"/>
      <c r="Q97" s="548"/>
    </row>
    <row r="98" spans="1:17" ht="20.100000000000001" customHeight="1" x14ac:dyDescent="0.2">
      <c r="A98" s="8">
        <v>1</v>
      </c>
      <c r="B98" s="12" t="s">
        <v>208</v>
      </c>
      <c r="C98" s="2" t="s">
        <v>209</v>
      </c>
      <c r="D98" s="14" t="s">
        <v>154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68">
        <v>130407.52761066701</v>
      </c>
      <c r="N98" s="528">
        <v>82423.216202666707</v>
      </c>
      <c r="O98" s="529">
        <f>M98-N98</f>
        <v>47984.3114080003</v>
      </c>
      <c r="P98" s="530"/>
      <c r="Q98" s="543">
        <f>L98-O98</f>
        <v>262923.83050866699</v>
      </c>
    </row>
    <row r="99" spans="1:17" ht="20.100000000000001" customHeight="1" x14ac:dyDescent="0.2">
      <c r="A99" s="8">
        <v>2</v>
      </c>
      <c r="B99" s="9" t="s">
        <v>211</v>
      </c>
      <c r="C99" s="2" t="s">
        <v>212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40">E99+F99+G99+H99+I99</f>
        <v>526622.25</v>
      </c>
      <c r="K99" s="466">
        <v>335272.06374999997</v>
      </c>
      <c r="L99" s="466">
        <f t="shared" ref="L99:L101" si="41">J99-K99</f>
        <v>191350.18625</v>
      </c>
      <c r="M99" s="468">
        <v>72764.420906666695</v>
      </c>
      <c r="N99" s="528">
        <v>43492.373376666699</v>
      </c>
      <c r="O99" s="529">
        <f>M99-N99</f>
        <v>29272.04753</v>
      </c>
      <c r="P99" s="530"/>
      <c r="Q99" s="543">
        <f t="shared" ref="Q99:Q101" si="42">L99-O99</f>
        <v>162078.13871999999</v>
      </c>
    </row>
    <row r="100" spans="1:17" ht="20.100000000000001" customHeight="1" x14ac:dyDescent="0.2">
      <c r="A100" s="8">
        <v>3</v>
      </c>
      <c r="B100" s="9" t="s">
        <v>217</v>
      </c>
      <c r="C100" s="2" t="s">
        <v>218</v>
      </c>
      <c r="D100" s="13" t="s">
        <v>162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40"/>
        <v>437895.16666666698</v>
      </c>
      <c r="K100" s="466">
        <v>284536.99849999999</v>
      </c>
      <c r="L100" s="466">
        <f t="shared" si="41"/>
        <v>153358.16816666699</v>
      </c>
      <c r="M100" s="468">
        <v>56938.068906666696</v>
      </c>
      <c r="N100" s="528">
        <v>34968.882414666703</v>
      </c>
      <c r="O100" s="529">
        <f>M100-N100</f>
        <v>21969.186492000001</v>
      </c>
      <c r="P100" s="530"/>
      <c r="Q100" s="543">
        <f t="shared" si="42"/>
        <v>131388.98167466701</v>
      </c>
    </row>
    <row r="101" spans="1:17" ht="20.100000000000001" customHeight="1" x14ac:dyDescent="0.2">
      <c r="A101" s="8">
        <v>4</v>
      </c>
      <c r="B101" s="9" t="s">
        <v>219</v>
      </c>
      <c r="C101" s="2" t="s">
        <v>220</v>
      </c>
      <c r="D101" s="13" t="s">
        <v>76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40"/>
        <v>360965.58333333302</v>
      </c>
      <c r="K101" s="466">
        <v>237734.04699999999</v>
      </c>
      <c r="L101" s="466">
        <f t="shared" si="41"/>
        <v>123231.536333333</v>
      </c>
      <c r="M101" s="468">
        <v>43763.907226666699</v>
      </c>
      <c r="N101" s="528">
        <v>27105.986562666702</v>
      </c>
      <c r="O101" s="529">
        <f>M101-N101</f>
        <v>16657.920664000001</v>
      </c>
      <c r="P101" s="530"/>
      <c r="Q101" s="543">
        <f t="shared" si="42"/>
        <v>106573.615669333</v>
      </c>
    </row>
    <row r="102" spans="1:17" ht="20.100000000000001" customHeight="1" x14ac:dyDescent="0.5">
      <c r="A102" s="2"/>
      <c r="B102" s="18" t="s">
        <v>111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6">
        <v>187990.458556667</v>
      </c>
      <c r="O102" s="536">
        <f t="shared" si="43"/>
        <v>115883.466094</v>
      </c>
      <c r="P102" s="537"/>
      <c r="Q102" s="547">
        <f>SUM(Q98:Q101)</f>
        <v>662964.56657266698</v>
      </c>
    </row>
    <row r="103" spans="1:17" ht="20.100000000000001" customHeight="1" x14ac:dyDescent="0.2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538"/>
      <c r="O103" s="538"/>
      <c r="P103" s="539"/>
      <c r="Q103" s="548"/>
    </row>
    <row r="104" spans="1:17" ht="20.100000000000001" customHeight="1" x14ac:dyDescent="0.2">
      <c r="A104" s="2"/>
      <c r="B104" s="18" t="s">
        <v>221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549"/>
      <c r="O104" s="549"/>
      <c r="P104" s="550"/>
      <c r="Q104" s="557"/>
    </row>
    <row r="105" spans="1:17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528">
        <v>180306.806858667</v>
      </c>
      <c r="O105" s="529">
        <f t="shared" ref="O105:O111" si="44">M105-N105</f>
        <v>90365.440608000004</v>
      </c>
      <c r="P105" s="530"/>
      <c r="Q105" s="543">
        <f>L105-O105</f>
        <v>495145.49589199998</v>
      </c>
    </row>
    <row r="106" spans="1:17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45">E106+F106+G106+H106+I106</f>
        <v>942373.16666666698</v>
      </c>
      <c r="K106" s="466">
        <v>631465.02474999998</v>
      </c>
      <c r="L106" s="466">
        <f t="shared" ref="L106:L111" si="46">J106-K106</f>
        <v>310908.14191666699</v>
      </c>
      <c r="M106" s="468">
        <v>147687.52761066699</v>
      </c>
      <c r="N106" s="528">
        <v>99703.216202666707</v>
      </c>
      <c r="O106" s="529">
        <f t="shared" si="44"/>
        <v>47984.3114080003</v>
      </c>
      <c r="P106" s="530"/>
      <c r="Q106" s="543">
        <f t="shared" ref="Q106:Q111" si="47">L106-O106</f>
        <v>262923.83050866699</v>
      </c>
    </row>
    <row r="107" spans="1:17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45"/>
        <v>603237.85519166698</v>
      </c>
      <c r="K107" s="466">
        <v>418096.01602500002</v>
      </c>
      <c r="L107" s="466">
        <f t="shared" si="46"/>
        <v>185141.83916666699</v>
      </c>
      <c r="M107" s="468">
        <v>87575.782703466699</v>
      </c>
      <c r="N107" s="528">
        <v>58814.673103466703</v>
      </c>
      <c r="O107" s="529">
        <f t="shared" si="44"/>
        <v>28761.1096</v>
      </c>
      <c r="P107" s="530"/>
      <c r="Q107" s="543">
        <f t="shared" si="47"/>
        <v>156380.729566667</v>
      </c>
    </row>
    <row r="108" spans="1:17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52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45"/>
        <v>601625.033321667</v>
      </c>
      <c r="K108" s="466">
        <v>416483.19415499998</v>
      </c>
      <c r="L108" s="466">
        <f t="shared" si="46"/>
        <v>185141.83916666699</v>
      </c>
      <c r="M108" s="468">
        <v>87392.5495444267</v>
      </c>
      <c r="N108" s="528">
        <v>58631.439944426696</v>
      </c>
      <c r="O108" s="529">
        <f t="shared" si="44"/>
        <v>28761.1096</v>
      </c>
      <c r="P108" s="530"/>
      <c r="Q108" s="543">
        <f t="shared" si="47"/>
        <v>156380.729566667</v>
      </c>
    </row>
    <row r="109" spans="1:17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553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45"/>
        <v>374481.86414666701</v>
      </c>
      <c r="K109" s="466">
        <v>266099.21747999999</v>
      </c>
      <c r="L109" s="466">
        <f t="shared" si="46"/>
        <v>108382.646666667</v>
      </c>
      <c r="M109" s="468">
        <v>46740.264902826697</v>
      </c>
      <c r="N109" s="528">
        <v>31871.335203306699</v>
      </c>
      <c r="O109" s="529">
        <f t="shared" si="44"/>
        <v>14868.92969952</v>
      </c>
      <c r="P109" s="530"/>
      <c r="Q109" s="543">
        <f t="shared" si="47"/>
        <v>93513.716967147004</v>
      </c>
    </row>
    <row r="110" spans="1:17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554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45"/>
        <v>367926.02100000001</v>
      </c>
      <c r="K110" s="466">
        <v>262229.04100000003</v>
      </c>
      <c r="L110" s="466">
        <f t="shared" si="46"/>
        <v>105696.98</v>
      </c>
      <c r="M110" s="468">
        <v>45712.637394666701</v>
      </c>
      <c r="N110" s="528">
        <v>31221.145554666698</v>
      </c>
      <c r="O110" s="529">
        <f t="shared" si="44"/>
        <v>14491.491840000001</v>
      </c>
      <c r="P110" s="530"/>
      <c r="Q110" s="543">
        <f t="shared" si="47"/>
        <v>91205.488159999994</v>
      </c>
    </row>
    <row r="111" spans="1:17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102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6">
        <f t="shared" si="45"/>
        <v>355198.112111667</v>
      </c>
      <c r="K111" s="466">
        <v>254870.26344499999</v>
      </c>
      <c r="L111" s="466">
        <f t="shared" si="46"/>
        <v>100327.84866666701</v>
      </c>
      <c r="M111" s="468">
        <v>43740.256541426701</v>
      </c>
      <c r="N111" s="528">
        <v>29984.870925426701</v>
      </c>
      <c r="O111" s="529">
        <f t="shared" si="44"/>
        <v>13755.385616</v>
      </c>
      <c r="P111" s="530"/>
      <c r="Q111" s="543">
        <f t="shared" si="47"/>
        <v>86572.463050666993</v>
      </c>
    </row>
    <row r="112" spans="1:17" ht="25.5" customHeight="1" x14ac:dyDescent="0.5">
      <c r="A112" s="2"/>
      <c r="B112" s="18" t="s">
        <v>111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4880562.0524383401</v>
      </c>
      <c r="K112" s="189">
        <v>3299451.820355</v>
      </c>
      <c r="L112" s="189">
        <f t="shared" si="49"/>
        <v>1581110.2320833399</v>
      </c>
      <c r="M112" s="189">
        <f t="shared" si="49"/>
        <v>729521.26616414799</v>
      </c>
      <c r="N112" s="551">
        <v>490533.48779262701</v>
      </c>
      <c r="O112" s="551">
        <f t="shared" si="49"/>
        <v>238987.77837151999</v>
      </c>
      <c r="P112" s="552"/>
      <c r="Q112" s="558">
        <f>SUM(Q105:Q111)</f>
        <v>1342122.4537118101</v>
      </c>
    </row>
    <row r="113" spans="1:17" ht="20.100000000000001" customHeight="1" x14ac:dyDescent="0.5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553"/>
      <c r="O113" s="553"/>
      <c r="P113" s="552"/>
      <c r="Q113" s="559"/>
    </row>
    <row r="114" spans="1:17" ht="20.100000000000001" customHeight="1" x14ac:dyDescent="0.2">
      <c r="A114" s="8"/>
      <c r="B114" s="18" t="s">
        <v>235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538"/>
      <c r="O114" s="538"/>
      <c r="P114" s="539"/>
      <c r="Q114" s="548"/>
    </row>
    <row r="115" spans="1:17" ht="20.100000000000001" customHeight="1" x14ac:dyDescent="0.2">
      <c r="A115" s="8">
        <v>1</v>
      </c>
      <c r="B115" s="12" t="s">
        <v>152</v>
      </c>
      <c r="C115" s="2" t="s">
        <v>130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528">
        <v>77610.116906666706</v>
      </c>
      <c r="O115" s="529">
        <f>M115-N115</f>
        <v>37852.4230400003</v>
      </c>
      <c r="P115" s="530"/>
      <c r="Q115" s="543">
        <f>L115-O115</f>
        <v>207407.36029333301</v>
      </c>
    </row>
    <row r="116" spans="1:17" ht="18.75" customHeight="1" x14ac:dyDescent="0.2">
      <c r="A116" s="8">
        <v>2</v>
      </c>
      <c r="B116" s="9" t="s">
        <v>236</v>
      </c>
      <c r="C116" s="2" t="s">
        <v>237</v>
      </c>
      <c r="D116" s="13" t="s">
        <v>162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50">E116+F116+G116+H116+I116</f>
        <v>487895.16666666698</v>
      </c>
      <c r="K116" s="466">
        <v>334536.99849999999</v>
      </c>
      <c r="L116" s="466">
        <f t="shared" ref="L116:L117" si="51">J116-K116</f>
        <v>153358.16816666699</v>
      </c>
      <c r="M116" s="468">
        <v>66538.068906666696</v>
      </c>
      <c r="N116" s="528">
        <v>43368.882414666703</v>
      </c>
      <c r="O116" s="529">
        <f>M116-N116</f>
        <v>23169.186492000001</v>
      </c>
      <c r="P116" s="530"/>
      <c r="Q116" s="543">
        <f t="shared" ref="Q116:Q117" si="52">L116-O116</f>
        <v>130188.981674667</v>
      </c>
    </row>
    <row r="117" spans="1:17" ht="20.100000000000001" customHeight="1" x14ac:dyDescent="0.2">
      <c r="A117" s="8">
        <v>3</v>
      </c>
      <c r="B117" s="9" t="s">
        <v>177</v>
      </c>
      <c r="C117" s="10" t="s">
        <v>555</v>
      </c>
      <c r="D117" s="13" t="s">
        <v>65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50"/>
        <v>450086.5</v>
      </c>
      <c r="K117" s="466">
        <v>286619.99875000003</v>
      </c>
      <c r="L117" s="466">
        <f t="shared" si="51"/>
        <v>163466.50125</v>
      </c>
      <c r="M117" s="468">
        <v>58980.834746666696</v>
      </c>
      <c r="N117" s="528">
        <v>35221.954086666701</v>
      </c>
      <c r="O117" s="529">
        <f>M117-N117</f>
        <v>23758.880659999999</v>
      </c>
      <c r="P117" s="530"/>
      <c r="Q117" s="543">
        <f t="shared" si="52"/>
        <v>139707.62059000001</v>
      </c>
    </row>
    <row r="118" spans="1:17" ht="24.75" customHeight="1" x14ac:dyDescent="0.5">
      <c r="A118" s="2"/>
      <c r="B118" s="18" t="s">
        <v>111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6">
        <v>156200.953408</v>
      </c>
      <c r="O118" s="536">
        <f t="shared" si="53"/>
        <v>84780.490192000303</v>
      </c>
      <c r="P118" s="537"/>
      <c r="Q118" s="547">
        <f>SUM(Q115:Q117)</f>
        <v>477303.962558</v>
      </c>
    </row>
    <row r="119" spans="1:17" ht="20.100000000000001" customHeight="1" x14ac:dyDescent="0.2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554"/>
      <c r="O119" s="554"/>
      <c r="P119" s="555"/>
      <c r="Q119" s="560"/>
    </row>
    <row r="120" spans="1:17" ht="20.100000000000001" customHeight="1" x14ac:dyDescent="0.2">
      <c r="A120" s="2"/>
      <c r="B120" s="18" t="s">
        <v>250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538"/>
      <c r="O120" s="538"/>
      <c r="P120" s="539"/>
      <c r="Q120" s="548"/>
    </row>
    <row r="121" spans="1:17" ht="20.100000000000001" customHeight="1" x14ac:dyDescent="0.2">
      <c r="A121" s="2">
        <v>1</v>
      </c>
      <c r="B121" s="9" t="s">
        <v>251</v>
      </c>
      <c r="C121" s="10" t="s">
        <v>252</v>
      </c>
      <c r="D121" s="13" t="s">
        <v>115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528">
        <v>179914.45476266701</v>
      </c>
      <c r="O121" s="529">
        <f t="shared" ref="O121:O130" si="54">M121-N121</f>
        <v>90365.440608000004</v>
      </c>
      <c r="P121" s="530"/>
      <c r="Q121" s="543">
        <f>L121-O121</f>
        <v>495145.49589199998</v>
      </c>
    </row>
    <row r="122" spans="1:17" ht="20.100000000000001" customHeight="1" x14ac:dyDescent="0.2">
      <c r="A122" s="2">
        <v>2</v>
      </c>
      <c r="B122" s="9" t="s">
        <v>253</v>
      </c>
      <c r="C122" s="10" t="s">
        <v>254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55">E122+F122+G122+H122+I122</f>
        <v>929203.58333333302</v>
      </c>
      <c r="K122" s="466">
        <v>627743.99575</v>
      </c>
      <c r="L122" s="466">
        <f t="shared" ref="L122:L130" si="56">J122-K122</f>
        <v>301459.58758333302</v>
      </c>
      <c r="M122" s="468">
        <v>145522.03071466699</v>
      </c>
      <c r="N122" s="528">
        <v>98995.956938666699</v>
      </c>
      <c r="O122" s="529">
        <f t="shared" si="54"/>
        <v>46526.073776000303</v>
      </c>
      <c r="P122" s="530"/>
      <c r="Q122" s="543">
        <f t="shared" ref="Q122:Q130" si="57">L122-O122</f>
        <v>254933.51380733299</v>
      </c>
    </row>
    <row r="123" spans="1:17" ht="20.100000000000001" customHeight="1" x14ac:dyDescent="0.2">
      <c r="A123" s="2">
        <v>3</v>
      </c>
      <c r="B123" s="12" t="s">
        <v>255</v>
      </c>
      <c r="C123" s="10" t="s">
        <v>256</v>
      </c>
      <c r="D123" s="13" t="s">
        <v>131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6">
        <f t="shared" si="55"/>
        <v>830675.58333333302</v>
      </c>
      <c r="K123" s="466">
        <v>577553.50249999994</v>
      </c>
      <c r="L123" s="466">
        <f t="shared" si="56"/>
        <v>253122.08083333299</v>
      </c>
      <c r="M123" s="468">
        <v>128461.965706667</v>
      </c>
      <c r="N123" s="528">
        <v>89396.103146666603</v>
      </c>
      <c r="O123" s="529">
        <f t="shared" si="54"/>
        <v>39065.862560000402</v>
      </c>
      <c r="P123" s="530"/>
      <c r="Q123" s="543">
        <f t="shared" si="57"/>
        <v>214056.21827333301</v>
      </c>
    </row>
    <row r="124" spans="1:17" ht="20.100000000000001" customHeight="1" x14ac:dyDescent="0.2">
      <c r="A124" s="2">
        <v>4</v>
      </c>
      <c r="B124" s="12" t="s">
        <v>556</v>
      </c>
      <c r="C124" s="10" t="s">
        <v>256</v>
      </c>
      <c r="D124" s="13" t="s">
        <v>49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6">
        <f t="shared" si="55"/>
        <v>662118.08333333302</v>
      </c>
      <c r="K124" s="466">
        <v>424729.22200000001</v>
      </c>
      <c r="L124" s="466">
        <f t="shared" si="56"/>
        <v>237388.86133333301</v>
      </c>
      <c r="M124" s="468">
        <v>105793.338666667</v>
      </c>
      <c r="N124" s="528">
        <v>60214.677290666703</v>
      </c>
      <c r="O124" s="529">
        <f t="shared" si="54"/>
        <v>45578.661376000302</v>
      </c>
      <c r="P124" s="530"/>
      <c r="Q124" s="543">
        <f t="shared" si="57"/>
        <v>191810.19995733301</v>
      </c>
    </row>
    <row r="125" spans="1:17" ht="20.100000000000001" customHeight="1" x14ac:dyDescent="0.2">
      <c r="A125" s="2">
        <v>5</v>
      </c>
      <c r="B125" s="9" t="s">
        <v>257</v>
      </c>
      <c r="C125" s="10" t="s">
        <v>258</v>
      </c>
      <c r="D125" s="13" t="s">
        <v>176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55"/>
        <v>540498</v>
      </c>
      <c r="K125" s="466">
        <v>343333.03525000002</v>
      </c>
      <c r="L125" s="466">
        <f t="shared" si="56"/>
        <v>197164.96475000001</v>
      </c>
      <c r="M125" s="468">
        <v>75215.4333866667</v>
      </c>
      <c r="N125" s="528">
        <v>44846.6165886667</v>
      </c>
      <c r="O125" s="529">
        <f t="shared" si="54"/>
        <v>30368.816798</v>
      </c>
      <c r="P125" s="530"/>
      <c r="Q125" s="543">
        <f t="shared" si="57"/>
        <v>166796.147952</v>
      </c>
    </row>
    <row r="126" spans="1:17" ht="20.100000000000001" customHeight="1" x14ac:dyDescent="0.2">
      <c r="A126" s="2">
        <v>6</v>
      </c>
      <c r="B126" s="9" t="s">
        <v>259</v>
      </c>
      <c r="C126" s="10" t="s">
        <v>489</v>
      </c>
      <c r="D126" s="13" t="s">
        <v>197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6">
        <f t="shared" si="55"/>
        <v>512746.5</v>
      </c>
      <c r="K126" s="466">
        <v>327211.36749999999</v>
      </c>
      <c r="L126" s="466">
        <f t="shared" si="56"/>
        <v>185535.13250000001</v>
      </c>
      <c r="M126" s="468">
        <v>70189.308746666706</v>
      </c>
      <c r="N126" s="528">
        <v>42029.589186666701</v>
      </c>
      <c r="O126" s="529">
        <f t="shared" si="54"/>
        <v>28159.719560000001</v>
      </c>
      <c r="P126" s="530"/>
      <c r="Q126" s="543">
        <f t="shared" si="57"/>
        <v>157375.41294000001</v>
      </c>
    </row>
    <row r="127" spans="1:17" ht="20.100000000000001" customHeight="1" x14ac:dyDescent="0.2">
      <c r="A127" s="2">
        <v>7</v>
      </c>
      <c r="B127" s="9" t="s">
        <v>260</v>
      </c>
      <c r="C127" s="10" t="s">
        <v>258</v>
      </c>
      <c r="D127" s="13" t="s">
        <v>46</v>
      </c>
      <c r="E127" s="70">
        <v>456622.25</v>
      </c>
      <c r="F127" s="70"/>
      <c r="G127" s="186"/>
      <c r="H127" s="186">
        <f t="shared" si="58"/>
        <v>70000</v>
      </c>
      <c r="I127" s="70"/>
      <c r="J127" s="466">
        <f t="shared" si="55"/>
        <v>526622.25</v>
      </c>
      <c r="K127" s="466">
        <v>335272.06374999997</v>
      </c>
      <c r="L127" s="466">
        <f t="shared" si="56"/>
        <v>191350.18625</v>
      </c>
      <c r="M127" s="468">
        <v>72636.104186666693</v>
      </c>
      <c r="N127" s="528">
        <v>43380.096246666697</v>
      </c>
      <c r="O127" s="529">
        <f t="shared" si="54"/>
        <v>29256.00794</v>
      </c>
      <c r="P127" s="530"/>
      <c r="Q127" s="543">
        <f t="shared" si="57"/>
        <v>162094.17830999999</v>
      </c>
    </row>
    <row r="128" spans="1:17" ht="20.100000000000001" customHeight="1" x14ac:dyDescent="0.2">
      <c r="A128" s="2">
        <v>8</v>
      </c>
      <c r="B128" s="9" t="s">
        <v>263</v>
      </c>
      <c r="C128" s="10" t="s">
        <v>264</v>
      </c>
      <c r="D128" s="8" t="s">
        <v>84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55"/>
        <v>330481.66666666698</v>
      </c>
      <c r="K128" s="466">
        <v>213508.01</v>
      </c>
      <c r="L128" s="466">
        <f t="shared" si="56"/>
        <v>116973.656666667</v>
      </c>
      <c r="M128" s="468">
        <v>39052.313066666698</v>
      </c>
      <c r="N128" s="528">
        <v>23036.012346666699</v>
      </c>
      <c r="O128" s="529">
        <f t="shared" si="54"/>
        <v>16016.300719999999</v>
      </c>
      <c r="P128" s="530"/>
      <c r="Q128" s="543">
        <f t="shared" si="57"/>
        <v>100957.355946667</v>
      </c>
    </row>
    <row r="129" spans="1:17" ht="20.100000000000001" customHeight="1" x14ac:dyDescent="0.2">
      <c r="A129" s="2">
        <v>9</v>
      </c>
      <c r="B129" s="16" t="s">
        <v>265</v>
      </c>
      <c r="C129" s="10" t="s">
        <v>266</v>
      </c>
      <c r="D129" s="13" t="s">
        <v>105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55"/>
        <v>274459.75</v>
      </c>
      <c r="K129" s="466">
        <v>176816.1</v>
      </c>
      <c r="L129" s="466">
        <f t="shared" si="56"/>
        <v>97643.65</v>
      </c>
      <c r="M129" s="468">
        <v>30259.165626666701</v>
      </c>
      <c r="N129" s="528">
        <v>17042.713866666702</v>
      </c>
      <c r="O129" s="529">
        <f t="shared" si="54"/>
        <v>13216.45176</v>
      </c>
      <c r="P129" s="530"/>
      <c r="Q129" s="543">
        <f t="shared" si="57"/>
        <v>84427.198239999998</v>
      </c>
    </row>
    <row r="130" spans="1:17" ht="20.100000000000001" customHeight="1" x14ac:dyDescent="0.2">
      <c r="A130" s="2">
        <v>10</v>
      </c>
      <c r="B130" s="16" t="s">
        <v>267</v>
      </c>
      <c r="C130" s="10" t="s">
        <v>262</v>
      </c>
      <c r="D130" s="13" t="s">
        <v>105</v>
      </c>
      <c r="E130" s="70">
        <v>224459.75</v>
      </c>
      <c r="F130" s="70"/>
      <c r="G130" s="186"/>
      <c r="H130" s="186">
        <v>50000</v>
      </c>
      <c r="I130" s="70"/>
      <c r="J130" s="466">
        <f t="shared" si="55"/>
        <v>274459.75</v>
      </c>
      <c r="K130" s="466">
        <v>176816.1</v>
      </c>
      <c r="L130" s="466">
        <f t="shared" si="56"/>
        <v>97643.65</v>
      </c>
      <c r="M130" s="468">
        <v>30259.165626666701</v>
      </c>
      <c r="N130" s="528">
        <v>17042.713866666702</v>
      </c>
      <c r="O130" s="529">
        <f t="shared" si="54"/>
        <v>13216.45176</v>
      </c>
      <c r="P130" s="530"/>
      <c r="Q130" s="543">
        <f t="shared" si="57"/>
        <v>84427.198239999998</v>
      </c>
    </row>
    <row r="131" spans="1:17" ht="28.5" customHeight="1" x14ac:dyDescent="0.2">
      <c r="A131" s="2"/>
      <c r="B131" s="18" t="s">
        <v>111</v>
      </c>
      <c r="C131" s="24" t="s">
        <v>490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967668.72109866794</v>
      </c>
      <c r="N131" s="561">
        <v>615898.93424066703</v>
      </c>
      <c r="O131" s="561">
        <f t="shared" si="59"/>
        <v>351769.78685800103</v>
      </c>
      <c r="P131" s="539"/>
      <c r="Q131" s="562">
        <f>SUM(Q121:Q130)</f>
        <v>1912022.9195586699</v>
      </c>
    </row>
    <row r="132" spans="1:17" ht="20.100000000000001" customHeight="1" x14ac:dyDescent="0.2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538"/>
      <c r="O132" s="538"/>
      <c r="P132" s="539"/>
      <c r="Q132" s="548"/>
    </row>
    <row r="133" spans="1:17" ht="20.100000000000001" customHeight="1" x14ac:dyDescent="0.2">
      <c r="A133" s="2"/>
      <c r="B133" s="18" t="s">
        <v>270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528"/>
      <c r="O133" s="528"/>
      <c r="P133" s="534"/>
      <c r="Q133" s="546"/>
    </row>
    <row r="134" spans="1:17" ht="20.100000000000001" customHeight="1" x14ac:dyDescent="0.2">
      <c r="A134" s="25">
        <v>1</v>
      </c>
      <c r="B134" s="9" t="s">
        <v>557</v>
      </c>
      <c r="C134" s="10" t="s">
        <v>558</v>
      </c>
      <c r="D134" s="13" t="s">
        <v>115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528">
        <v>161106.806858667</v>
      </c>
      <c r="O134" s="529">
        <f t="shared" ref="O134:O192" si="60">M134-N134</f>
        <v>90365.440608000004</v>
      </c>
      <c r="P134" s="530"/>
      <c r="Q134" s="543">
        <f>L134-O134</f>
        <v>495145.49589199998</v>
      </c>
    </row>
    <row r="135" spans="1:17" ht="20.100000000000001" customHeight="1" x14ac:dyDescent="0.2">
      <c r="A135" s="25">
        <v>2</v>
      </c>
      <c r="B135" s="9" t="s">
        <v>559</v>
      </c>
      <c r="C135" s="10" t="s">
        <v>560</v>
      </c>
      <c r="D135" s="13" t="s">
        <v>154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61">E135+F135+G135+H135+I135</f>
        <v>852373.16666666698</v>
      </c>
      <c r="K135" s="466">
        <v>541465.02474999998</v>
      </c>
      <c r="L135" s="466">
        <f t="shared" ref="L135:L192" si="62">J135-K135</f>
        <v>310908.14191666699</v>
      </c>
      <c r="M135" s="468">
        <v>142322.31466666699</v>
      </c>
      <c r="N135" s="528">
        <v>82627.951418666693</v>
      </c>
      <c r="O135" s="529">
        <f t="shared" si="60"/>
        <v>59694.3632480003</v>
      </c>
      <c r="P135" s="530"/>
      <c r="Q135" s="543">
        <f t="shared" ref="Q135:Q192" si="63">L135-O135</f>
        <v>251213.77866866699</v>
      </c>
    </row>
    <row r="136" spans="1:17" ht="20.100000000000001" customHeight="1" x14ac:dyDescent="0.2">
      <c r="A136" s="25">
        <v>3</v>
      </c>
      <c r="B136" s="12" t="s">
        <v>274</v>
      </c>
      <c r="C136" s="2" t="s">
        <v>275</v>
      </c>
      <c r="D136" s="14" t="s">
        <v>154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61"/>
        <v>902373.16666666698</v>
      </c>
      <c r="K136" s="466">
        <v>591465.02474999998</v>
      </c>
      <c r="L136" s="466">
        <f t="shared" si="62"/>
        <v>310908.14191666699</v>
      </c>
      <c r="M136" s="468">
        <v>140007.52761066699</v>
      </c>
      <c r="N136" s="528">
        <v>92023.216202666707</v>
      </c>
      <c r="O136" s="529">
        <f t="shared" si="60"/>
        <v>47984.3114080003</v>
      </c>
      <c r="P136" s="530"/>
      <c r="Q136" s="543">
        <f t="shared" si="63"/>
        <v>262923.83050866699</v>
      </c>
    </row>
    <row r="137" spans="1:17" ht="20.100000000000001" customHeight="1" x14ac:dyDescent="0.2">
      <c r="A137" s="25">
        <v>4</v>
      </c>
      <c r="B137" s="9" t="s">
        <v>276</v>
      </c>
      <c r="C137" s="10" t="s">
        <v>561</v>
      </c>
      <c r="D137" s="13" t="s">
        <v>41</v>
      </c>
      <c r="E137" s="70">
        <v>484373.75</v>
      </c>
      <c r="F137" s="70"/>
      <c r="G137" s="186"/>
      <c r="H137" s="186">
        <v>70000</v>
      </c>
      <c r="I137" s="70"/>
      <c r="J137" s="466">
        <f t="shared" si="61"/>
        <v>554373.75</v>
      </c>
      <c r="K137" s="466">
        <v>351394.00675</v>
      </c>
      <c r="L137" s="466">
        <f t="shared" si="62"/>
        <v>202979.74325</v>
      </c>
      <c r="M137" s="468">
        <v>77529.694778666701</v>
      </c>
      <c r="N137" s="528">
        <v>46081.202598666699</v>
      </c>
      <c r="O137" s="529">
        <f t="shared" si="60"/>
        <v>31448.492180000001</v>
      </c>
      <c r="P137" s="530"/>
      <c r="Q137" s="543">
        <f t="shared" si="63"/>
        <v>171531.25107</v>
      </c>
    </row>
    <row r="138" spans="1:17" ht="20.100000000000001" customHeight="1" x14ac:dyDescent="0.2">
      <c r="A138" s="25">
        <v>5</v>
      </c>
      <c r="B138" s="9" t="s">
        <v>278</v>
      </c>
      <c r="C138" s="2" t="s">
        <v>562</v>
      </c>
      <c r="D138" s="13" t="s">
        <v>41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61"/>
        <v>554373.75</v>
      </c>
      <c r="K138" s="466">
        <v>351394.00675</v>
      </c>
      <c r="L138" s="466">
        <f t="shared" si="62"/>
        <v>202979.74325</v>
      </c>
      <c r="M138" s="468">
        <v>77529.694778666701</v>
      </c>
      <c r="N138" s="528">
        <v>46081.202598666699</v>
      </c>
      <c r="O138" s="529">
        <f t="shared" si="60"/>
        <v>31448.492180000001</v>
      </c>
      <c r="P138" s="530"/>
      <c r="Q138" s="543">
        <f t="shared" si="63"/>
        <v>171531.25107</v>
      </c>
    </row>
    <row r="139" spans="1:17" ht="20.100000000000001" customHeight="1" x14ac:dyDescent="0.2">
      <c r="A139" s="25">
        <v>6</v>
      </c>
      <c r="B139" s="9" t="s">
        <v>280</v>
      </c>
      <c r="C139" s="2" t="s">
        <v>562</v>
      </c>
      <c r="D139" s="13" t="s">
        <v>41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61"/>
        <v>554373.75</v>
      </c>
      <c r="K139" s="466">
        <v>351394.00675</v>
      </c>
      <c r="L139" s="466">
        <f t="shared" si="62"/>
        <v>202979.74325</v>
      </c>
      <c r="M139" s="468">
        <v>77529.694778666701</v>
      </c>
      <c r="N139" s="528">
        <v>46081.202598666699</v>
      </c>
      <c r="O139" s="529">
        <f t="shared" si="60"/>
        <v>31448.492180000001</v>
      </c>
      <c r="P139" s="530"/>
      <c r="Q139" s="543">
        <f t="shared" si="63"/>
        <v>171531.25107</v>
      </c>
    </row>
    <row r="140" spans="1:17" ht="20.100000000000001" customHeight="1" x14ac:dyDescent="0.2">
      <c r="A140" s="25">
        <v>7</v>
      </c>
      <c r="B140" s="9" t="s">
        <v>213</v>
      </c>
      <c r="C140" s="10" t="s">
        <v>563</v>
      </c>
      <c r="D140" s="13" t="s">
        <v>65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6">
        <f t="shared" si="61"/>
        <v>450086.5</v>
      </c>
      <c r="K140" s="466">
        <v>286619.99875000003</v>
      </c>
      <c r="L140" s="466">
        <f t="shared" si="62"/>
        <v>163466.50125</v>
      </c>
      <c r="M140" s="468">
        <v>58980.834746666696</v>
      </c>
      <c r="N140" s="528">
        <v>35221.954086666701</v>
      </c>
      <c r="O140" s="529">
        <f t="shared" si="60"/>
        <v>23758.880659999999</v>
      </c>
      <c r="P140" s="530"/>
      <c r="Q140" s="543">
        <f t="shared" si="63"/>
        <v>139707.62059000001</v>
      </c>
    </row>
    <row r="141" spans="1:17" ht="20.100000000000001" customHeight="1" x14ac:dyDescent="0.2">
      <c r="A141" s="25">
        <v>8</v>
      </c>
      <c r="B141" s="9" t="s">
        <v>281</v>
      </c>
      <c r="C141" s="10" t="s">
        <v>563</v>
      </c>
      <c r="D141" s="13" t="s">
        <v>65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6">
        <f t="shared" si="61"/>
        <v>450086.5</v>
      </c>
      <c r="K141" s="466">
        <v>286619.99875000003</v>
      </c>
      <c r="L141" s="466">
        <f t="shared" si="62"/>
        <v>163466.50125</v>
      </c>
      <c r="M141" s="468">
        <v>59091.5460266667</v>
      </c>
      <c r="N141" s="528">
        <v>35318.826456666699</v>
      </c>
      <c r="O141" s="529">
        <f t="shared" si="60"/>
        <v>23772.719570000001</v>
      </c>
      <c r="P141" s="530"/>
      <c r="Q141" s="543">
        <f t="shared" si="63"/>
        <v>139693.78167999999</v>
      </c>
    </row>
    <row r="142" spans="1:17" ht="20.100000000000001" customHeight="1" x14ac:dyDescent="0.2">
      <c r="A142" s="25">
        <v>9</v>
      </c>
      <c r="B142" s="9" t="s">
        <v>282</v>
      </c>
      <c r="C142" s="2" t="s">
        <v>564</v>
      </c>
      <c r="D142" s="13" t="s">
        <v>65</v>
      </c>
      <c r="E142" s="70">
        <v>390086.5</v>
      </c>
      <c r="F142" s="70"/>
      <c r="G142" s="186"/>
      <c r="H142" s="186">
        <f t="shared" si="64"/>
        <v>60000</v>
      </c>
      <c r="I142" s="70"/>
      <c r="J142" s="466">
        <f t="shared" si="61"/>
        <v>450086.5</v>
      </c>
      <c r="K142" s="466">
        <v>286619.99875000003</v>
      </c>
      <c r="L142" s="466">
        <f t="shared" si="62"/>
        <v>163466.50125</v>
      </c>
      <c r="M142" s="468">
        <v>59091.5460266667</v>
      </c>
      <c r="N142" s="528">
        <v>35318.826456666699</v>
      </c>
      <c r="O142" s="529">
        <f t="shared" si="60"/>
        <v>23772.719570000001</v>
      </c>
      <c r="P142" s="530"/>
      <c r="Q142" s="543">
        <f t="shared" si="63"/>
        <v>139693.78167999999</v>
      </c>
    </row>
    <row r="143" spans="1:17" ht="20.100000000000001" customHeight="1" x14ac:dyDescent="0.2">
      <c r="A143" s="25">
        <v>10</v>
      </c>
      <c r="B143" s="9" t="s">
        <v>284</v>
      </c>
      <c r="C143" s="10" t="s">
        <v>285</v>
      </c>
      <c r="D143" s="13" t="s">
        <v>162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6">
        <f t="shared" si="61"/>
        <v>437895.16666666698</v>
      </c>
      <c r="K143" s="466">
        <v>284536.99849999999</v>
      </c>
      <c r="L143" s="466">
        <f t="shared" si="62"/>
        <v>153358.16816666699</v>
      </c>
      <c r="M143" s="468">
        <v>56938.068906666696</v>
      </c>
      <c r="N143" s="528">
        <v>34968.882414666703</v>
      </c>
      <c r="O143" s="529">
        <f t="shared" si="60"/>
        <v>21969.186492000001</v>
      </c>
      <c r="P143" s="530"/>
      <c r="Q143" s="543">
        <f t="shared" si="63"/>
        <v>131388.98167466701</v>
      </c>
    </row>
    <row r="144" spans="1:17" ht="20.100000000000001" customHeight="1" x14ac:dyDescent="0.2">
      <c r="A144" s="25">
        <v>11</v>
      </c>
      <c r="B144" s="9" t="s">
        <v>286</v>
      </c>
      <c r="C144" s="10" t="s">
        <v>287</v>
      </c>
      <c r="D144" s="13" t="s">
        <v>68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6">
        <f t="shared" si="61"/>
        <v>425703.83333333302</v>
      </c>
      <c r="K144" s="466">
        <v>272454.07400000002</v>
      </c>
      <c r="L144" s="466">
        <f t="shared" si="62"/>
        <v>153249.759333333</v>
      </c>
      <c r="M144" s="468">
        <v>54681.291562666702</v>
      </c>
      <c r="N144" s="528">
        <v>32848.563402666703</v>
      </c>
      <c r="O144" s="529">
        <f t="shared" si="60"/>
        <v>21832.728159999999</v>
      </c>
      <c r="P144" s="530"/>
      <c r="Q144" s="543">
        <f t="shared" si="63"/>
        <v>131417.031173333</v>
      </c>
    </row>
    <row r="145" spans="1:17" ht="20.100000000000001" customHeight="1" x14ac:dyDescent="0.2">
      <c r="A145" s="25">
        <v>12</v>
      </c>
      <c r="B145" s="9" t="s">
        <v>60</v>
      </c>
      <c r="C145" s="10" t="s">
        <v>565</v>
      </c>
      <c r="D145" s="13" t="s">
        <v>65</v>
      </c>
      <c r="E145" s="70">
        <v>390086.5</v>
      </c>
      <c r="F145" s="70"/>
      <c r="G145" s="186"/>
      <c r="H145" s="186">
        <f t="shared" si="64"/>
        <v>60000</v>
      </c>
      <c r="I145" s="70"/>
      <c r="J145" s="466">
        <f t="shared" si="61"/>
        <v>450086.5</v>
      </c>
      <c r="K145" s="466">
        <v>286619.99875000003</v>
      </c>
      <c r="L145" s="466">
        <f t="shared" si="62"/>
        <v>163466.50125</v>
      </c>
      <c r="M145" s="468">
        <v>58980.834746666696</v>
      </c>
      <c r="N145" s="528">
        <v>35221.954086666701</v>
      </c>
      <c r="O145" s="529">
        <f t="shared" si="60"/>
        <v>23758.880659999999</v>
      </c>
      <c r="P145" s="530"/>
      <c r="Q145" s="543">
        <f t="shared" si="63"/>
        <v>139707.62059000001</v>
      </c>
    </row>
    <row r="146" spans="1:17" ht="20.100000000000001" customHeight="1" x14ac:dyDescent="0.2">
      <c r="A146" s="25">
        <v>13</v>
      </c>
      <c r="B146" s="16" t="s">
        <v>288</v>
      </c>
      <c r="C146" s="2" t="s">
        <v>289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61"/>
        <v>413512.5</v>
      </c>
      <c r="K146" s="466">
        <v>265372.07500000001</v>
      </c>
      <c r="L146" s="466">
        <f t="shared" si="62"/>
        <v>148140.42499999999</v>
      </c>
      <c r="M146" s="468">
        <v>52631.114666666697</v>
      </c>
      <c r="N146" s="528">
        <v>31749.175266666702</v>
      </c>
      <c r="O146" s="529">
        <f t="shared" si="60"/>
        <v>20881.939399999999</v>
      </c>
      <c r="P146" s="530"/>
      <c r="Q146" s="543">
        <f t="shared" si="63"/>
        <v>127258.4856</v>
      </c>
    </row>
    <row r="147" spans="1:17" ht="20.100000000000001" customHeight="1" x14ac:dyDescent="0.2">
      <c r="A147" s="25">
        <v>14</v>
      </c>
      <c r="B147" s="9" t="s">
        <v>290</v>
      </c>
      <c r="C147" s="2" t="s">
        <v>566</v>
      </c>
      <c r="D147" s="13" t="s">
        <v>119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61"/>
        <v>368901.5</v>
      </c>
      <c r="K147" s="466">
        <v>237734.04699999999</v>
      </c>
      <c r="L147" s="466">
        <f t="shared" si="62"/>
        <v>131167.45300000001</v>
      </c>
      <c r="M147" s="468">
        <v>44990.482506666704</v>
      </c>
      <c r="N147" s="528">
        <v>27105.986562666702</v>
      </c>
      <c r="O147" s="529">
        <f t="shared" si="60"/>
        <v>17884.495943999998</v>
      </c>
      <c r="P147" s="530"/>
      <c r="Q147" s="543">
        <f t="shared" si="63"/>
        <v>113282.957056</v>
      </c>
    </row>
    <row r="148" spans="1:17" ht="20.100000000000001" customHeight="1" x14ac:dyDescent="0.2">
      <c r="A148" s="25">
        <v>15</v>
      </c>
      <c r="B148" s="9" t="s">
        <v>291</v>
      </c>
      <c r="C148" s="2" t="s">
        <v>566</v>
      </c>
      <c r="D148" s="13" t="s">
        <v>300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61"/>
        <v>376837.41666666698</v>
      </c>
      <c r="K148" s="466">
        <v>242300.07750000001</v>
      </c>
      <c r="L148" s="466">
        <f t="shared" si="62"/>
        <v>134537.33916666699</v>
      </c>
      <c r="M148" s="468">
        <v>46138.184726666703</v>
      </c>
      <c r="N148" s="528">
        <v>27794.206626666699</v>
      </c>
      <c r="O148" s="529">
        <f t="shared" si="60"/>
        <v>18343.9781</v>
      </c>
      <c r="P148" s="530"/>
      <c r="Q148" s="543">
        <f t="shared" si="63"/>
        <v>116193.361066667</v>
      </c>
    </row>
    <row r="149" spans="1:17" ht="20.100000000000001" customHeight="1" x14ac:dyDescent="0.2">
      <c r="A149" s="25">
        <v>16</v>
      </c>
      <c r="B149" s="9" t="s">
        <v>293</v>
      </c>
      <c r="C149" s="2" t="s">
        <v>566</v>
      </c>
      <c r="D149" s="13" t="s">
        <v>300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61"/>
        <v>376837.41666666698</v>
      </c>
      <c r="K149" s="466">
        <v>242300.07750000001</v>
      </c>
      <c r="L149" s="466">
        <f t="shared" si="62"/>
        <v>134537.33916666699</v>
      </c>
      <c r="M149" s="468">
        <v>46217.057786666701</v>
      </c>
      <c r="N149" s="528">
        <v>27873.079686666701</v>
      </c>
      <c r="O149" s="529">
        <f t="shared" si="60"/>
        <v>18343.9781</v>
      </c>
      <c r="P149" s="530"/>
      <c r="Q149" s="543">
        <f t="shared" si="63"/>
        <v>116193.361066667</v>
      </c>
    </row>
    <row r="150" spans="1:17" ht="20.100000000000001" customHeight="1" x14ac:dyDescent="0.2">
      <c r="A150" s="25">
        <v>17</v>
      </c>
      <c r="B150" s="9" t="s">
        <v>294</v>
      </c>
      <c r="C150" s="10" t="s">
        <v>295</v>
      </c>
      <c r="D150" s="13" t="s">
        <v>76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61"/>
        <v>360965.58333333302</v>
      </c>
      <c r="K150" s="466">
        <v>237734.04699999999</v>
      </c>
      <c r="L150" s="466">
        <f t="shared" si="62"/>
        <v>123231.536333333</v>
      </c>
      <c r="M150" s="468">
        <v>43763.907226666699</v>
      </c>
      <c r="N150" s="528">
        <v>27105.986562666702</v>
      </c>
      <c r="O150" s="529">
        <f t="shared" si="60"/>
        <v>16657.920664000001</v>
      </c>
      <c r="P150" s="530"/>
      <c r="Q150" s="543">
        <f t="shared" si="63"/>
        <v>106573.615669333</v>
      </c>
    </row>
    <row r="151" spans="1:17" ht="20.100000000000001" customHeight="1" x14ac:dyDescent="0.2">
      <c r="A151" s="25">
        <v>18</v>
      </c>
      <c r="B151" s="9" t="s">
        <v>296</v>
      </c>
      <c r="C151" s="10" t="s">
        <v>297</v>
      </c>
      <c r="D151" s="8" t="s">
        <v>87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61"/>
        <v>323165.33333333302</v>
      </c>
      <c r="K151" s="466">
        <v>209356.04725</v>
      </c>
      <c r="L151" s="466">
        <f t="shared" si="62"/>
        <v>113809.28608333301</v>
      </c>
      <c r="M151" s="468">
        <v>37921.500586666698</v>
      </c>
      <c r="N151" s="528">
        <v>22338.4826046667</v>
      </c>
      <c r="O151" s="529">
        <f t="shared" si="60"/>
        <v>15583.017981999999</v>
      </c>
      <c r="P151" s="530"/>
      <c r="Q151" s="543">
        <f t="shared" si="63"/>
        <v>98226.268101333</v>
      </c>
    </row>
    <row r="152" spans="1:17" ht="20.100000000000001" customHeight="1" x14ac:dyDescent="0.2">
      <c r="A152" s="25">
        <v>19</v>
      </c>
      <c r="B152" s="9" t="s">
        <v>298</v>
      </c>
      <c r="C152" s="10" t="s">
        <v>299</v>
      </c>
      <c r="D152" s="13" t="s">
        <v>119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61"/>
        <v>368901.5</v>
      </c>
      <c r="K152" s="466">
        <v>237734.04699999999</v>
      </c>
      <c r="L152" s="466">
        <f t="shared" si="62"/>
        <v>131167.45300000001</v>
      </c>
      <c r="M152" s="468">
        <v>44990.482506666704</v>
      </c>
      <c r="N152" s="528">
        <v>27105.986562666702</v>
      </c>
      <c r="O152" s="529">
        <f t="shared" si="60"/>
        <v>17884.495943999998</v>
      </c>
      <c r="P152" s="530"/>
      <c r="Q152" s="543">
        <f t="shared" si="63"/>
        <v>113282.957056</v>
      </c>
    </row>
    <row r="153" spans="1:17" ht="20.100000000000001" customHeight="1" x14ac:dyDescent="0.2">
      <c r="A153" s="25">
        <v>20</v>
      </c>
      <c r="B153" s="9" t="s">
        <v>301</v>
      </c>
      <c r="C153" s="10" t="s">
        <v>302</v>
      </c>
      <c r="D153" s="13" t="s">
        <v>84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61"/>
        <v>330481.66666666698</v>
      </c>
      <c r="K153" s="466">
        <v>213508.01</v>
      </c>
      <c r="L153" s="466">
        <f t="shared" si="62"/>
        <v>116973.656666667</v>
      </c>
      <c r="M153" s="468">
        <v>39052.313066666698</v>
      </c>
      <c r="N153" s="528">
        <v>23036.012346666699</v>
      </c>
      <c r="O153" s="529">
        <f t="shared" si="60"/>
        <v>16016.300719999999</v>
      </c>
      <c r="P153" s="530"/>
      <c r="Q153" s="543">
        <f t="shared" si="63"/>
        <v>100957.355946667</v>
      </c>
    </row>
    <row r="154" spans="1:17" ht="20.100000000000001" customHeight="1" x14ac:dyDescent="0.2">
      <c r="A154" s="25">
        <v>21</v>
      </c>
      <c r="B154" s="9" t="s">
        <v>303</v>
      </c>
      <c r="C154" s="10" t="s">
        <v>304</v>
      </c>
      <c r="D154" s="13" t="s">
        <v>119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61"/>
        <v>368901.5</v>
      </c>
      <c r="K154" s="466">
        <v>237734.04699999999</v>
      </c>
      <c r="L154" s="466">
        <f t="shared" si="62"/>
        <v>131167.45300000001</v>
      </c>
      <c r="M154" s="468">
        <v>44913.699618666702</v>
      </c>
      <c r="N154" s="528">
        <v>27029.2036746667</v>
      </c>
      <c r="O154" s="529">
        <f t="shared" si="60"/>
        <v>17884.495943999998</v>
      </c>
      <c r="P154" s="530"/>
      <c r="Q154" s="543">
        <f t="shared" si="63"/>
        <v>113282.957056</v>
      </c>
    </row>
    <row r="155" spans="1:17" ht="20.100000000000001" customHeight="1" x14ac:dyDescent="0.2">
      <c r="A155" s="25">
        <v>22</v>
      </c>
      <c r="B155" s="9" t="s">
        <v>305</v>
      </c>
      <c r="C155" s="10" t="s">
        <v>306</v>
      </c>
      <c r="D155" s="13" t="s">
        <v>84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61"/>
        <v>330481.66666666698</v>
      </c>
      <c r="K155" s="466">
        <v>209356.04725</v>
      </c>
      <c r="L155" s="466">
        <f t="shared" si="62"/>
        <v>121125.619416667</v>
      </c>
      <c r="M155" s="468">
        <v>39052.313066666698</v>
      </c>
      <c r="N155" s="528">
        <v>22338.4826046667</v>
      </c>
      <c r="O155" s="529">
        <f t="shared" si="60"/>
        <v>16713.830462000002</v>
      </c>
      <c r="P155" s="530"/>
      <c r="Q155" s="543">
        <f t="shared" si="63"/>
        <v>104411.788954667</v>
      </c>
    </row>
    <row r="156" spans="1:17" ht="20.100000000000001" customHeight="1" x14ac:dyDescent="0.2">
      <c r="A156" s="25">
        <v>23</v>
      </c>
      <c r="B156" s="16" t="s">
        <v>307</v>
      </c>
      <c r="C156" s="10" t="s">
        <v>308</v>
      </c>
      <c r="D156" s="13" t="s">
        <v>96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61"/>
        <v>315849</v>
      </c>
      <c r="K156" s="466">
        <v>205204.0845</v>
      </c>
      <c r="L156" s="466">
        <f t="shared" si="62"/>
        <v>110644.9155</v>
      </c>
      <c r="M156" s="468">
        <v>36790.688106666697</v>
      </c>
      <c r="N156" s="528">
        <v>21640.952862666702</v>
      </c>
      <c r="O156" s="529">
        <f t="shared" si="60"/>
        <v>15149.735244</v>
      </c>
      <c r="P156" s="530"/>
      <c r="Q156" s="543">
        <f t="shared" si="63"/>
        <v>95495.180256000007</v>
      </c>
    </row>
    <row r="157" spans="1:17" ht="20.100000000000001" customHeight="1" x14ac:dyDescent="0.2">
      <c r="A157" s="25">
        <v>24</v>
      </c>
      <c r="B157" s="16" t="s">
        <v>312</v>
      </c>
      <c r="C157" s="10" t="s">
        <v>313</v>
      </c>
      <c r="D157" s="13" t="s">
        <v>105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61"/>
        <v>274459.75</v>
      </c>
      <c r="K157" s="466">
        <v>176816.1</v>
      </c>
      <c r="L157" s="466">
        <f t="shared" si="62"/>
        <v>97643.65</v>
      </c>
      <c r="M157" s="468">
        <v>30259.165626666701</v>
      </c>
      <c r="N157" s="528">
        <v>17042.713866666702</v>
      </c>
      <c r="O157" s="529">
        <f t="shared" si="60"/>
        <v>13216.45176</v>
      </c>
      <c r="P157" s="530"/>
      <c r="Q157" s="543">
        <f t="shared" si="63"/>
        <v>84427.198239999998</v>
      </c>
    </row>
    <row r="158" spans="1:17" ht="20.100000000000001" customHeight="1" x14ac:dyDescent="0.2">
      <c r="A158" s="25">
        <v>25</v>
      </c>
      <c r="B158" s="16" t="s">
        <v>314</v>
      </c>
      <c r="C158" s="10" t="s">
        <v>315</v>
      </c>
      <c r="D158" s="13" t="s">
        <v>105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61"/>
        <v>274459.75</v>
      </c>
      <c r="K158" s="466">
        <v>176816.1</v>
      </c>
      <c r="L158" s="466">
        <f t="shared" si="62"/>
        <v>97643.65</v>
      </c>
      <c r="M158" s="468">
        <v>30259.165626666701</v>
      </c>
      <c r="N158" s="528">
        <v>17042.713866666702</v>
      </c>
      <c r="O158" s="529">
        <f t="shared" si="60"/>
        <v>13216.45176</v>
      </c>
      <c r="P158" s="530"/>
      <c r="Q158" s="543">
        <f t="shared" si="63"/>
        <v>84427.198239999998</v>
      </c>
    </row>
    <row r="159" spans="1:17" ht="20.100000000000001" customHeight="1" x14ac:dyDescent="0.2">
      <c r="A159" s="25">
        <v>26</v>
      </c>
      <c r="B159" s="16" t="s">
        <v>316</v>
      </c>
      <c r="C159" s="10" t="s">
        <v>317</v>
      </c>
      <c r="D159" s="13" t="s">
        <v>105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61"/>
        <v>274459.75</v>
      </c>
      <c r="K159" s="466">
        <v>176816.1</v>
      </c>
      <c r="L159" s="466">
        <f t="shared" si="62"/>
        <v>97643.65</v>
      </c>
      <c r="M159" s="468">
        <v>30259.165626666701</v>
      </c>
      <c r="N159" s="528">
        <v>17042.713866666702</v>
      </c>
      <c r="O159" s="529">
        <f t="shared" si="60"/>
        <v>13216.45176</v>
      </c>
      <c r="P159" s="530"/>
      <c r="Q159" s="543">
        <f t="shared" si="63"/>
        <v>84427.198239999998</v>
      </c>
    </row>
    <row r="160" spans="1:17" ht="20.100000000000001" customHeight="1" x14ac:dyDescent="0.2">
      <c r="A160" s="25">
        <v>27</v>
      </c>
      <c r="B160" s="16" t="s">
        <v>318</v>
      </c>
      <c r="C160" s="10" t="s">
        <v>319</v>
      </c>
      <c r="D160" s="13" t="s">
        <v>102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61"/>
        <v>280631.91666666698</v>
      </c>
      <c r="K160" s="466">
        <v>180304.068</v>
      </c>
      <c r="L160" s="466">
        <f t="shared" si="62"/>
        <v>100327.84866666701</v>
      </c>
      <c r="M160" s="468">
        <v>31213.135706666701</v>
      </c>
      <c r="N160" s="528">
        <v>17572.885002666699</v>
      </c>
      <c r="O160" s="529">
        <f t="shared" si="60"/>
        <v>13640.250704</v>
      </c>
      <c r="P160" s="530"/>
      <c r="Q160" s="543">
        <f t="shared" si="63"/>
        <v>86687.597962667001</v>
      </c>
    </row>
    <row r="161" spans="1:17" ht="20.100000000000001" customHeight="1" x14ac:dyDescent="0.2">
      <c r="A161" s="25">
        <v>28</v>
      </c>
      <c r="B161" s="16" t="s">
        <v>320</v>
      </c>
      <c r="C161" s="10" t="s">
        <v>315</v>
      </c>
      <c r="D161" s="13" t="s">
        <v>105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61"/>
        <v>274459.75</v>
      </c>
      <c r="K161" s="466">
        <v>176816.1</v>
      </c>
      <c r="L161" s="466">
        <f t="shared" si="62"/>
        <v>97643.65</v>
      </c>
      <c r="M161" s="468">
        <v>30259.165626666701</v>
      </c>
      <c r="N161" s="528">
        <v>17042.713866666702</v>
      </c>
      <c r="O161" s="529">
        <f t="shared" si="60"/>
        <v>13216.45176</v>
      </c>
      <c r="P161" s="530"/>
      <c r="Q161" s="543">
        <f t="shared" si="63"/>
        <v>84427.198239999998</v>
      </c>
    </row>
    <row r="162" spans="1:17" ht="20.100000000000001" customHeight="1" x14ac:dyDescent="0.2">
      <c r="A162" s="25">
        <v>29</v>
      </c>
      <c r="B162" s="9" t="s">
        <v>329</v>
      </c>
      <c r="C162" s="10" t="s">
        <v>330</v>
      </c>
      <c r="D162" s="13" t="s">
        <v>337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61"/>
        <v>202598.16666666701</v>
      </c>
      <c r="K162" s="466">
        <v>135590.73000000001</v>
      </c>
      <c r="L162" s="466">
        <f t="shared" si="62"/>
        <v>67007.436666666996</v>
      </c>
      <c r="M162" s="468">
        <v>18892.9833866667</v>
      </c>
      <c r="N162" s="528">
        <v>10739.3048</v>
      </c>
      <c r="O162" s="529">
        <f t="shared" si="60"/>
        <v>8153.6785866666996</v>
      </c>
      <c r="P162" s="530"/>
      <c r="Q162" s="543">
        <f t="shared" si="63"/>
        <v>58853.758080000298</v>
      </c>
    </row>
    <row r="163" spans="1:17" ht="20.100000000000001" customHeight="1" x14ac:dyDescent="0.2">
      <c r="A163" s="25">
        <v>30</v>
      </c>
      <c r="B163" s="9" t="s">
        <v>332</v>
      </c>
      <c r="C163" s="10" t="s">
        <v>330</v>
      </c>
      <c r="D163" s="13" t="s">
        <v>337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61"/>
        <v>205598.16666666701</v>
      </c>
      <c r="K163" s="466">
        <v>138590.73000000001</v>
      </c>
      <c r="L163" s="466">
        <f t="shared" si="62"/>
        <v>67007.436666666996</v>
      </c>
      <c r="M163" s="468">
        <v>19441.199306666698</v>
      </c>
      <c r="N163" s="528">
        <v>11232.457626666701</v>
      </c>
      <c r="O163" s="529">
        <f t="shared" si="60"/>
        <v>8208.7416799999992</v>
      </c>
      <c r="P163" s="530"/>
      <c r="Q163" s="543">
        <f t="shared" si="63"/>
        <v>58798.694986666997</v>
      </c>
    </row>
    <row r="164" spans="1:17" ht="20.100000000000001" customHeight="1" x14ac:dyDescent="0.2">
      <c r="A164" s="25">
        <v>31</v>
      </c>
      <c r="B164" s="9" t="s">
        <v>333</v>
      </c>
      <c r="C164" s="10" t="s">
        <v>330</v>
      </c>
      <c r="D164" s="13" t="s">
        <v>337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61"/>
        <v>202598.16666666701</v>
      </c>
      <c r="K164" s="466">
        <v>135590.73000000001</v>
      </c>
      <c r="L164" s="466">
        <f t="shared" si="62"/>
        <v>67007.436666666996</v>
      </c>
      <c r="M164" s="468">
        <v>18937.199306666698</v>
      </c>
      <c r="N164" s="528">
        <v>10776.457626666701</v>
      </c>
      <c r="O164" s="529">
        <f t="shared" si="60"/>
        <v>8160.7416800000001</v>
      </c>
      <c r="P164" s="530"/>
      <c r="Q164" s="543">
        <f t="shared" si="63"/>
        <v>58846.694986666997</v>
      </c>
    </row>
    <row r="165" spans="1:17" ht="20.100000000000001" customHeight="1" x14ac:dyDescent="0.2">
      <c r="A165" s="25">
        <v>32</v>
      </c>
      <c r="B165" s="9" t="s">
        <v>334</v>
      </c>
      <c r="C165" s="10" t="s">
        <v>330</v>
      </c>
      <c r="D165" s="13" t="s">
        <v>337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61"/>
        <v>202598.16666666701</v>
      </c>
      <c r="K165" s="466">
        <v>135590.73000000001</v>
      </c>
      <c r="L165" s="466">
        <f t="shared" si="62"/>
        <v>67007.436666666996</v>
      </c>
      <c r="M165" s="468">
        <v>18892.9833866667</v>
      </c>
      <c r="N165" s="528">
        <v>10739.3048</v>
      </c>
      <c r="O165" s="529">
        <f t="shared" si="60"/>
        <v>8153.6785866666996</v>
      </c>
      <c r="P165" s="530"/>
      <c r="Q165" s="543">
        <f t="shared" si="63"/>
        <v>58853.758080000298</v>
      </c>
    </row>
    <row r="166" spans="1:17" ht="20.100000000000001" customHeight="1" x14ac:dyDescent="0.2">
      <c r="A166" s="25">
        <v>33</v>
      </c>
      <c r="B166" s="9" t="s">
        <v>335</v>
      </c>
      <c r="C166" s="10" t="s">
        <v>330</v>
      </c>
      <c r="D166" s="13" t="s">
        <v>337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61"/>
        <v>202598.16666666701</v>
      </c>
      <c r="K166" s="466">
        <v>135590.73000000001</v>
      </c>
      <c r="L166" s="466">
        <f t="shared" si="62"/>
        <v>67007.436666666996</v>
      </c>
      <c r="M166" s="468">
        <v>18937.199306666698</v>
      </c>
      <c r="N166" s="528">
        <v>10776.457626666701</v>
      </c>
      <c r="O166" s="529">
        <f t="shared" si="60"/>
        <v>8160.7416800000001</v>
      </c>
      <c r="P166" s="530"/>
      <c r="Q166" s="543">
        <f t="shared" si="63"/>
        <v>58846.694986666997</v>
      </c>
    </row>
    <row r="167" spans="1:17" ht="20.100000000000001" customHeight="1" x14ac:dyDescent="0.2">
      <c r="A167" s="25">
        <v>34</v>
      </c>
      <c r="B167" s="9" t="s">
        <v>336</v>
      </c>
      <c r="C167" s="10" t="s">
        <v>330</v>
      </c>
      <c r="D167" s="13" t="s">
        <v>348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61"/>
        <v>200336.83333333299</v>
      </c>
      <c r="K167" s="466">
        <v>138590.73000000001</v>
      </c>
      <c r="L167" s="466">
        <f t="shared" si="62"/>
        <v>61746.103333332998</v>
      </c>
      <c r="M167" s="468">
        <v>18631.689439999998</v>
      </c>
      <c r="N167" s="528">
        <v>11232.457626666701</v>
      </c>
      <c r="O167" s="529">
        <f t="shared" si="60"/>
        <v>7399.2318133333001</v>
      </c>
      <c r="P167" s="530"/>
      <c r="Q167" s="543">
        <f t="shared" si="63"/>
        <v>54346.871519999702</v>
      </c>
    </row>
    <row r="168" spans="1:17" ht="20.100000000000001" customHeight="1" x14ac:dyDescent="0.2">
      <c r="A168" s="25">
        <v>35</v>
      </c>
      <c r="B168" s="9" t="s">
        <v>338</v>
      </c>
      <c r="C168" s="10" t="s">
        <v>330</v>
      </c>
      <c r="D168" s="13" t="s">
        <v>348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6">
        <f t="shared" si="61"/>
        <v>197336.83333333299</v>
      </c>
      <c r="K168" s="466">
        <v>135590.73000000001</v>
      </c>
      <c r="L168" s="466">
        <f t="shared" si="62"/>
        <v>61746.103333332998</v>
      </c>
      <c r="M168" s="468">
        <v>18175.689439999998</v>
      </c>
      <c r="N168" s="528">
        <v>10776.457626666701</v>
      </c>
      <c r="O168" s="529">
        <f t="shared" si="60"/>
        <v>7399.2318133333001</v>
      </c>
      <c r="P168" s="530"/>
      <c r="Q168" s="543">
        <f t="shared" si="63"/>
        <v>54346.871519999702</v>
      </c>
    </row>
    <row r="169" spans="1:17" ht="20.100000000000001" customHeight="1" x14ac:dyDescent="0.2">
      <c r="A169" s="25">
        <v>36</v>
      </c>
      <c r="B169" s="12" t="s">
        <v>339</v>
      </c>
      <c r="C169" s="10" t="s">
        <v>330</v>
      </c>
      <c r="D169" s="13" t="s">
        <v>348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6">
        <f t="shared" si="61"/>
        <v>200336.83333333299</v>
      </c>
      <c r="K169" s="466">
        <v>138590.73000000001</v>
      </c>
      <c r="L169" s="466">
        <f t="shared" si="62"/>
        <v>61746.103333332998</v>
      </c>
      <c r="M169" s="468">
        <v>18631.689439999998</v>
      </c>
      <c r="N169" s="528">
        <v>11232.457626666701</v>
      </c>
      <c r="O169" s="529">
        <f t="shared" si="60"/>
        <v>7399.2318133333001</v>
      </c>
      <c r="P169" s="530"/>
      <c r="Q169" s="543">
        <f t="shared" si="63"/>
        <v>54346.871519999702</v>
      </c>
    </row>
    <row r="170" spans="1:17" ht="20.100000000000001" customHeight="1" x14ac:dyDescent="0.2">
      <c r="A170" s="25">
        <v>37</v>
      </c>
      <c r="B170" s="9" t="s">
        <v>340</v>
      </c>
      <c r="C170" s="10" t="s">
        <v>330</v>
      </c>
      <c r="D170" s="13" t="s">
        <v>348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6">
        <f t="shared" si="61"/>
        <v>197336.83333333299</v>
      </c>
      <c r="K170" s="466">
        <v>135590.73000000001</v>
      </c>
      <c r="L170" s="466">
        <f t="shared" si="62"/>
        <v>61746.103333332998</v>
      </c>
      <c r="M170" s="468">
        <v>18175.689439999998</v>
      </c>
      <c r="N170" s="528">
        <v>10776.457626666701</v>
      </c>
      <c r="O170" s="529">
        <f t="shared" si="60"/>
        <v>7399.2318133333001</v>
      </c>
      <c r="P170" s="530"/>
      <c r="Q170" s="543">
        <f t="shared" si="63"/>
        <v>54346.871519999702</v>
      </c>
    </row>
    <row r="171" spans="1:17" ht="20.100000000000001" customHeight="1" x14ac:dyDescent="0.2">
      <c r="A171" s="25">
        <v>38</v>
      </c>
      <c r="B171" s="16" t="s">
        <v>341</v>
      </c>
      <c r="C171" s="10" t="s">
        <v>330</v>
      </c>
      <c r="D171" s="13" t="s">
        <v>348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6">
        <f t="shared" si="61"/>
        <v>197336.83333333299</v>
      </c>
      <c r="K171" s="466">
        <v>135590.73000000001</v>
      </c>
      <c r="L171" s="466">
        <f t="shared" si="62"/>
        <v>61746.103333332998</v>
      </c>
      <c r="M171" s="468">
        <v>18175.689439999998</v>
      </c>
      <c r="N171" s="528">
        <v>10776.457626666701</v>
      </c>
      <c r="O171" s="529">
        <f t="shared" si="60"/>
        <v>7399.2318133333001</v>
      </c>
      <c r="P171" s="530"/>
      <c r="Q171" s="543">
        <f t="shared" si="63"/>
        <v>54346.871519999702</v>
      </c>
    </row>
    <row r="172" spans="1:17" ht="20.100000000000001" customHeight="1" x14ac:dyDescent="0.2">
      <c r="A172" s="25">
        <v>39</v>
      </c>
      <c r="B172" s="16" t="s">
        <v>342</v>
      </c>
      <c r="C172" s="10" t="s">
        <v>330</v>
      </c>
      <c r="D172" s="13" t="s">
        <v>348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6">
        <f t="shared" si="61"/>
        <v>200336.83333333299</v>
      </c>
      <c r="K172" s="466">
        <v>138590.73000000001</v>
      </c>
      <c r="L172" s="466">
        <f t="shared" si="62"/>
        <v>61746.103333332998</v>
      </c>
      <c r="M172" s="468">
        <v>18631.689439999998</v>
      </c>
      <c r="N172" s="528">
        <v>11232.457626666701</v>
      </c>
      <c r="O172" s="529">
        <f t="shared" si="60"/>
        <v>7399.2318133333001</v>
      </c>
      <c r="P172" s="530"/>
      <c r="Q172" s="543">
        <f t="shared" si="63"/>
        <v>54346.871519999702</v>
      </c>
    </row>
    <row r="173" spans="1:17" ht="20.100000000000001" customHeight="1" x14ac:dyDescent="0.2">
      <c r="A173" s="25">
        <v>40</v>
      </c>
      <c r="B173" s="9" t="s">
        <v>343</v>
      </c>
      <c r="C173" s="10" t="s">
        <v>344</v>
      </c>
      <c r="D173" s="13" t="s">
        <v>351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6">
        <f t="shared" si="61"/>
        <v>189814.16666666701</v>
      </c>
      <c r="K173" s="466">
        <v>122104.99825</v>
      </c>
      <c r="L173" s="466">
        <f t="shared" si="62"/>
        <v>67709.168416667002</v>
      </c>
      <c r="M173" s="468">
        <v>17160.199733333298</v>
      </c>
      <c r="N173" s="528">
        <v>9152.5997900000002</v>
      </c>
      <c r="O173" s="529">
        <f t="shared" si="60"/>
        <v>8007.5999433333</v>
      </c>
      <c r="P173" s="530"/>
      <c r="Q173" s="543">
        <f t="shared" si="63"/>
        <v>59701.568473333697</v>
      </c>
    </row>
    <row r="174" spans="1:17" ht="20.100000000000001" customHeight="1" x14ac:dyDescent="0.2">
      <c r="A174" s="25">
        <v>41</v>
      </c>
      <c r="B174" s="9" t="s">
        <v>346</v>
      </c>
      <c r="C174" s="10" t="s">
        <v>344</v>
      </c>
      <c r="D174" s="13" t="s">
        <v>351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6">
        <f t="shared" si="61"/>
        <v>189814.16666666701</v>
      </c>
      <c r="K174" s="466">
        <v>122104.99825</v>
      </c>
      <c r="L174" s="466">
        <f t="shared" si="62"/>
        <v>67709.168416667002</v>
      </c>
      <c r="M174" s="468">
        <v>17160.199733333298</v>
      </c>
      <c r="N174" s="528">
        <v>9152.5997900000002</v>
      </c>
      <c r="O174" s="529">
        <f t="shared" si="60"/>
        <v>8007.5999433333</v>
      </c>
      <c r="P174" s="530"/>
      <c r="Q174" s="543">
        <f t="shared" si="63"/>
        <v>59701.568473333697</v>
      </c>
    </row>
    <row r="175" spans="1:17" ht="20.100000000000001" customHeight="1" x14ac:dyDescent="0.2">
      <c r="A175" s="25">
        <v>42</v>
      </c>
      <c r="B175" s="16" t="s">
        <v>347</v>
      </c>
      <c r="C175" s="10" t="s">
        <v>344</v>
      </c>
      <c r="D175" s="13" t="s">
        <v>345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6">
        <f t="shared" si="61"/>
        <v>195075.5</v>
      </c>
      <c r="K175" s="466">
        <v>125035.03449999999</v>
      </c>
      <c r="L175" s="466">
        <f t="shared" si="62"/>
        <v>70040.465500000006</v>
      </c>
      <c r="M175" s="468">
        <v>17895.944586666701</v>
      </c>
      <c r="N175" s="528">
        <v>9504.2041399999998</v>
      </c>
      <c r="O175" s="529">
        <f t="shared" si="60"/>
        <v>8391.7404466666994</v>
      </c>
      <c r="P175" s="530"/>
      <c r="Q175" s="543">
        <f t="shared" si="63"/>
        <v>61648.725053333299</v>
      </c>
    </row>
    <row r="176" spans="1:17" ht="20.100000000000001" customHeight="1" x14ac:dyDescent="0.2">
      <c r="A176" s="25">
        <v>43</v>
      </c>
      <c r="B176" s="9" t="s">
        <v>349</v>
      </c>
      <c r="C176" s="10" t="s">
        <v>350</v>
      </c>
      <c r="D176" s="13" t="s">
        <v>354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6">
        <f t="shared" si="61"/>
        <v>121145.75</v>
      </c>
      <c r="K176" s="466">
        <v>81803.001000000004</v>
      </c>
      <c r="L176" s="466">
        <f t="shared" si="62"/>
        <v>39342.749000000003</v>
      </c>
      <c r="M176" s="468">
        <v>8133.6908000000003</v>
      </c>
      <c r="N176" s="528">
        <v>4365.3307546666701</v>
      </c>
      <c r="O176" s="529">
        <f t="shared" si="60"/>
        <v>3768.3600453333302</v>
      </c>
      <c r="P176" s="530"/>
      <c r="Q176" s="543">
        <f t="shared" si="63"/>
        <v>35574.388954666698</v>
      </c>
    </row>
    <row r="177" spans="1:17" ht="20.100000000000001" customHeight="1" x14ac:dyDescent="0.2">
      <c r="A177" s="25">
        <v>44</v>
      </c>
      <c r="B177" s="9" t="s">
        <v>352</v>
      </c>
      <c r="C177" s="10" t="s">
        <v>353</v>
      </c>
      <c r="D177" s="13" t="s">
        <v>364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6">
        <f t="shared" si="61"/>
        <v>118598</v>
      </c>
      <c r="K177" s="466">
        <v>80237.012000000002</v>
      </c>
      <c r="L177" s="466">
        <f t="shared" si="62"/>
        <v>38360.987999999998</v>
      </c>
      <c r="M177" s="468">
        <v>7852.4192000000003</v>
      </c>
      <c r="N177" s="528">
        <v>4227.5237226666704</v>
      </c>
      <c r="O177" s="529">
        <f t="shared" si="60"/>
        <v>3624.8954773333298</v>
      </c>
      <c r="P177" s="530"/>
      <c r="Q177" s="543">
        <f t="shared" si="63"/>
        <v>34736.092522666702</v>
      </c>
    </row>
    <row r="178" spans="1:17" ht="20.100000000000001" customHeight="1" x14ac:dyDescent="0.2">
      <c r="A178" s="25">
        <v>45</v>
      </c>
      <c r="B178" s="9" t="s">
        <v>355</v>
      </c>
      <c r="C178" s="10" t="s">
        <v>353</v>
      </c>
      <c r="D178" s="13" t="s">
        <v>364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6">
        <f t="shared" si="61"/>
        <v>115598</v>
      </c>
      <c r="K178" s="466">
        <v>77237.012000000002</v>
      </c>
      <c r="L178" s="466">
        <f t="shared" si="62"/>
        <v>38360.987999999998</v>
      </c>
      <c r="M178" s="468">
        <v>7492.4192000000003</v>
      </c>
      <c r="N178" s="528">
        <v>3963.52372266667</v>
      </c>
      <c r="O178" s="529">
        <f t="shared" si="60"/>
        <v>3528.8954773333298</v>
      </c>
      <c r="P178" s="530"/>
      <c r="Q178" s="543">
        <f t="shared" si="63"/>
        <v>34832.092522666702</v>
      </c>
    </row>
    <row r="179" spans="1:17" ht="20.100000000000001" customHeight="1" x14ac:dyDescent="0.2">
      <c r="A179" s="25">
        <v>46</v>
      </c>
      <c r="B179" s="9" t="s">
        <v>356</v>
      </c>
      <c r="C179" s="10" t="s">
        <v>353</v>
      </c>
      <c r="D179" s="13" t="s">
        <v>364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6">
        <f t="shared" si="61"/>
        <v>118598</v>
      </c>
      <c r="K179" s="466">
        <v>80237.012000000002</v>
      </c>
      <c r="L179" s="466">
        <f t="shared" si="62"/>
        <v>38360.987999999998</v>
      </c>
      <c r="M179" s="468">
        <v>7852.4192000000003</v>
      </c>
      <c r="N179" s="528">
        <v>4227.5237226666704</v>
      </c>
      <c r="O179" s="529">
        <f t="shared" si="60"/>
        <v>3624.8954773333298</v>
      </c>
      <c r="P179" s="530"/>
      <c r="Q179" s="543">
        <f t="shared" si="63"/>
        <v>34736.092522666702</v>
      </c>
    </row>
    <row r="180" spans="1:17" ht="20.100000000000001" customHeight="1" x14ac:dyDescent="0.2">
      <c r="A180" s="25">
        <v>47</v>
      </c>
      <c r="B180" s="9" t="s">
        <v>357</v>
      </c>
      <c r="C180" s="10" t="s">
        <v>353</v>
      </c>
      <c r="D180" s="13" t="s">
        <v>364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6">
        <f t="shared" si="61"/>
        <v>115598</v>
      </c>
      <c r="K180" s="466">
        <v>77237.012000000002</v>
      </c>
      <c r="L180" s="466">
        <f t="shared" si="62"/>
        <v>38360.987999999998</v>
      </c>
      <c r="M180" s="468">
        <v>7492.4192000000003</v>
      </c>
      <c r="N180" s="528">
        <v>3963.52372266667</v>
      </c>
      <c r="O180" s="529">
        <f t="shared" si="60"/>
        <v>3528.8954773333298</v>
      </c>
      <c r="P180" s="530"/>
      <c r="Q180" s="543">
        <f t="shared" si="63"/>
        <v>34832.092522666702</v>
      </c>
    </row>
    <row r="181" spans="1:17" ht="20.100000000000001" customHeight="1" x14ac:dyDescent="0.2">
      <c r="A181" s="25">
        <v>48</v>
      </c>
      <c r="B181" s="9" t="s">
        <v>358</v>
      </c>
      <c r="C181" s="10" t="s">
        <v>353</v>
      </c>
      <c r="D181" s="13" t="s">
        <v>364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6">
        <f t="shared" si="61"/>
        <v>118598</v>
      </c>
      <c r="K181" s="466">
        <v>80237.012000000002</v>
      </c>
      <c r="L181" s="466">
        <f t="shared" si="62"/>
        <v>38360.987999999998</v>
      </c>
      <c r="M181" s="468">
        <v>7852.4192000000003</v>
      </c>
      <c r="N181" s="528">
        <v>4227.5237226666704</v>
      </c>
      <c r="O181" s="529">
        <f t="shared" si="60"/>
        <v>3624.8954773333298</v>
      </c>
      <c r="P181" s="530"/>
      <c r="Q181" s="543">
        <f t="shared" si="63"/>
        <v>34736.092522666702</v>
      </c>
    </row>
    <row r="182" spans="1:17" ht="20.100000000000001" customHeight="1" x14ac:dyDescent="0.2">
      <c r="A182" s="25">
        <v>49</v>
      </c>
      <c r="B182" s="16" t="s">
        <v>359</v>
      </c>
      <c r="C182" s="10" t="s">
        <v>353</v>
      </c>
      <c r="D182" s="13" t="s">
        <v>364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6">
        <f t="shared" si="61"/>
        <v>115598</v>
      </c>
      <c r="K182" s="466">
        <v>77237.012000000002</v>
      </c>
      <c r="L182" s="466">
        <f t="shared" si="62"/>
        <v>38360.987999999998</v>
      </c>
      <c r="M182" s="468">
        <v>7492.4192000000003</v>
      </c>
      <c r="N182" s="528">
        <v>3963.52372266667</v>
      </c>
      <c r="O182" s="529">
        <f t="shared" si="60"/>
        <v>3528.8954773333298</v>
      </c>
      <c r="P182" s="530"/>
      <c r="Q182" s="543">
        <f t="shared" si="63"/>
        <v>34832.092522666702</v>
      </c>
    </row>
    <row r="183" spans="1:17" ht="20.100000000000001" customHeight="1" x14ac:dyDescent="0.2">
      <c r="A183" s="25">
        <v>50</v>
      </c>
      <c r="B183" s="16" t="s">
        <v>360</v>
      </c>
      <c r="C183" s="10" t="s">
        <v>353</v>
      </c>
      <c r="D183" s="13" t="s">
        <v>364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6">
        <f t="shared" si="61"/>
        <v>118598</v>
      </c>
      <c r="K183" s="466">
        <v>80237.012000000002</v>
      </c>
      <c r="L183" s="466">
        <f t="shared" si="62"/>
        <v>38360.987999999998</v>
      </c>
      <c r="M183" s="468">
        <v>7852.4192000000003</v>
      </c>
      <c r="N183" s="528">
        <v>4227.5237226666704</v>
      </c>
      <c r="O183" s="529">
        <f t="shared" si="60"/>
        <v>3624.8954773333298</v>
      </c>
      <c r="P183" s="530"/>
      <c r="Q183" s="543">
        <f t="shared" si="63"/>
        <v>34736.092522666702</v>
      </c>
    </row>
    <row r="184" spans="1:17" ht="20.100000000000001" customHeight="1" x14ac:dyDescent="0.2">
      <c r="A184" s="25">
        <v>51</v>
      </c>
      <c r="B184" s="9" t="s">
        <v>493</v>
      </c>
      <c r="C184" s="10" t="s">
        <v>350</v>
      </c>
      <c r="D184" s="13" t="s">
        <v>364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61"/>
        <v>118598</v>
      </c>
      <c r="K184" s="466">
        <v>78671.023000000001</v>
      </c>
      <c r="L184" s="466">
        <f t="shared" si="62"/>
        <v>39926.976999999999</v>
      </c>
      <c r="M184" s="468">
        <v>7852.4192000000003</v>
      </c>
      <c r="N184" s="528">
        <v>4089.7166906666698</v>
      </c>
      <c r="O184" s="529">
        <f t="shared" si="60"/>
        <v>3762.70250933333</v>
      </c>
      <c r="P184" s="530"/>
      <c r="Q184" s="543">
        <f t="shared" si="63"/>
        <v>36164.274490666699</v>
      </c>
    </row>
    <row r="185" spans="1:17" ht="20.100000000000001" customHeight="1" x14ac:dyDescent="0.2">
      <c r="A185" s="25">
        <v>52</v>
      </c>
      <c r="B185" s="9" t="s">
        <v>361</v>
      </c>
      <c r="C185" s="10" t="s">
        <v>350</v>
      </c>
      <c r="D185" s="13" t="s">
        <v>364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61"/>
        <v>118598</v>
      </c>
      <c r="K185" s="466">
        <v>80237.012000000002</v>
      </c>
      <c r="L185" s="466">
        <f t="shared" si="62"/>
        <v>38360.987999999998</v>
      </c>
      <c r="M185" s="468">
        <v>7852.4192000000003</v>
      </c>
      <c r="N185" s="528">
        <v>4227.5237226666704</v>
      </c>
      <c r="O185" s="529">
        <f t="shared" si="60"/>
        <v>3624.8954773333298</v>
      </c>
      <c r="P185" s="530"/>
      <c r="Q185" s="543">
        <f t="shared" si="63"/>
        <v>34736.092522666702</v>
      </c>
    </row>
    <row r="186" spans="1:17" ht="20.100000000000001" customHeight="1" x14ac:dyDescent="0.2">
      <c r="A186" s="25">
        <v>53</v>
      </c>
      <c r="B186" s="16" t="s">
        <v>362</v>
      </c>
      <c r="C186" s="10" t="s">
        <v>363</v>
      </c>
      <c r="D186" s="13" t="s">
        <v>376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61"/>
        <v>116050.25</v>
      </c>
      <c r="K186" s="466">
        <v>78671.023000000001</v>
      </c>
      <c r="L186" s="466">
        <f t="shared" si="62"/>
        <v>37379.226999999999</v>
      </c>
      <c r="M186" s="468">
        <v>7571.1476000000002</v>
      </c>
      <c r="N186" s="528">
        <v>4089.7166906666698</v>
      </c>
      <c r="O186" s="529">
        <f t="shared" si="60"/>
        <v>3481.43090933333</v>
      </c>
      <c r="P186" s="530"/>
      <c r="Q186" s="543">
        <f t="shared" si="63"/>
        <v>33897.796090666699</v>
      </c>
    </row>
    <row r="187" spans="1:17" ht="20.100000000000001" customHeight="1" x14ac:dyDescent="0.2">
      <c r="A187" s="25">
        <v>54</v>
      </c>
      <c r="B187" s="16" t="s">
        <v>367</v>
      </c>
      <c r="C187" s="10" t="s">
        <v>353</v>
      </c>
      <c r="D187" s="13" t="s">
        <v>567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61"/>
        <v>102926.91666666701</v>
      </c>
      <c r="K187" s="466">
        <v>68675.997025000004</v>
      </c>
      <c r="L187" s="466">
        <f t="shared" si="62"/>
        <v>34250.919641666696</v>
      </c>
      <c r="M187" s="468">
        <v>6074.3316000000004</v>
      </c>
      <c r="N187" s="528">
        <v>3210.1544048666701</v>
      </c>
      <c r="O187" s="529">
        <f t="shared" si="60"/>
        <v>2864.1771951333299</v>
      </c>
      <c r="P187" s="530"/>
      <c r="Q187" s="543">
        <f t="shared" si="63"/>
        <v>31386.742446533401</v>
      </c>
    </row>
    <row r="188" spans="1:17" ht="20.100000000000001" customHeight="1" x14ac:dyDescent="0.2">
      <c r="A188" s="25">
        <v>55</v>
      </c>
      <c r="B188" s="16" t="s">
        <v>369</v>
      </c>
      <c r="C188" s="10" t="s">
        <v>370</v>
      </c>
      <c r="D188" s="13" t="s">
        <v>568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61"/>
        <v>95540.75</v>
      </c>
      <c r="K188" s="466">
        <v>62980.079250000003</v>
      </c>
      <c r="L188" s="466">
        <f t="shared" si="62"/>
        <v>32560.670750000001</v>
      </c>
      <c r="M188" s="468">
        <v>5230.0987999999998</v>
      </c>
      <c r="N188" s="528">
        <v>2708.9136406666698</v>
      </c>
      <c r="O188" s="529">
        <f t="shared" si="60"/>
        <v>2521.1851593333299</v>
      </c>
      <c r="P188" s="530"/>
      <c r="Q188" s="543">
        <f t="shared" si="63"/>
        <v>30039.4855906667</v>
      </c>
    </row>
    <row r="189" spans="1:17" ht="20.100000000000001" customHeight="1" x14ac:dyDescent="0.2">
      <c r="A189" s="25">
        <v>56</v>
      </c>
      <c r="B189" s="16" t="s">
        <v>372</v>
      </c>
      <c r="C189" s="10" t="s">
        <v>370</v>
      </c>
      <c r="D189" s="13" t="s">
        <v>568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61"/>
        <v>95540.75</v>
      </c>
      <c r="K189" s="466">
        <v>62980.079250000003</v>
      </c>
      <c r="L189" s="466">
        <f t="shared" si="62"/>
        <v>32560.670750000001</v>
      </c>
      <c r="M189" s="468">
        <v>5230.0987999999998</v>
      </c>
      <c r="N189" s="528">
        <v>2708.9136406666698</v>
      </c>
      <c r="O189" s="529">
        <f t="shared" si="60"/>
        <v>2521.1851593333299</v>
      </c>
      <c r="P189" s="530"/>
      <c r="Q189" s="543">
        <f t="shared" si="63"/>
        <v>30039.4855906667</v>
      </c>
    </row>
    <row r="190" spans="1:17" ht="20.100000000000001" customHeight="1" x14ac:dyDescent="0.2">
      <c r="A190" s="25">
        <v>57</v>
      </c>
      <c r="B190" s="16" t="s">
        <v>373</v>
      </c>
      <c r="C190" s="10" t="s">
        <v>370</v>
      </c>
      <c r="D190" s="13" t="s">
        <v>568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61"/>
        <v>95540.75</v>
      </c>
      <c r="K190" s="466">
        <v>62980.079250000003</v>
      </c>
      <c r="L190" s="466">
        <f t="shared" si="62"/>
        <v>32560.670750000001</v>
      </c>
      <c r="M190" s="468">
        <v>5230.0987999999998</v>
      </c>
      <c r="N190" s="528">
        <v>2708.9136406666698</v>
      </c>
      <c r="O190" s="529">
        <f t="shared" si="60"/>
        <v>2521.1851593333299</v>
      </c>
      <c r="P190" s="530"/>
      <c r="Q190" s="543">
        <f t="shared" si="63"/>
        <v>30039.4855906667</v>
      </c>
    </row>
    <row r="191" spans="1:17" ht="20.100000000000001" customHeight="1" x14ac:dyDescent="0.2">
      <c r="A191" s="25">
        <v>58</v>
      </c>
      <c r="B191" s="16" t="s">
        <v>374</v>
      </c>
      <c r="C191" s="10" t="s">
        <v>375</v>
      </c>
      <c r="D191" s="13" t="s">
        <v>366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61"/>
        <v>108502.5</v>
      </c>
      <c r="K191" s="466">
        <v>72103.749500000005</v>
      </c>
      <c r="L191" s="466">
        <f t="shared" si="62"/>
        <v>36398.750500000002</v>
      </c>
      <c r="M191" s="468">
        <v>6689.8760000000002</v>
      </c>
      <c r="N191" s="528">
        <v>3511.7966226666699</v>
      </c>
      <c r="O191" s="529">
        <f t="shared" si="60"/>
        <v>3178.0793773333298</v>
      </c>
      <c r="P191" s="530"/>
      <c r="Q191" s="543">
        <f t="shared" si="63"/>
        <v>33220.671122666703</v>
      </c>
    </row>
    <row r="192" spans="1:17" ht="20.100000000000001" customHeight="1" x14ac:dyDescent="0.2">
      <c r="A192" s="25">
        <v>59</v>
      </c>
      <c r="B192" s="16" t="s">
        <v>377</v>
      </c>
      <c r="C192" s="10" t="s">
        <v>375</v>
      </c>
      <c r="D192" s="13" t="s">
        <v>366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61"/>
        <v>108502.5</v>
      </c>
      <c r="K192" s="466">
        <v>72103.749500000005</v>
      </c>
      <c r="L192" s="466">
        <f t="shared" si="62"/>
        <v>36398.750500000002</v>
      </c>
      <c r="M192" s="468">
        <v>6689.8760000000002</v>
      </c>
      <c r="N192" s="528">
        <v>3511.7966226666699</v>
      </c>
      <c r="O192" s="529">
        <f t="shared" si="60"/>
        <v>3178.0793773333298</v>
      </c>
      <c r="P192" s="530"/>
      <c r="Q192" s="543">
        <f t="shared" si="63"/>
        <v>33220.671122666703</v>
      </c>
    </row>
    <row r="193" spans="1:17" ht="20.100000000000001" customHeight="1" x14ac:dyDescent="0.5">
      <c r="A193" s="25"/>
      <c r="B193" s="6" t="s">
        <v>111</v>
      </c>
      <c r="C193" s="26" t="s">
        <v>569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6">
        <v>1265795.4594602</v>
      </c>
      <c r="O193" s="536">
        <f t="shared" si="68"/>
        <v>855252.41530113399</v>
      </c>
      <c r="P193" s="537"/>
      <c r="Q193" s="547">
        <f>SUM(Q134:Q192)</f>
        <v>5348132.7878405303</v>
      </c>
    </row>
    <row r="194" spans="1:17" ht="30.75" customHeight="1" x14ac:dyDescent="0.2">
      <c r="A194" s="2"/>
      <c r="B194" s="28" t="s">
        <v>379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4073085.3632239001</v>
      </c>
      <c r="P194" s="193">
        <f t="shared" si="69"/>
        <v>0</v>
      </c>
      <c r="Q194" s="483">
        <f t="shared" si="69"/>
        <v>22700818.566306099</v>
      </c>
    </row>
    <row r="195" spans="1:17" ht="20.100000000000001" customHeight="1" x14ac:dyDescent="0.2">
      <c r="B195" s="31"/>
      <c r="D195" s="32"/>
      <c r="E195" s="32"/>
      <c r="F195" s="32"/>
      <c r="G195" s="194"/>
      <c r="H195" s="194"/>
      <c r="I195" s="194"/>
      <c r="J195" s="194"/>
      <c r="K195" s="194" t="s">
        <v>811</v>
      </c>
      <c r="L195" s="194"/>
      <c r="M195" s="194"/>
      <c r="N195" s="194"/>
      <c r="O195" s="194"/>
      <c r="P195" s="194"/>
      <c r="Q195" s="33"/>
    </row>
    <row r="196" spans="1:17" ht="36.75" customHeight="1" x14ac:dyDescent="0.2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 x14ac:dyDescent="0.2">
      <c r="J197" s="33"/>
      <c r="K197" s="33"/>
      <c r="M197" s="33"/>
    </row>
    <row r="198" spans="1:17" ht="20.100000000000001" customHeight="1" x14ac:dyDescent="0.2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E196"/>
  <sheetViews>
    <sheetView topLeftCell="Q13" workbookViewId="0">
      <selection activeCell="V24" sqref="V24"/>
    </sheetView>
  </sheetViews>
  <sheetFormatPr defaultColWidth="9.03515625" defaultRowHeight="12.75" x14ac:dyDescent="0.15"/>
  <cols>
    <col min="1" max="1" width="6.875" customWidth="1"/>
    <col min="2" max="2" width="39.10546875" customWidth="1"/>
    <col min="3" max="3" width="16.85546875" customWidth="1"/>
    <col min="4" max="4" width="6.7421875" customWidth="1"/>
    <col min="5" max="5" width="13.078125" customWidth="1"/>
    <col min="6" max="6" width="10.24609375" customWidth="1"/>
    <col min="7" max="7" width="9.3046875" customWidth="1"/>
    <col min="8" max="8" width="5.796875" customWidth="1"/>
    <col min="9" max="9" width="12.80859375" customWidth="1"/>
    <col min="10" max="10" width="11.59375" customWidth="1"/>
    <col min="11" max="11" width="6.875" customWidth="1"/>
    <col min="12" max="12" width="10.78515625" customWidth="1"/>
    <col min="13" max="13" width="12.5390625" customWidth="1"/>
    <col min="14" max="14" width="11.0546875" customWidth="1"/>
    <col min="15" max="15" width="12.13671875" customWidth="1"/>
    <col min="16" max="16" width="15.37109375" customWidth="1"/>
    <col min="17" max="17" width="16.5859375" customWidth="1"/>
    <col min="18" max="18" width="9.84375" customWidth="1"/>
    <col min="19" max="19" width="10.515625" customWidth="1"/>
    <col min="20" max="20" width="11.59375" customWidth="1"/>
    <col min="21" max="21" width="12.40625" customWidth="1"/>
    <col min="22" max="22" width="11.59375" customWidth="1"/>
    <col min="23" max="23" width="9.57421875" customWidth="1"/>
    <col min="24" max="24" width="10.78515625" customWidth="1"/>
    <col min="25" max="25" width="9.03515625" customWidth="1"/>
    <col min="26" max="26" width="14.15625" customWidth="1"/>
    <col min="27" max="27" width="16.31640625" customWidth="1"/>
    <col min="28" max="28" width="14.6953125" customWidth="1"/>
    <col min="29" max="29" width="27.375" customWidth="1"/>
  </cols>
  <sheetData>
    <row r="1" spans="1:31" ht="13.5" hidden="1" x14ac:dyDescent="0.15">
      <c r="A1" s="968" t="s">
        <v>0</v>
      </c>
      <c r="B1" s="968"/>
      <c r="C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  <c r="U1" s="968"/>
      <c r="V1" s="968"/>
      <c r="W1" s="968"/>
      <c r="X1" s="968"/>
      <c r="Y1" s="968"/>
      <c r="Z1" s="504"/>
    </row>
    <row r="2" spans="1:31" ht="13.5" hidden="1" x14ac:dyDescent="0.15">
      <c r="A2" s="969" t="s">
        <v>498</v>
      </c>
      <c r="B2" s="969"/>
      <c r="C2" s="969"/>
      <c r="D2" s="969"/>
      <c r="E2" s="969"/>
      <c r="F2" s="969"/>
      <c r="G2" s="969"/>
      <c r="H2" s="969"/>
      <c r="I2" s="969"/>
      <c r="J2" s="969"/>
      <c r="K2" s="969"/>
      <c r="L2" s="969"/>
      <c r="M2" s="969"/>
      <c r="N2" s="969"/>
      <c r="O2" s="969"/>
      <c r="P2" s="969"/>
      <c r="Q2" s="969"/>
      <c r="R2" s="969"/>
      <c r="S2" s="969"/>
      <c r="T2" s="969"/>
      <c r="U2" s="969"/>
      <c r="V2" s="969"/>
      <c r="W2" s="969"/>
      <c r="X2" s="969"/>
      <c r="Y2" s="969"/>
      <c r="Z2" s="504"/>
    </row>
    <row r="3" spans="1:31" ht="13.5" hidden="1" x14ac:dyDescent="0.15">
      <c r="A3" s="970" t="s">
        <v>499</v>
      </c>
      <c r="B3" s="968"/>
      <c r="C3" s="968"/>
      <c r="D3" s="968"/>
      <c r="E3" s="968"/>
      <c r="F3" s="968"/>
      <c r="G3" s="968"/>
      <c r="H3" s="968"/>
      <c r="I3" s="968"/>
      <c r="J3" s="968"/>
      <c r="K3" s="968"/>
      <c r="L3" s="968"/>
      <c r="M3" s="968"/>
      <c r="N3" s="968"/>
      <c r="O3" s="968"/>
      <c r="P3" s="968"/>
      <c r="Q3" s="968"/>
      <c r="R3" s="968"/>
      <c r="S3" s="968"/>
      <c r="T3" s="968"/>
      <c r="U3" s="968"/>
      <c r="V3" s="968"/>
      <c r="W3" s="968"/>
      <c r="X3" s="968"/>
      <c r="Y3" s="968"/>
      <c r="Z3" s="504"/>
    </row>
    <row r="4" spans="1:31" ht="83.25" customHeight="1" x14ac:dyDescent="0.15">
      <c r="A4" s="495" t="s">
        <v>500</v>
      </c>
      <c r="B4" s="496" t="s">
        <v>501</v>
      </c>
      <c r="C4" s="497" t="s">
        <v>502</v>
      </c>
      <c r="D4" s="496" t="s">
        <v>503</v>
      </c>
      <c r="E4" s="497" t="s">
        <v>504</v>
      </c>
      <c r="F4" s="497" t="s">
        <v>505</v>
      </c>
      <c r="G4" s="497" t="s">
        <v>506</v>
      </c>
      <c r="H4" s="497" t="s">
        <v>507</v>
      </c>
      <c r="I4" s="497" t="s">
        <v>508</v>
      </c>
      <c r="J4" s="497"/>
      <c r="K4" s="497"/>
      <c r="L4" s="497"/>
      <c r="M4" s="497" t="s">
        <v>509</v>
      </c>
      <c r="N4" s="497" t="s">
        <v>510</v>
      </c>
      <c r="O4" s="497" t="s">
        <v>511</v>
      </c>
      <c r="P4" s="497" t="s">
        <v>512</v>
      </c>
      <c r="Q4" s="497" t="s">
        <v>513</v>
      </c>
      <c r="R4" s="497" t="s">
        <v>514</v>
      </c>
      <c r="S4" s="497" t="s">
        <v>515</v>
      </c>
      <c r="T4" s="497" t="s">
        <v>516</v>
      </c>
      <c r="U4" s="497" t="s">
        <v>517</v>
      </c>
      <c r="V4" s="497" t="s">
        <v>518</v>
      </c>
      <c r="W4" s="497"/>
      <c r="X4" s="497" t="s">
        <v>519</v>
      </c>
      <c r="Y4" s="497" t="s">
        <v>520</v>
      </c>
      <c r="Z4" s="497" t="s">
        <v>521</v>
      </c>
      <c r="AA4" s="505"/>
      <c r="AB4" s="505" t="s">
        <v>648</v>
      </c>
    </row>
    <row r="5" spans="1:31" ht="18" x14ac:dyDescent="0.2">
      <c r="A5" s="498">
        <v>1</v>
      </c>
      <c r="B5" s="6" t="s">
        <v>22</v>
      </c>
      <c r="C5" s="499"/>
      <c r="D5" s="500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3"/>
      <c r="X5" s="501"/>
      <c r="Y5" s="501"/>
      <c r="Z5" s="501"/>
      <c r="AA5" s="179"/>
      <c r="AB5" s="179"/>
      <c r="AC5" s="179"/>
      <c r="AD5" s="179"/>
      <c r="AE5" s="179"/>
    </row>
    <row r="6" spans="1:31" ht="31.5" x14ac:dyDescent="0.2">
      <c r="A6" s="498">
        <v>3</v>
      </c>
      <c r="B6" s="9" t="s">
        <v>23</v>
      </c>
      <c r="C6" s="422">
        <v>1158849.8400000001</v>
      </c>
      <c r="D6" s="423">
        <v>12</v>
      </c>
      <c r="E6" s="424">
        <f>C6*D6</f>
        <v>13906198.08</v>
      </c>
      <c r="F6" s="424"/>
      <c r="G6" s="424"/>
      <c r="H6" s="424"/>
      <c r="I6" s="424">
        <f t="shared" ref="I6:I75" si="0">E6-F6-G6-H6</f>
        <v>13906198.08</v>
      </c>
      <c r="J6" s="424">
        <v>200000</v>
      </c>
      <c r="K6" s="424">
        <v>0.2</v>
      </c>
      <c r="L6" s="424">
        <f t="shared" ref="L6:L75" si="1">I6*K6</f>
        <v>2781239.6159999999</v>
      </c>
      <c r="M6" s="424">
        <f t="shared" ref="M6:M75" si="2">J6+L6</f>
        <v>2981239.6159999999</v>
      </c>
      <c r="N6" s="424">
        <f t="shared" ref="N6:N75" si="3">F6+G6+H6+M6</f>
        <v>2981239.6159999999</v>
      </c>
      <c r="O6" s="424">
        <f t="shared" ref="O6:O75" si="4">E6-N6</f>
        <v>10924958.464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1853990.0313599999</v>
      </c>
      <c r="V6" s="424">
        <f t="shared" ref="V6:V75" si="11">P6+Q6+R6+S6+T6+U6</f>
        <v>2413990.0313599999</v>
      </c>
      <c r="W6" s="431">
        <v>12</v>
      </c>
      <c r="X6" s="424">
        <f t="shared" ref="X6:X75" si="12">V6/W6</f>
        <v>201165.83594666701</v>
      </c>
      <c r="Y6" s="424"/>
      <c r="Z6" s="424">
        <f t="shared" ref="Z6:Z75" si="13">X6</f>
        <v>201165.83594666701</v>
      </c>
      <c r="AA6" s="179">
        <v>201165.83594666701</v>
      </c>
      <c r="AB6" s="179">
        <f>Z6-AA6</f>
        <v>-3.20142135024071E-10</v>
      </c>
      <c r="AC6" s="179"/>
      <c r="AD6" s="179"/>
      <c r="AE6" s="179"/>
    </row>
    <row r="7" spans="1:31" ht="18" x14ac:dyDescent="0.15">
      <c r="A7" s="498">
        <v>4</v>
      </c>
      <c r="B7" s="9" t="s">
        <v>26</v>
      </c>
      <c r="C7" s="422">
        <v>541465.02474999998</v>
      </c>
      <c r="D7" s="423">
        <v>12</v>
      </c>
      <c r="E7" s="424">
        <f t="shared" ref="E7:E32" si="14">C7*D7</f>
        <v>6497580.2970000003</v>
      </c>
      <c r="F7" s="424"/>
      <c r="G7" s="424"/>
      <c r="H7" s="424"/>
      <c r="I7" s="424">
        <f t="shared" si="0"/>
        <v>6497580.2970000003</v>
      </c>
      <c r="J7" s="424">
        <v>200000</v>
      </c>
      <c r="K7" s="424">
        <v>0.2</v>
      </c>
      <c r="L7" s="424">
        <f t="shared" si="1"/>
        <v>1299516.0593999999</v>
      </c>
      <c r="M7" s="424">
        <f t="shared" si="2"/>
        <v>1499516.0593999999</v>
      </c>
      <c r="N7" s="424">
        <f t="shared" si="3"/>
        <v>1499516.0593999999</v>
      </c>
      <c r="O7" s="424">
        <f t="shared" si="4"/>
        <v>4998064.2375999996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431535.41702400002</v>
      </c>
      <c r="V7" s="424">
        <f t="shared" si="11"/>
        <v>991535.41702399997</v>
      </c>
      <c r="W7" s="431">
        <v>12</v>
      </c>
      <c r="X7" s="424">
        <f t="shared" si="12"/>
        <v>82627.951418666693</v>
      </c>
      <c r="Y7" s="424"/>
      <c r="Z7" s="424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" x14ac:dyDescent="0.15">
      <c r="A8" s="498">
        <v>5</v>
      </c>
      <c r="B8" s="12" t="s">
        <v>29</v>
      </c>
      <c r="C8" s="422">
        <v>741465.02474999998</v>
      </c>
      <c r="D8" s="423">
        <v>12</v>
      </c>
      <c r="E8" s="424">
        <f t="shared" si="14"/>
        <v>8897580.2970000003</v>
      </c>
      <c r="F8" s="424"/>
      <c r="G8" s="424"/>
      <c r="H8" s="424"/>
      <c r="I8" s="424">
        <f t="shared" si="0"/>
        <v>8897580.2970000003</v>
      </c>
      <c r="J8" s="424">
        <v>200000</v>
      </c>
      <c r="K8" s="424">
        <v>0.2</v>
      </c>
      <c r="L8" s="424">
        <f t="shared" si="1"/>
        <v>1779516.0593999999</v>
      </c>
      <c r="M8" s="424">
        <f t="shared" si="2"/>
        <v>1979516.0593999999</v>
      </c>
      <c r="N8" s="424">
        <f t="shared" si="3"/>
        <v>1979516.0593999999</v>
      </c>
      <c r="O8" s="424">
        <f t="shared" si="4"/>
        <v>6918064.2375999996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892335.41702399997</v>
      </c>
      <c r="V8" s="424">
        <f t="shared" si="11"/>
        <v>1452335.4170240001</v>
      </c>
      <c r="W8" s="431">
        <v>12</v>
      </c>
      <c r="X8" s="424">
        <f t="shared" si="12"/>
        <v>121027.951418667</v>
      </c>
      <c r="Y8" s="424"/>
      <c r="Z8" s="424">
        <f t="shared" si="13"/>
        <v>121027.951418667</v>
      </c>
      <c r="AA8" s="179">
        <v>121027.951418667</v>
      </c>
      <c r="AB8" s="179">
        <f t="shared" si="15"/>
        <v>-3.20142135024071E-10</v>
      </c>
      <c r="AC8" s="179"/>
      <c r="AD8" s="179"/>
      <c r="AE8" s="179"/>
    </row>
    <row r="9" spans="1:31" ht="18" x14ac:dyDescent="0.15">
      <c r="A9" s="498">
        <v>6</v>
      </c>
      <c r="B9" s="9" t="s">
        <v>31</v>
      </c>
      <c r="C9" s="422">
        <v>631465.02474999998</v>
      </c>
      <c r="D9" s="423">
        <v>12</v>
      </c>
      <c r="E9" s="424">
        <f t="shared" si="14"/>
        <v>7577580.2970000003</v>
      </c>
      <c r="F9" s="424">
        <f>'[8]JANUARY 2024'!$V$10*12</f>
        <v>12795.950999999999</v>
      </c>
      <c r="G9" s="424"/>
      <c r="H9" s="424"/>
      <c r="I9" s="424">
        <f t="shared" si="0"/>
        <v>7564784.3459999999</v>
      </c>
      <c r="J9" s="424">
        <v>200000</v>
      </c>
      <c r="K9" s="424">
        <v>0.2</v>
      </c>
      <c r="L9" s="424">
        <f t="shared" si="1"/>
        <v>1512956.8692000001</v>
      </c>
      <c r="M9" s="424">
        <f t="shared" si="2"/>
        <v>1712956.8692000001</v>
      </c>
      <c r="N9" s="424">
        <f t="shared" si="3"/>
        <v>1725752.8202</v>
      </c>
      <c r="O9" s="424">
        <f t="shared" si="4"/>
        <v>5851827.4768000003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636438.59443199995</v>
      </c>
      <c r="V9" s="424">
        <f t="shared" si="11"/>
        <v>1196438.5944320001</v>
      </c>
      <c r="W9" s="431">
        <v>12</v>
      </c>
      <c r="X9" s="424">
        <f t="shared" si="12"/>
        <v>99703.216202666707</v>
      </c>
      <c r="Y9" s="424"/>
      <c r="Z9" s="424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" x14ac:dyDescent="0.15">
      <c r="A10" s="498">
        <v>7</v>
      </c>
      <c r="B10" s="12" t="s">
        <v>271</v>
      </c>
      <c r="C10" s="422">
        <v>691465.02474999998</v>
      </c>
      <c r="D10" s="423">
        <v>12</v>
      </c>
      <c r="E10" s="424">
        <f t="shared" si="14"/>
        <v>8297580.2970000003</v>
      </c>
      <c r="F10" s="424">
        <f>'[8]JANUARY 2024'!$V$10*12</f>
        <v>12795.950999999999</v>
      </c>
      <c r="G10" s="424"/>
      <c r="H10" s="424"/>
      <c r="I10" s="424">
        <f t="shared" si="0"/>
        <v>8284784.3459999999</v>
      </c>
      <c r="J10" s="424">
        <v>200000</v>
      </c>
      <c r="K10" s="424">
        <v>0.2</v>
      </c>
      <c r="L10" s="424">
        <f t="shared" si="1"/>
        <v>1656956.8692000001</v>
      </c>
      <c r="M10" s="424">
        <f t="shared" si="2"/>
        <v>1856956.8692000001</v>
      </c>
      <c r="N10" s="424">
        <f t="shared" si="3"/>
        <v>1869752.8202</v>
      </c>
      <c r="O10" s="424">
        <f t="shared" si="4"/>
        <v>6427827.4768000003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774678.59443199995</v>
      </c>
      <c r="V10" s="424">
        <f t="shared" si="11"/>
        <v>1334678.5944320001</v>
      </c>
      <c r="W10" s="431">
        <v>12</v>
      </c>
      <c r="X10" s="424">
        <f t="shared" si="12"/>
        <v>111223.216202667</v>
      </c>
      <c r="Y10" s="424"/>
      <c r="Z10" s="424">
        <f t="shared" si="13"/>
        <v>111223.216202667</v>
      </c>
      <c r="AA10" s="179">
        <v>111223.216202667</v>
      </c>
      <c r="AB10" s="179">
        <f t="shared" si="15"/>
        <v>-3.20142135024071E-10</v>
      </c>
      <c r="AC10" s="179"/>
      <c r="AD10" s="179"/>
      <c r="AE10" s="179"/>
    </row>
    <row r="11" spans="1:31" ht="18" x14ac:dyDescent="0.15">
      <c r="A11" s="498">
        <v>8</v>
      </c>
      <c r="B11" s="16" t="s">
        <v>530</v>
      </c>
      <c r="C11" s="422">
        <v>641465.02474999998</v>
      </c>
      <c r="D11" s="423">
        <v>12</v>
      </c>
      <c r="E11" s="424">
        <f t="shared" si="14"/>
        <v>7697580.2970000003</v>
      </c>
      <c r="F11" s="424"/>
      <c r="G11" s="424"/>
      <c r="H11" s="424"/>
      <c r="I11" s="424">
        <f t="shared" si="0"/>
        <v>7697580.2970000003</v>
      </c>
      <c r="J11" s="424">
        <v>200000</v>
      </c>
      <c r="K11" s="424">
        <v>0.2</v>
      </c>
      <c r="L11" s="424">
        <f t="shared" si="1"/>
        <v>1539516.0593999999</v>
      </c>
      <c r="M11" s="424">
        <f t="shared" si="2"/>
        <v>1739516.0593999999</v>
      </c>
      <c r="N11" s="424">
        <f t="shared" si="3"/>
        <v>1739516.0593999999</v>
      </c>
      <c r="O11" s="424">
        <f t="shared" si="4"/>
        <v>5958064.2375999996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661935.41702399997</v>
      </c>
      <c r="V11" s="424">
        <f t="shared" si="11"/>
        <v>1221935.4170240001</v>
      </c>
      <c r="W11" s="431">
        <v>12</v>
      </c>
      <c r="X11" s="424">
        <f t="shared" si="12"/>
        <v>101827.951418667</v>
      </c>
      <c r="Y11" s="424"/>
      <c r="Z11" s="424">
        <f t="shared" si="13"/>
        <v>101827.951418667</v>
      </c>
      <c r="AA11" s="179">
        <v>101827.951418667</v>
      </c>
      <c r="AB11" s="179">
        <f t="shared" si="15"/>
        <v>-3.20142135024071E-10</v>
      </c>
      <c r="AC11" s="179"/>
      <c r="AD11" s="179"/>
      <c r="AE11" s="179"/>
    </row>
    <row r="12" spans="1:31" ht="18" x14ac:dyDescent="0.15">
      <c r="A12" s="498">
        <v>9</v>
      </c>
      <c r="B12" s="9" t="s">
        <v>33</v>
      </c>
      <c r="C12" s="422">
        <v>497553.5025</v>
      </c>
      <c r="D12" s="423">
        <v>12</v>
      </c>
      <c r="E12" s="424">
        <f t="shared" si="14"/>
        <v>5970642.0300000003</v>
      </c>
      <c r="F12" s="424">
        <f>'[8]JANUARY 2024'!$V$13*12</f>
        <v>10052.25</v>
      </c>
      <c r="G12" s="424"/>
      <c r="H12" s="424"/>
      <c r="I12" s="424">
        <f t="shared" si="0"/>
        <v>5960589.7800000003</v>
      </c>
      <c r="J12" s="424">
        <v>200000</v>
      </c>
      <c r="K12" s="424">
        <v>0.2</v>
      </c>
      <c r="L12" s="424">
        <f t="shared" si="1"/>
        <v>1192117.956</v>
      </c>
      <c r="M12" s="424">
        <f t="shared" si="2"/>
        <v>1392117.956</v>
      </c>
      <c r="N12" s="424">
        <f t="shared" si="3"/>
        <v>1402170.206</v>
      </c>
      <c r="O12" s="424">
        <f t="shared" si="4"/>
        <v>4568471.824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328433.23775999999</v>
      </c>
      <c r="V12" s="424">
        <f t="shared" si="11"/>
        <v>888433.23776000005</v>
      </c>
      <c r="W12" s="431">
        <v>12</v>
      </c>
      <c r="X12" s="424">
        <f t="shared" si="12"/>
        <v>74036.103146666705</v>
      </c>
      <c r="Y12" s="424"/>
      <c r="Z12" s="424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" x14ac:dyDescent="0.15">
      <c r="A13" s="498">
        <v>10</v>
      </c>
      <c r="B13" s="9" t="s">
        <v>36</v>
      </c>
      <c r="C13" s="422">
        <v>604729.22199999995</v>
      </c>
      <c r="D13" s="423">
        <v>12</v>
      </c>
      <c r="E13" s="424">
        <f t="shared" si="14"/>
        <v>7256750.6639999999</v>
      </c>
      <c r="F13" s="424">
        <f>'[8]JANUARY 2024'!$V$14*12</f>
        <v>9305.9519999999993</v>
      </c>
      <c r="G13" s="424"/>
      <c r="H13" s="424"/>
      <c r="I13" s="424">
        <f t="shared" si="0"/>
        <v>7247444.7120000003</v>
      </c>
      <c r="J13" s="424">
        <v>200000</v>
      </c>
      <c r="K13" s="424">
        <v>0.2</v>
      </c>
      <c r="L13" s="424">
        <f t="shared" si="1"/>
        <v>1449488.9424000001</v>
      </c>
      <c r="M13" s="424">
        <f t="shared" si="2"/>
        <v>1649488.9424000001</v>
      </c>
      <c r="N13" s="424">
        <f t="shared" si="3"/>
        <v>1658794.8944000001</v>
      </c>
      <c r="O13" s="424">
        <f t="shared" si="4"/>
        <v>5597955.7696000002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575509.38470399997</v>
      </c>
      <c r="V13" s="424">
        <f t="shared" si="11"/>
        <v>1135509.3847040001</v>
      </c>
      <c r="W13" s="431">
        <v>12</v>
      </c>
      <c r="X13" s="424">
        <f t="shared" si="12"/>
        <v>94625.782058666606</v>
      </c>
      <c r="Y13" s="424"/>
      <c r="Z13" s="424">
        <f t="shared" si="13"/>
        <v>94625.782058666606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" x14ac:dyDescent="0.15">
      <c r="A14" s="498">
        <v>11</v>
      </c>
      <c r="B14" s="9" t="s">
        <v>39</v>
      </c>
      <c r="C14" s="422">
        <v>343333.03525000002</v>
      </c>
      <c r="D14" s="423">
        <v>12</v>
      </c>
      <c r="E14" s="424">
        <f t="shared" si="14"/>
        <v>4119996.423</v>
      </c>
      <c r="F14" s="424"/>
      <c r="G14" s="424"/>
      <c r="H14" s="424"/>
      <c r="I14" s="424">
        <f t="shared" si="0"/>
        <v>4119996.423</v>
      </c>
      <c r="J14" s="424">
        <v>200000</v>
      </c>
      <c r="K14" s="424">
        <v>0.2</v>
      </c>
      <c r="L14" s="424">
        <f t="shared" si="1"/>
        <v>823999.28460000001</v>
      </c>
      <c r="M14" s="424">
        <f t="shared" si="2"/>
        <v>1023999.2846</v>
      </c>
      <c r="N14" s="424">
        <f t="shared" si="3"/>
        <v>1023999.2846</v>
      </c>
      <c r="O14" s="424">
        <f t="shared" si="4"/>
        <v>3095997.1384000001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314159.399064</v>
      </c>
      <c r="U14" s="424"/>
      <c r="V14" s="424">
        <f t="shared" si="11"/>
        <v>538159.399064</v>
      </c>
      <c r="W14" s="431">
        <v>12</v>
      </c>
      <c r="X14" s="424">
        <f t="shared" si="12"/>
        <v>44846.6165886667</v>
      </c>
      <c r="Y14" s="424"/>
      <c r="Z14" s="424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" x14ac:dyDescent="0.15">
      <c r="A15" s="498">
        <v>12</v>
      </c>
      <c r="B15" s="12" t="s">
        <v>42</v>
      </c>
      <c r="C15" s="422">
        <v>463333.03525000002</v>
      </c>
      <c r="D15" s="423">
        <v>12</v>
      </c>
      <c r="E15" s="424">
        <f t="shared" si="14"/>
        <v>5559996.4230000004</v>
      </c>
      <c r="F15" s="424"/>
      <c r="G15" s="424"/>
      <c r="H15" s="424"/>
      <c r="I15" s="424">
        <f t="shared" si="0"/>
        <v>5559996.4230000004</v>
      </c>
      <c r="J15" s="424">
        <v>200000</v>
      </c>
      <c r="K15" s="424">
        <v>0.2</v>
      </c>
      <c r="L15" s="424">
        <f t="shared" si="1"/>
        <v>1111999.2845999999</v>
      </c>
      <c r="M15" s="424">
        <f t="shared" si="2"/>
        <v>1311999.2845999999</v>
      </c>
      <c r="N15" s="424">
        <f t="shared" si="3"/>
        <v>1311999.2845999999</v>
      </c>
      <c r="O15" s="424">
        <f t="shared" si="4"/>
        <v>4247997.1383999996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251519.31321600001</v>
      </c>
      <c r="V15" s="424">
        <f t="shared" si="11"/>
        <v>811519.31321599998</v>
      </c>
      <c r="W15" s="431">
        <v>12</v>
      </c>
      <c r="X15" s="424">
        <f t="shared" si="12"/>
        <v>67626.609434666694</v>
      </c>
      <c r="Y15" s="424"/>
      <c r="Z15" s="506">
        <f t="shared" si="13"/>
        <v>67626.609434666694</v>
      </c>
      <c r="AA15" s="507">
        <v>46666.666666666701</v>
      </c>
      <c r="AB15" s="507">
        <f t="shared" si="15"/>
        <v>20959.942768000001</v>
      </c>
      <c r="AC15" s="179"/>
      <c r="AD15" s="179"/>
      <c r="AE15" s="179"/>
    </row>
    <row r="16" spans="1:31" ht="18" x14ac:dyDescent="0.15">
      <c r="A16" s="498">
        <v>13</v>
      </c>
      <c r="B16" s="9" t="s">
        <v>44</v>
      </c>
      <c r="C16" s="422">
        <v>547211.36750000005</v>
      </c>
      <c r="D16" s="423">
        <v>12</v>
      </c>
      <c r="E16" s="424">
        <f t="shared" si="14"/>
        <v>6566536.4100000001</v>
      </c>
      <c r="F16" s="424"/>
      <c r="G16" s="424"/>
      <c r="H16" s="424"/>
      <c r="I16" s="424">
        <f t="shared" si="0"/>
        <v>6566536.4100000001</v>
      </c>
      <c r="J16" s="424">
        <v>200000</v>
      </c>
      <c r="K16" s="424">
        <v>0.2</v>
      </c>
      <c r="L16" s="424">
        <f t="shared" si="1"/>
        <v>1313307.2819999999</v>
      </c>
      <c r="M16" s="424">
        <f t="shared" si="2"/>
        <v>1513307.2819999999</v>
      </c>
      <c r="N16" s="424">
        <f t="shared" si="3"/>
        <v>1513307.2819999999</v>
      </c>
      <c r="O16" s="424">
        <f t="shared" si="4"/>
        <v>5053229.1279999996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444774.99072</v>
      </c>
      <c r="V16" s="424">
        <f t="shared" si="11"/>
        <v>1004774.99072</v>
      </c>
      <c r="W16" s="431">
        <v>12</v>
      </c>
      <c r="X16" s="424">
        <f t="shared" si="12"/>
        <v>83731.249226666696</v>
      </c>
      <c r="Y16" s="424"/>
      <c r="Z16" s="506">
        <f t="shared" si="13"/>
        <v>83731.249226666696</v>
      </c>
      <c r="AA16" s="507">
        <v>46666.666666666701</v>
      </c>
      <c r="AB16" s="507">
        <f t="shared" si="15"/>
        <v>37064.582560000003</v>
      </c>
      <c r="AC16" s="179"/>
      <c r="AD16" s="179"/>
      <c r="AE16" s="179"/>
    </row>
    <row r="17" spans="1:31" ht="18" x14ac:dyDescent="0.15">
      <c r="A17" s="498">
        <v>14</v>
      </c>
      <c r="B17" s="9" t="s">
        <v>47</v>
      </c>
      <c r="C17" s="422">
        <v>326663.07750000001</v>
      </c>
      <c r="D17" s="423">
        <v>12</v>
      </c>
      <c r="E17" s="424">
        <f t="shared" si="14"/>
        <v>3919956.93</v>
      </c>
      <c r="F17" s="424"/>
      <c r="G17" s="424"/>
      <c r="H17" s="424"/>
      <c r="I17" s="424">
        <f t="shared" si="0"/>
        <v>3919956.93</v>
      </c>
      <c r="J17" s="424">
        <v>200000</v>
      </c>
      <c r="K17" s="424">
        <v>0.2</v>
      </c>
      <c r="L17" s="424">
        <f t="shared" si="1"/>
        <v>783991.38600000006</v>
      </c>
      <c r="M17" s="424">
        <f t="shared" si="2"/>
        <v>983991.38600000006</v>
      </c>
      <c r="N17" s="424">
        <f t="shared" si="3"/>
        <v>983991.38600000006</v>
      </c>
      <c r="O17" s="424">
        <f t="shared" si="4"/>
        <v>2935965.5440000002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280552.76423999999</v>
      </c>
      <c r="U17" s="424"/>
      <c r="V17" s="424">
        <f t="shared" si="11"/>
        <v>504552.76423999999</v>
      </c>
      <c r="W17" s="431">
        <v>12</v>
      </c>
      <c r="X17" s="424">
        <f t="shared" si="12"/>
        <v>42046.063686666697</v>
      </c>
      <c r="Y17" s="424"/>
      <c r="Z17" s="424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" x14ac:dyDescent="0.15">
      <c r="A18" s="498">
        <v>15</v>
      </c>
      <c r="B18" s="9" t="s">
        <v>50</v>
      </c>
      <c r="C18" s="422">
        <v>369177.65375</v>
      </c>
      <c r="D18" s="423">
        <v>12</v>
      </c>
      <c r="E18" s="424">
        <f t="shared" si="14"/>
        <v>4430131.8449999997</v>
      </c>
      <c r="F18" s="424"/>
      <c r="G18" s="424"/>
      <c r="H18" s="424"/>
      <c r="I18" s="424">
        <f t="shared" si="0"/>
        <v>4430131.8449999997</v>
      </c>
      <c r="J18" s="424">
        <v>200000</v>
      </c>
      <c r="K18" s="424">
        <v>0.2</v>
      </c>
      <c r="L18" s="424">
        <f t="shared" si="1"/>
        <v>886026.36899999995</v>
      </c>
      <c r="M18" s="424">
        <f t="shared" si="2"/>
        <v>1086026.3689999999</v>
      </c>
      <c r="N18" s="424">
        <f t="shared" si="3"/>
        <v>1086026.3689999999</v>
      </c>
      <c r="O18" s="424">
        <f t="shared" si="4"/>
        <v>3344105.4759999998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34585.314239999898</v>
      </c>
      <c r="V18" s="424">
        <f t="shared" si="11"/>
        <v>594585.31423999998</v>
      </c>
      <c r="W18" s="431">
        <v>12</v>
      </c>
      <c r="X18" s="424">
        <f t="shared" si="12"/>
        <v>49548.776186666699</v>
      </c>
      <c r="Y18" s="424"/>
      <c r="Z18" s="506">
        <f t="shared" si="13"/>
        <v>49548.776186666699</v>
      </c>
      <c r="AA18" s="507">
        <v>46666.666666666701</v>
      </c>
      <c r="AB18" s="507">
        <f t="shared" si="15"/>
        <v>2882.10951999996</v>
      </c>
      <c r="AC18" s="179"/>
      <c r="AD18" s="179"/>
      <c r="AE18" s="179"/>
    </row>
    <row r="19" spans="1:31" ht="18" x14ac:dyDescent="0.15">
      <c r="A19" s="498">
        <v>16</v>
      </c>
      <c r="B19" s="16" t="s">
        <v>53</v>
      </c>
      <c r="C19" s="422">
        <v>462001.06050000002</v>
      </c>
      <c r="D19" s="423">
        <v>12</v>
      </c>
      <c r="E19" s="424">
        <f t="shared" si="14"/>
        <v>5544012.7259999998</v>
      </c>
      <c r="F19" s="424"/>
      <c r="G19" s="424"/>
      <c r="H19" s="424"/>
      <c r="I19" s="424">
        <f t="shared" si="0"/>
        <v>5544012.7259999998</v>
      </c>
      <c r="J19" s="424">
        <v>200000</v>
      </c>
      <c r="K19" s="424">
        <v>0.2</v>
      </c>
      <c r="L19" s="424">
        <f t="shared" si="1"/>
        <v>1108802.5452000001</v>
      </c>
      <c r="M19" s="424">
        <f t="shared" si="2"/>
        <v>1308802.5452000001</v>
      </c>
      <c r="N19" s="424">
        <f t="shared" si="3"/>
        <v>1308802.5452000001</v>
      </c>
      <c r="O19" s="424">
        <f t="shared" si="4"/>
        <v>4235210.1808000002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248450.44339199999</v>
      </c>
      <c r="V19" s="424">
        <f t="shared" si="11"/>
        <v>808450.44339200004</v>
      </c>
      <c r="W19" s="431">
        <v>12</v>
      </c>
      <c r="X19" s="424">
        <f t="shared" si="12"/>
        <v>67370.870282666699</v>
      </c>
      <c r="Y19" s="424"/>
      <c r="Z19" s="506">
        <f t="shared" si="13"/>
        <v>67370.870282666699</v>
      </c>
      <c r="AA19" s="507">
        <v>46666.666666666701</v>
      </c>
      <c r="AB19" s="507">
        <f t="shared" si="15"/>
        <v>20704.203615999999</v>
      </c>
      <c r="AC19" s="179"/>
      <c r="AD19" s="179"/>
      <c r="AE19" s="179"/>
    </row>
    <row r="20" spans="1:31" ht="18" x14ac:dyDescent="0.15">
      <c r="A20" s="498">
        <v>17</v>
      </c>
      <c r="B20" s="9" t="s">
        <v>63</v>
      </c>
      <c r="C20" s="422">
        <v>384536.99849999999</v>
      </c>
      <c r="D20" s="423">
        <v>12</v>
      </c>
      <c r="E20" s="424">
        <f t="shared" si="14"/>
        <v>4614443.9819999998</v>
      </c>
      <c r="F20" s="424"/>
      <c r="G20" s="424"/>
      <c r="H20" s="424"/>
      <c r="I20" s="424">
        <f t="shared" si="0"/>
        <v>4614443.9819999998</v>
      </c>
      <c r="J20" s="424">
        <v>200000</v>
      </c>
      <c r="K20" s="424">
        <v>0.2</v>
      </c>
      <c r="L20" s="424">
        <f t="shared" si="1"/>
        <v>922888.79639999999</v>
      </c>
      <c r="M20" s="424">
        <f t="shared" si="2"/>
        <v>1122888.7964000001</v>
      </c>
      <c r="N20" s="424">
        <f t="shared" si="3"/>
        <v>1122888.7964000001</v>
      </c>
      <c r="O20" s="424">
        <f t="shared" si="4"/>
        <v>3491555.1856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69973.244544000001</v>
      </c>
      <c r="V20" s="424">
        <f t="shared" si="11"/>
        <v>629973.24454400002</v>
      </c>
      <c r="W20" s="431">
        <v>12</v>
      </c>
      <c r="X20" s="424">
        <f t="shared" si="12"/>
        <v>52497.770378666697</v>
      </c>
      <c r="Y20" s="424"/>
      <c r="Z20" s="424">
        <f t="shared" si="13"/>
        <v>52497.770378666697</v>
      </c>
      <c r="AA20" s="179">
        <v>52497.770378666602</v>
      </c>
      <c r="AB20" s="179">
        <f t="shared" si="15"/>
        <v>6.5483618527650794E-11</v>
      </c>
      <c r="AC20" s="179"/>
      <c r="AD20" s="179"/>
      <c r="AE20" s="179"/>
    </row>
    <row r="21" spans="1:31" ht="18" x14ac:dyDescent="0.15">
      <c r="A21" s="498">
        <v>18</v>
      </c>
      <c r="B21" s="12" t="s">
        <v>66</v>
      </c>
      <c r="C21" s="422">
        <v>400372.07500000001</v>
      </c>
      <c r="D21" s="423">
        <v>12</v>
      </c>
      <c r="E21" s="424">
        <f t="shared" si="14"/>
        <v>4804464.9000000004</v>
      </c>
      <c r="F21" s="424"/>
      <c r="G21" s="424"/>
      <c r="H21" s="424"/>
      <c r="I21" s="424">
        <f t="shared" si="0"/>
        <v>4804464.9000000004</v>
      </c>
      <c r="J21" s="424">
        <v>200000</v>
      </c>
      <c r="K21" s="424">
        <v>0.2</v>
      </c>
      <c r="L21" s="424">
        <f t="shared" si="1"/>
        <v>960892.98</v>
      </c>
      <c r="M21" s="424">
        <f t="shared" si="2"/>
        <v>1160892.98</v>
      </c>
      <c r="N21" s="424">
        <f t="shared" si="3"/>
        <v>1160892.98</v>
      </c>
      <c r="O21" s="424">
        <f t="shared" si="4"/>
        <v>3643571.92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106457.2608</v>
      </c>
      <c r="V21" s="424">
        <f t="shared" si="11"/>
        <v>666457.26080000005</v>
      </c>
      <c r="W21" s="431">
        <v>12</v>
      </c>
      <c r="X21" s="424">
        <f t="shared" si="12"/>
        <v>55538.1050666667</v>
      </c>
      <c r="Y21" s="424"/>
      <c r="Z21" s="506">
        <f t="shared" si="13"/>
        <v>55538.1050666667</v>
      </c>
      <c r="AA21" s="507">
        <v>46666.666666666701</v>
      </c>
      <c r="AB21" s="507">
        <f t="shared" si="15"/>
        <v>8871.43839999997</v>
      </c>
      <c r="AC21" s="179"/>
      <c r="AD21" s="179"/>
      <c r="AE21" s="179"/>
    </row>
    <row r="22" spans="1:31" ht="18" x14ac:dyDescent="0.15">
      <c r="A22" s="498">
        <v>19</v>
      </c>
      <c r="B22" s="9" t="s">
        <v>69</v>
      </c>
      <c r="C22" s="422">
        <f>1015372.075-700000</f>
        <v>315372.07500000001</v>
      </c>
      <c r="D22" s="423">
        <v>12</v>
      </c>
      <c r="E22" s="424">
        <f t="shared" si="14"/>
        <v>3784464.9</v>
      </c>
      <c r="F22" s="424"/>
      <c r="G22" s="424"/>
      <c r="H22" s="424"/>
      <c r="I22" s="424">
        <f t="shared" si="0"/>
        <v>3784464.9</v>
      </c>
      <c r="J22" s="424">
        <v>200000</v>
      </c>
      <c r="K22" s="424">
        <v>0.2</v>
      </c>
      <c r="L22" s="424">
        <f t="shared" si="1"/>
        <v>756892.98</v>
      </c>
      <c r="M22" s="424">
        <f t="shared" si="2"/>
        <v>956892.98</v>
      </c>
      <c r="N22" s="424">
        <f t="shared" si="3"/>
        <v>956892.98</v>
      </c>
      <c r="O22" s="424">
        <f t="shared" si="4"/>
        <v>2827571.92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257790.10320000001</v>
      </c>
      <c r="U22" s="424"/>
      <c r="V22" s="424">
        <f t="shared" si="11"/>
        <v>481790.10320000001</v>
      </c>
      <c r="W22" s="431">
        <v>12</v>
      </c>
      <c r="X22" s="424">
        <f t="shared" si="12"/>
        <v>40149.175266666702</v>
      </c>
      <c r="Y22" s="424"/>
      <c r="Z22" s="508">
        <f t="shared" si="13"/>
        <v>40149.175266666702</v>
      </c>
      <c r="AA22" s="509">
        <v>46666.666666666701</v>
      </c>
      <c r="AB22" s="509">
        <f t="shared" si="15"/>
        <v>-6517.4914000000399</v>
      </c>
      <c r="AC22" s="179" t="s">
        <v>812</v>
      </c>
      <c r="AD22" s="179"/>
      <c r="AE22" s="179"/>
    </row>
    <row r="23" spans="1:31" ht="18" x14ac:dyDescent="0.15">
      <c r="A23" s="498">
        <v>20</v>
      </c>
      <c r="B23" s="12" t="s">
        <v>71</v>
      </c>
      <c r="C23" s="422">
        <v>328602.07775</v>
      </c>
      <c r="D23" s="423">
        <v>12</v>
      </c>
      <c r="E23" s="424">
        <f t="shared" si="14"/>
        <v>3943224.9330000002</v>
      </c>
      <c r="F23" s="424"/>
      <c r="G23" s="424"/>
      <c r="H23" s="424"/>
      <c r="I23" s="424">
        <f t="shared" si="0"/>
        <v>3943224.9330000002</v>
      </c>
      <c r="J23" s="424">
        <v>200000</v>
      </c>
      <c r="K23" s="424">
        <v>0.2</v>
      </c>
      <c r="L23" s="424">
        <f t="shared" si="1"/>
        <v>788644.98659999995</v>
      </c>
      <c r="M23" s="424">
        <f t="shared" si="2"/>
        <v>988644.98659999995</v>
      </c>
      <c r="N23" s="424">
        <f t="shared" si="3"/>
        <v>988644.98659999995</v>
      </c>
      <c r="O23" s="424">
        <f t="shared" si="4"/>
        <v>2954579.9463999998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284461.78874400002</v>
      </c>
      <c r="U23" s="424"/>
      <c r="V23" s="424">
        <f t="shared" si="11"/>
        <v>508461.78874400002</v>
      </c>
      <c r="W23" s="431">
        <v>12</v>
      </c>
      <c r="X23" s="424">
        <f t="shared" si="12"/>
        <v>42371.815728666697</v>
      </c>
      <c r="Y23" s="424"/>
      <c r="Z23" s="424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4" customFormat="1" ht="18" x14ac:dyDescent="0.2">
      <c r="A24" s="502">
        <v>21</v>
      </c>
      <c r="B24" s="2" t="s">
        <v>77</v>
      </c>
      <c r="C24" s="422">
        <v>213508.01</v>
      </c>
      <c r="D24" s="423">
        <v>12</v>
      </c>
      <c r="E24" s="424">
        <f t="shared" si="14"/>
        <v>2562096.12</v>
      </c>
      <c r="F24" s="424"/>
      <c r="G24" s="424"/>
      <c r="H24" s="424"/>
      <c r="I24" s="424">
        <f t="shared" si="0"/>
        <v>2562096.12</v>
      </c>
      <c r="J24" s="424">
        <v>200000</v>
      </c>
      <c r="K24" s="424">
        <v>0.2</v>
      </c>
      <c r="L24" s="424">
        <f t="shared" si="1"/>
        <v>512419.22399999999</v>
      </c>
      <c r="M24" s="424">
        <f t="shared" si="2"/>
        <v>712419.22400000005</v>
      </c>
      <c r="N24" s="424">
        <f t="shared" si="3"/>
        <v>712419.22400000005</v>
      </c>
      <c r="O24" s="424">
        <f t="shared" si="4"/>
        <v>1849676.8959999999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52432.148159999997</v>
      </c>
      <c r="U24" s="424"/>
      <c r="V24" s="424">
        <f t="shared" si="11"/>
        <v>276432.14815999998</v>
      </c>
      <c r="W24" s="431">
        <v>12</v>
      </c>
      <c r="X24" s="424">
        <f t="shared" si="12"/>
        <v>23036.012346666699</v>
      </c>
      <c r="Y24" s="424"/>
      <c r="Z24" s="424">
        <f t="shared" si="13"/>
        <v>23036.012346666699</v>
      </c>
      <c r="AA24" s="510">
        <v>23036.012346666699</v>
      </c>
      <c r="AB24" s="179">
        <f t="shared" si="15"/>
        <v>-2.91038304567337E-11</v>
      </c>
      <c r="AC24" s="510"/>
      <c r="AD24" s="510"/>
      <c r="AE24" s="510"/>
    </row>
    <row r="25" spans="1:31" ht="18" x14ac:dyDescent="0.15">
      <c r="A25" s="498">
        <v>22</v>
      </c>
      <c r="B25" s="16" t="s">
        <v>80</v>
      </c>
      <c r="C25" s="422">
        <v>213508.01</v>
      </c>
      <c r="D25" s="423">
        <v>12</v>
      </c>
      <c r="E25" s="424">
        <f t="shared" si="14"/>
        <v>2562096.12</v>
      </c>
      <c r="F25" s="424"/>
      <c r="G25" s="424"/>
      <c r="H25" s="424"/>
      <c r="I25" s="424">
        <f t="shared" si="0"/>
        <v>2562096.12</v>
      </c>
      <c r="J25" s="424">
        <v>200000</v>
      </c>
      <c r="K25" s="424">
        <v>0.2</v>
      </c>
      <c r="L25" s="424">
        <f t="shared" si="1"/>
        <v>512419.22399999999</v>
      </c>
      <c r="M25" s="424">
        <f t="shared" si="2"/>
        <v>712419.22400000005</v>
      </c>
      <c r="N25" s="424">
        <f t="shared" si="3"/>
        <v>712419.22400000005</v>
      </c>
      <c r="O25" s="424">
        <f t="shared" si="4"/>
        <v>1849676.8959999999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52432.148159999997</v>
      </c>
      <c r="U25" s="424"/>
      <c r="V25" s="424">
        <f t="shared" si="11"/>
        <v>276432.14815999998</v>
      </c>
      <c r="W25" s="431">
        <v>12</v>
      </c>
      <c r="X25" s="424">
        <f t="shared" si="12"/>
        <v>23036.012346666699</v>
      </c>
      <c r="Y25" s="424"/>
      <c r="Z25" s="424">
        <f t="shared" si="13"/>
        <v>23036.012346666699</v>
      </c>
      <c r="AA25" s="179">
        <v>23036.012346666699</v>
      </c>
      <c r="AB25" s="179">
        <f t="shared" si="15"/>
        <v>-2.91038304567337E-11</v>
      </c>
      <c r="AC25" s="179"/>
      <c r="AD25" s="179"/>
      <c r="AE25" s="179"/>
    </row>
    <row r="26" spans="1:31" ht="18" x14ac:dyDescent="0.15">
      <c r="A26" s="498">
        <v>23</v>
      </c>
      <c r="B26" s="9" t="s">
        <v>81</v>
      </c>
      <c r="C26" s="422">
        <v>253508.01</v>
      </c>
      <c r="D26" s="423">
        <v>12</v>
      </c>
      <c r="E26" s="424">
        <f t="shared" si="14"/>
        <v>3042096.12</v>
      </c>
      <c r="F26" s="424"/>
      <c r="G26" s="424"/>
      <c r="H26" s="424"/>
      <c r="I26" s="424">
        <f t="shared" si="0"/>
        <v>3042096.12</v>
      </c>
      <c r="J26" s="424">
        <v>200000</v>
      </c>
      <c r="K26" s="424">
        <v>0.2</v>
      </c>
      <c r="L26" s="424">
        <f t="shared" si="1"/>
        <v>608419.22400000005</v>
      </c>
      <c r="M26" s="424">
        <f t="shared" si="2"/>
        <v>808419.22400000005</v>
      </c>
      <c r="N26" s="424">
        <f t="shared" si="3"/>
        <v>808419.22400000005</v>
      </c>
      <c r="O26" s="424">
        <f t="shared" si="4"/>
        <v>2233676.8960000002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133072.14816000001</v>
      </c>
      <c r="U26" s="424"/>
      <c r="V26" s="424">
        <f t="shared" si="11"/>
        <v>357072.14815999998</v>
      </c>
      <c r="W26" s="431">
        <v>12</v>
      </c>
      <c r="X26" s="424">
        <f t="shared" si="12"/>
        <v>29756.012346666699</v>
      </c>
      <c r="Y26" s="424"/>
      <c r="Z26" s="424">
        <f t="shared" si="13"/>
        <v>29756.012346666699</v>
      </c>
      <c r="AA26" s="179">
        <v>29756.012346666699</v>
      </c>
      <c r="AB26" s="179">
        <f t="shared" si="15"/>
        <v>-2.91038304567337E-11</v>
      </c>
      <c r="AC26" s="179"/>
      <c r="AD26" s="179"/>
      <c r="AE26" s="179"/>
    </row>
    <row r="27" spans="1:31" ht="18" x14ac:dyDescent="0.15">
      <c r="A27" s="498">
        <v>24</v>
      </c>
      <c r="B27" s="16" t="s">
        <v>82</v>
      </c>
      <c r="C27" s="422">
        <v>209356.04725</v>
      </c>
      <c r="D27" s="423">
        <v>12</v>
      </c>
      <c r="E27" s="424">
        <f t="shared" si="14"/>
        <v>2512272.5669999998</v>
      </c>
      <c r="F27" s="424"/>
      <c r="G27" s="424"/>
      <c r="H27" s="424"/>
      <c r="I27" s="424">
        <f t="shared" ref="I27" si="16">E27-F27-G27-H27</f>
        <v>2512272.5669999998</v>
      </c>
      <c r="J27" s="424">
        <v>200000</v>
      </c>
      <c r="K27" s="424">
        <v>0.2</v>
      </c>
      <c r="L27" s="424">
        <f t="shared" ref="L27" si="17">I27*K27</f>
        <v>502454.5134</v>
      </c>
      <c r="M27" s="424">
        <f t="shared" ref="M27" si="18">J27+L27</f>
        <v>702454.51340000005</v>
      </c>
      <c r="N27" s="424">
        <f t="shared" ref="N27" si="19">F27+G27+H27+M27</f>
        <v>702454.51340000005</v>
      </c>
      <c r="O27" s="424">
        <f t="shared" ref="O27" si="20">E27-N27</f>
        <v>1809818.0536</v>
      </c>
      <c r="P27" s="424">
        <f t="shared" ref="P27" si="21">IF(O27&lt;300000,0.07*O27,21000)</f>
        <v>21000</v>
      </c>
      <c r="Q27" s="424">
        <f t="shared" ref="Q27" si="22">IF((O27-300000)&lt;0,0,IF((O27-300000)&lt;300000,0.11*(O27-300000),33000))</f>
        <v>33000</v>
      </c>
      <c r="R27" s="424">
        <f t="shared" ref="R27" si="23">IF((O27-600000)&lt;0,0,IF((O27-600000)&lt;500000,0.15*(O27-600000),75000))</f>
        <v>75000</v>
      </c>
      <c r="S27" s="424">
        <f t="shared" ref="S27" si="24">IF((O27-1100000)&lt;0,0,IF((O27-1100000)&lt;500000,0.19*(O27-1100000),95000))</f>
        <v>95000</v>
      </c>
      <c r="T27" s="424">
        <f t="shared" ref="T27" si="25">IF((O27-1600000)&lt;0,0,IF((O27-1600000)&lt;1600000,0.21*(O27-1600000),336000))</f>
        <v>44061.791255999902</v>
      </c>
      <c r="U27" s="424"/>
      <c r="V27" s="424">
        <f t="shared" ref="V27" si="26">P27+Q27+R27+S27+T27+U27</f>
        <v>268061.791256</v>
      </c>
      <c r="W27" s="431">
        <v>12</v>
      </c>
      <c r="X27" s="424">
        <f t="shared" ref="X27" si="27">V27/W27</f>
        <v>22338.4826046667</v>
      </c>
      <c r="Y27" s="424"/>
      <c r="Z27" s="424">
        <f t="shared" ref="Z27" si="28">X27</f>
        <v>22338.4826046667</v>
      </c>
      <c r="AA27" s="179">
        <v>22338.4826046667</v>
      </c>
      <c r="AB27" s="179">
        <f t="shared" si="15"/>
        <v>-4.0017766878008797E-11</v>
      </c>
      <c r="AC27" s="179"/>
      <c r="AD27" s="179"/>
      <c r="AE27" s="179"/>
    </row>
    <row r="28" spans="1:31" ht="18" x14ac:dyDescent="0.15">
      <c r="A28" s="498">
        <v>25</v>
      </c>
      <c r="B28" s="16" t="s">
        <v>85</v>
      </c>
      <c r="C28" s="422">
        <v>205204.0845</v>
      </c>
      <c r="D28" s="423">
        <v>12</v>
      </c>
      <c r="E28" s="424">
        <f t="shared" si="14"/>
        <v>2462449.014</v>
      </c>
      <c r="F28" s="424"/>
      <c r="G28" s="424"/>
      <c r="H28" s="424"/>
      <c r="I28" s="424">
        <f t="shared" si="0"/>
        <v>2462449.014</v>
      </c>
      <c r="J28" s="424">
        <v>200000</v>
      </c>
      <c r="K28" s="424">
        <v>0.2</v>
      </c>
      <c r="L28" s="424">
        <f t="shared" si="1"/>
        <v>492489.8028</v>
      </c>
      <c r="M28" s="424">
        <f t="shared" si="2"/>
        <v>692489.80279999995</v>
      </c>
      <c r="N28" s="424">
        <f t="shared" si="3"/>
        <v>692489.80279999995</v>
      </c>
      <c r="O28" s="424">
        <f t="shared" si="4"/>
        <v>1769959.2112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35691.434351999997</v>
      </c>
      <c r="U28" s="424"/>
      <c r="V28" s="424">
        <f t="shared" si="11"/>
        <v>259691.43435200001</v>
      </c>
      <c r="W28" s="431">
        <v>12</v>
      </c>
      <c r="X28" s="424">
        <f t="shared" si="12"/>
        <v>21640.952862666702</v>
      </c>
      <c r="Y28" s="424"/>
      <c r="Z28" s="424">
        <f t="shared" si="13"/>
        <v>21640.952862666702</v>
      </c>
      <c r="AA28" s="179">
        <v>21640.952862666702</v>
      </c>
      <c r="AB28" s="179">
        <f t="shared" si="15"/>
        <v>-3.2741809263825397E-11</v>
      </c>
      <c r="AC28" s="179"/>
      <c r="AD28" s="179"/>
      <c r="AE28" s="179"/>
    </row>
    <row r="29" spans="1:31" s="494" customFormat="1" ht="31.5" x14ac:dyDescent="0.2">
      <c r="A29" s="502">
        <v>26</v>
      </c>
      <c r="B29" s="16" t="s">
        <v>88</v>
      </c>
      <c r="C29" s="422">
        <v>205204.0845</v>
      </c>
      <c r="D29" s="423">
        <v>12</v>
      </c>
      <c r="E29" s="424">
        <f t="shared" si="14"/>
        <v>2462449.014</v>
      </c>
      <c r="F29" s="424"/>
      <c r="G29" s="424"/>
      <c r="H29" s="424"/>
      <c r="I29" s="424">
        <f t="shared" si="0"/>
        <v>2462449.014</v>
      </c>
      <c r="J29" s="424">
        <v>200000</v>
      </c>
      <c r="K29" s="424">
        <v>0.2</v>
      </c>
      <c r="L29" s="424">
        <f t="shared" si="1"/>
        <v>492489.8028</v>
      </c>
      <c r="M29" s="424">
        <f t="shared" si="2"/>
        <v>692489.80279999995</v>
      </c>
      <c r="N29" s="424">
        <f t="shared" si="3"/>
        <v>692489.80279999995</v>
      </c>
      <c r="O29" s="424">
        <f t="shared" si="4"/>
        <v>1769959.2112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35691.434351999997</v>
      </c>
      <c r="U29" s="424"/>
      <c r="V29" s="424">
        <f t="shared" si="11"/>
        <v>259691.43435200001</v>
      </c>
      <c r="W29" s="431">
        <v>12</v>
      </c>
      <c r="X29" s="424">
        <f t="shared" si="12"/>
        <v>21640.952862666702</v>
      </c>
      <c r="Y29" s="424"/>
      <c r="Z29" s="424">
        <f t="shared" si="13"/>
        <v>21640.952862666702</v>
      </c>
      <c r="AA29" s="510">
        <v>21640.952862666702</v>
      </c>
      <c r="AB29" s="179">
        <f t="shared" si="15"/>
        <v>-3.2741809263825397E-11</v>
      </c>
      <c r="AC29" s="510"/>
      <c r="AD29" s="510"/>
      <c r="AE29" s="510"/>
    </row>
    <row r="30" spans="1:31" s="494" customFormat="1" ht="18" x14ac:dyDescent="0.15">
      <c r="A30" s="502">
        <v>27</v>
      </c>
      <c r="B30" s="16" t="s">
        <v>89</v>
      </c>
      <c r="C30" s="422">
        <v>209356.04725</v>
      </c>
      <c r="D30" s="423">
        <v>12</v>
      </c>
      <c r="E30" s="424">
        <f t="shared" si="14"/>
        <v>2512272.5669999998</v>
      </c>
      <c r="F30" s="424"/>
      <c r="G30" s="424"/>
      <c r="H30" s="424"/>
      <c r="I30" s="424">
        <f t="shared" si="0"/>
        <v>2512272.5669999998</v>
      </c>
      <c r="J30" s="424">
        <v>200000</v>
      </c>
      <c r="K30" s="424">
        <v>0.2</v>
      </c>
      <c r="L30" s="424">
        <f t="shared" si="1"/>
        <v>502454.5134</v>
      </c>
      <c r="M30" s="424">
        <f t="shared" si="2"/>
        <v>702454.51340000005</v>
      </c>
      <c r="N30" s="424">
        <f t="shared" si="3"/>
        <v>702454.51340000005</v>
      </c>
      <c r="O30" s="424">
        <f t="shared" si="4"/>
        <v>1809818.0536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44061.791255999902</v>
      </c>
      <c r="U30" s="424"/>
      <c r="V30" s="424">
        <f t="shared" si="11"/>
        <v>268061.791256</v>
      </c>
      <c r="W30" s="431">
        <v>12</v>
      </c>
      <c r="X30" s="424">
        <f t="shared" si="12"/>
        <v>22338.4826046667</v>
      </c>
      <c r="Y30" s="424"/>
      <c r="Z30" s="424">
        <f t="shared" si="13"/>
        <v>22338.4826046667</v>
      </c>
      <c r="AA30" s="510">
        <v>22338.4826046667</v>
      </c>
      <c r="AB30" s="179">
        <f t="shared" si="15"/>
        <v>-4.0017766878008797E-11</v>
      </c>
      <c r="AC30" s="510"/>
      <c r="AD30" s="510"/>
      <c r="AE30" s="510"/>
    </row>
    <row r="31" spans="1:31" ht="18" x14ac:dyDescent="0.15">
      <c r="A31" s="498">
        <v>28</v>
      </c>
      <c r="B31" s="16" t="s">
        <v>92</v>
      </c>
      <c r="C31" s="422">
        <v>180304.068</v>
      </c>
      <c r="D31" s="423">
        <v>12</v>
      </c>
      <c r="E31" s="424">
        <f t="shared" si="14"/>
        <v>2163648.8160000001</v>
      </c>
      <c r="F31" s="424"/>
      <c r="G31" s="424"/>
      <c r="H31" s="424"/>
      <c r="I31" s="424">
        <f t="shared" si="0"/>
        <v>2163648.8160000001</v>
      </c>
      <c r="J31" s="424">
        <v>200000</v>
      </c>
      <c r="K31" s="424">
        <v>0.2</v>
      </c>
      <c r="L31" s="424">
        <f t="shared" si="1"/>
        <v>432729.76319999999</v>
      </c>
      <c r="M31" s="424">
        <f t="shared" si="2"/>
        <v>632729.76320000004</v>
      </c>
      <c r="N31" s="424">
        <f t="shared" si="3"/>
        <v>632729.76320000004</v>
      </c>
      <c r="O31" s="424">
        <f t="shared" si="4"/>
        <v>1530919.0527999999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81874.620032000006</v>
      </c>
      <c r="T31" s="424">
        <f t="shared" si="9"/>
        <v>0</v>
      </c>
      <c r="U31" s="424"/>
      <c r="V31" s="424">
        <f t="shared" si="11"/>
        <v>210874.62003200001</v>
      </c>
      <c r="W31" s="431">
        <v>12</v>
      </c>
      <c r="X31" s="424">
        <f t="shared" si="12"/>
        <v>17572.885002666699</v>
      </c>
      <c r="Y31" s="424"/>
      <c r="Z31" s="424">
        <f t="shared" si="13"/>
        <v>17572.885002666699</v>
      </c>
      <c r="AA31" s="179">
        <v>17572.885002666699</v>
      </c>
      <c r="AB31" s="179">
        <f t="shared" si="15"/>
        <v>-2.91038304567337E-11</v>
      </c>
      <c r="AC31" s="179"/>
      <c r="AD31" s="179"/>
      <c r="AE31" s="179"/>
    </row>
    <row r="32" spans="1:31" ht="18" x14ac:dyDescent="0.15">
      <c r="A32" s="498">
        <v>29</v>
      </c>
      <c r="B32" s="16" t="s">
        <v>100</v>
      </c>
      <c r="C32" s="422">
        <v>173329.04949999999</v>
      </c>
      <c r="D32" s="423">
        <v>12</v>
      </c>
      <c r="E32" s="424">
        <f t="shared" si="14"/>
        <v>2079948.594</v>
      </c>
      <c r="F32" s="424"/>
      <c r="G32" s="424"/>
      <c r="H32" s="424"/>
      <c r="I32" s="424">
        <f t="shared" si="0"/>
        <v>2079948.594</v>
      </c>
      <c r="J32" s="424">
        <v>200000</v>
      </c>
      <c r="K32" s="424">
        <v>0.2</v>
      </c>
      <c r="L32" s="424">
        <f t="shared" si="1"/>
        <v>415989.71879999997</v>
      </c>
      <c r="M32" s="424">
        <f t="shared" si="2"/>
        <v>615989.71880000003</v>
      </c>
      <c r="N32" s="424">
        <f t="shared" si="3"/>
        <v>615989.71880000003</v>
      </c>
      <c r="O32" s="424">
        <f t="shared" si="4"/>
        <v>1463958.8751999999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69152.186287999997</v>
      </c>
      <c r="T32" s="424">
        <f t="shared" si="9"/>
        <v>0</v>
      </c>
      <c r="U32" s="424"/>
      <c r="V32" s="424">
        <f t="shared" si="11"/>
        <v>198152.186288</v>
      </c>
      <c r="W32" s="431">
        <v>12</v>
      </c>
      <c r="X32" s="424">
        <f t="shared" si="12"/>
        <v>16512.682190666699</v>
      </c>
      <c r="Y32" s="424"/>
      <c r="Z32" s="424">
        <f t="shared" si="13"/>
        <v>16512.682190666699</v>
      </c>
      <c r="AA32" s="179">
        <v>16512.682190666699</v>
      </c>
      <c r="AB32" s="179">
        <f t="shared" si="15"/>
        <v>-2.91038304567337E-11</v>
      </c>
      <c r="AC32" s="179"/>
      <c r="AD32" s="179"/>
      <c r="AE32" s="179"/>
    </row>
    <row r="33" spans="1:31" ht="18" x14ac:dyDescent="0.2">
      <c r="A33" s="498">
        <v>31</v>
      </c>
      <c r="B33" s="20"/>
      <c r="C33" s="424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24"/>
      <c r="AA33" s="179"/>
      <c r="AB33" s="179">
        <f>SUM(AB6:AB32)</f>
        <v>83964.785463998298</v>
      </c>
      <c r="AC33" s="179"/>
      <c r="AD33" s="179"/>
      <c r="AE33" s="179"/>
    </row>
    <row r="34" spans="1:31" ht="18" x14ac:dyDescent="0.15">
      <c r="A34" s="498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24"/>
      <c r="AA34" s="179"/>
      <c r="AB34" s="179"/>
      <c r="AC34" s="179"/>
      <c r="AD34" s="179"/>
      <c r="AE34" s="179"/>
    </row>
    <row r="35" spans="1:31" ht="18" x14ac:dyDescent="0.15">
      <c r="A35" s="498"/>
      <c r="B35" s="16" t="s">
        <v>113</v>
      </c>
      <c r="C35" s="428">
        <v>950209.06350000005</v>
      </c>
      <c r="D35" s="424">
        <v>12</v>
      </c>
      <c r="E35" s="424">
        <f>C35*D35</f>
        <v>11402508.762</v>
      </c>
      <c r="F35" s="424"/>
      <c r="G35" s="424">
        <f>SUM(G5:G34)</f>
        <v>0</v>
      </c>
      <c r="H35" s="424"/>
      <c r="I35" s="424">
        <f>E35-F35-G35-H35</f>
        <v>11402508.762</v>
      </c>
      <c r="J35" s="424">
        <v>200000</v>
      </c>
      <c r="K35" s="424">
        <v>0.2</v>
      </c>
      <c r="L35" s="424">
        <f>I35*K35</f>
        <v>2280501.7524000001</v>
      </c>
      <c r="M35" s="424">
        <f>J35+L35</f>
        <v>2480501.7524000001</v>
      </c>
      <c r="N35" s="424">
        <f>F35+G35+H35+M35</f>
        <v>2480501.7524000001</v>
      </c>
      <c r="O35" s="424">
        <f>E35-N35</f>
        <v>8922007.0096000005</v>
      </c>
      <c r="P35" s="424">
        <f t="shared" si="5"/>
        <v>21000</v>
      </c>
      <c r="Q35" s="424">
        <f t="shared" ref="Q35:Q37" si="29">IF((O35-300000)&lt;0,0,IF((O35-300000)&lt;300000,0.11*(O35-300000),33000))</f>
        <v>33000</v>
      </c>
      <c r="R35" s="424">
        <f t="shared" ref="R35:R37" si="30">IF((O35-600000)&lt;0,0,IF((O35-600000)&lt;500000,0.15*(O35-600000),75000))</f>
        <v>75000</v>
      </c>
      <c r="S35" s="424">
        <f t="shared" ref="S35:S37" si="31">IF((O35-1100000)&lt;0,0,IF((O35-1100000)&lt;500000,0.19*(O35-1100000),95000))</f>
        <v>95000</v>
      </c>
      <c r="T35" s="424">
        <f t="shared" ref="T35:T37" si="32">IF((O35-1600000)&lt;0,0,IF((O35-1600000)&lt;1600000,0.21*(O35-1600000),336000))</f>
        <v>336000</v>
      </c>
      <c r="U35" s="424">
        <f t="shared" si="10"/>
        <v>1373281.682304</v>
      </c>
      <c r="V35" s="424">
        <f>P35+Q35+R35+S35+T35+U35</f>
        <v>1933281.682304</v>
      </c>
      <c r="W35" s="424">
        <v>12</v>
      </c>
      <c r="X35" s="424">
        <f>V35/W35</f>
        <v>161106.806858667</v>
      </c>
      <c r="Y35" s="424"/>
      <c r="Z35" s="424">
        <f>X35</f>
        <v>161106.806858667</v>
      </c>
      <c r="AA35" s="501">
        <v>161106.806858667</v>
      </c>
      <c r="AB35" s="501">
        <f>Z35-AA35</f>
        <v>-3.20142135024071E-10</v>
      </c>
      <c r="AC35" s="179"/>
      <c r="AD35" s="179"/>
      <c r="AE35" s="179"/>
    </row>
    <row r="36" spans="1:31" ht="18" x14ac:dyDescent="0.15">
      <c r="A36" s="498"/>
      <c r="B36" s="16" t="s">
        <v>116</v>
      </c>
      <c r="C36" s="424">
        <v>176816.1</v>
      </c>
      <c r="D36" s="423">
        <v>12</v>
      </c>
      <c r="E36" s="424">
        <f t="shared" ref="E36:E37" si="33">C36*D36</f>
        <v>2121793.2000000002</v>
      </c>
      <c r="F36" s="424"/>
      <c r="G36" s="424">
        <f>SUM(G6:G35)</f>
        <v>0</v>
      </c>
      <c r="H36" s="424"/>
      <c r="I36" s="424">
        <f>E36-F36-G36-H36</f>
        <v>2121793.2000000002</v>
      </c>
      <c r="J36" s="424">
        <v>200000</v>
      </c>
      <c r="K36" s="424">
        <v>0.2</v>
      </c>
      <c r="L36" s="424">
        <f>I36*K36</f>
        <v>424358.64</v>
      </c>
      <c r="M36" s="424">
        <f>J36+L36</f>
        <v>624358.64</v>
      </c>
      <c r="N36" s="424">
        <f>F36+G36+H36+M36</f>
        <v>624358.64</v>
      </c>
      <c r="O36" s="424">
        <f>E36-N36</f>
        <v>1497434.56</v>
      </c>
      <c r="P36" s="424">
        <f t="shared" si="5"/>
        <v>21000</v>
      </c>
      <c r="Q36" s="424">
        <f t="shared" si="29"/>
        <v>33000</v>
      </c>
      <c r="R36" s="424">
        <f t="shared" si="30"/>
        <v>75000</v>
      </c>
      <c r="S36" s="424">
        <f t="shared" si="31"/>
        <v>75512.566399999996</v>
      </c>
      <c r="T36" s="424">
        <f t="shared" si="32"/>
        <v>0</v>
      </c>
      <c r="U36" s="424"/>
      <c r="V36" s="424">
        <f>P36+Q36+R36+S36+T36+U36</f>
        <v>204512.56640000001</v>
      </c>
      <c r="W36" s="424">
        <v>12</v>
      </c>
      <c r="X36" s="424">
        <f>V36/W36</f>
        <v>17042.713866666702</v>
      </c>
      <c r="Y36" s="424"/>
      <c r="Z36" s="424">
        <f>X36</f>
        <v>17042.713866666702</v>
      </c>
      <c r="AA36" s="179">
        <v>17042.713866666702</v>
      </c>
      <c r="AB36" s="501">
        <f t="shared" ref="AB36:AB37" si="34">Z36-AA36</f>
        <v>-3.2741809263825397E-11</v>
      </c>
      <c r="AC36" s="179"/>
      <c r="AD36" s="179"/>
      <c r="AE36" s="179"/>
    </row>
    <row r="37" spans="1:31" ht="18" x14ac:dyDescent="0.15">
      <c r="A37" s="498">
        <v>33</v>
      </c>
      <c r="B37" s="9" t="s">
        <v>118</v>
      </c>
      <c r="C37" s="422">
        <v>233169.11749999999</v>
      </c>
      <c r="D37" s="423">
        <v>12</v>
      </c>
      <c r="E37" s="424">
        <f t="shared" si="33"/>
        <v>2798029.41</v>
      </c>
      <c r="F37" s="424"/>
      <c r="G37" s="424">
        <f>SUM(G7:G36)</f>
        <v>0</v>
      </c>
      <c r="H37" s="424"/>
      <c r="I37" s="424">
        <f>E37-F37-G37-H37</f>
        <v>2798029.41</v>
      </c>
      <c r="J37" s="424">
        <v>200000</v>
      </c>
      <c r="K37" s="424">
        <v>0.2</v>
      </c>
      <c r="L37" s="424">
        <f>I37*K37</f>
        <v>559605.88199999998</v>
      </c>
      <c r="M37" s="424">
        <f>J37+L37</f>
        <v>759605.88199999998</v>
      </c>
      <c r="N37" s="424">
        <f>F37+G37+H37+M37</f>
        <v>759605.88199999998</v>
      </c>
      <c r="O37" s="424">
        <f>E37-N37</f>
        <v>2038423.5279999999</v>
      </c>
      <c r="P37" s="424">
        <f t="shared" si="5"/>
        <v>21000</v>
      </c>
      <c r="Q37" s="424">
        <f t="shared" si="29"/>
        <v>33000</v>
      </c>
      <c r="R37" s="424">
        <f t="shared" si="30"/>
        <v>75000</v>
      </c>
      <c r="S37" s="424">
        <f t="shared" si="31"/>
        <v>95000</v>
      </c>
      <c r="T37" s="424">
        <f t="shared" si="32"/>
        <v>92068.940879999995</v>
      </c>
      <c r="U37" s="424"/>
      <c r="V37" s="424">
        <f>P37+Q37+R37+S37+T37+U37</f>
        <v>316068.94088000001</v>
      </c>
      <c r="W37" s="424">
        <v>12</v>
      </c>
      <c r="X37" s="424">
        <f>V37/W37</f>
        <v>26339.0784066667</v>
      </c>
      <c r="Y37" s="424"/>
      <c r="Z37" s="424">
        <f>X37</f>
        <v>26339.0784066667</v>
      </c>
      <c r="AA37" s="179">
        <v>26339.0784066667</v>
      </c>
      <c r="AB37" s="501">
        <f t="shared" si="34"/>
        <v>-3.2741809263825397E-11</v>
      </c>
      <c r="AC37" s="179"/>
      <c r="AD37" s="179"/>
      <c r="AE37" s="179"/>
    </row>
    <row r="38" spans="1:31" ht="18" x14ac:dyDescent="0.2">
      <c r="A38" s="498"/>
      <c r="B38" s="12"/>
      <c r="C38" s="424"/>
      <c r="D38" s="423"/>
      <c r="E38" s="424"/>
      <c r="F38" s="427"/>
      <c r="G38" s="427"/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24"/>
      <c r="AA38" s="179"/>
      <c r="AB38" s="179"/>
      <c r="AC38" s="179"/>
      <c r="AD38" s="179"/>
      <c r="AE38" s="179"/>
    </row>
    <row r="39" spans="1:31" ht="18" x14ac:dyDescent="0.15">
      <c r="A39" s="498"/>
      <c r="B39" s="21" t="s">
        <v>125</v>
      </c>
      <c r="C39" s="424"/>
      <c r="D39" s="423"/>
      <c r="E39" s="424"/>
      <c r="F39" s="427"/>
      <c r="G39" s="427"/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24"/>
      <c r="AA39" s="179"/>
      <c r="AB39" s="179"/>
      <c r="AC39" s="179"/>
      <c r="AD39" s="179"/>
      <c r="AE39" s="179"/>
    </row>
    <row r="40" spans="1:31" ht="31.5" x14ac:dyDescent="0.2">
      <c r="A40" s="498">
        <v>35</v>
      </c>
      <c r="B40" s="9" t="s">
        <v>536</v>
      </c>
      <c r="C40" s="422">
        <v>1050209.0634999999</v>
      </c>
      <c r="D40" s="423">
        <v>12</v>
      </c>
      <c r="E40" s="424">
        <f>C40*D40</f>
        <v>12602508.762</v>
      </c>
      <c r="F40" s="424"/>
      <c r="G40" s="424"/>
      <c r="H40" s="424"/>
      <c r="I40" s="424">
        <f>E40-F40-G40-H40</f>
        <v>12602508.762</v>
      </c>
      <c r="J40" s="424">
        <v>200000</v>
      </c>
      <c r="K40" s="424">
        <v>0.2</v>
      </c>
      <c r="L40" s="424">
        <f>I40*K40</f>
        <v>2520501.7524000001</v>
      </c>
      <c r="M40" s="424">
        <f>J40+L40</f>
        <v>2720501.7524000001</v>
      </c>
      <c r="N40" s="424">
        <f>F40+G40+H40+M40</f>
        <v>2720501.7524000001</v>
      </c>
      <c r="O40" s="424">
        <f>E40-N40</f>
        <v>9882007.0096000005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1603681.682304</v>
      </c>
      <c r="V40" s="424">
        <f>P40+Q40+R40+S40+T40+U40</f>
        <v>2163681.682304</v>
      </c>
      <c r="W40" s="431">
        <v>12</v>
      </c>
      <c r="X40" s="424">
        <f>V40/W40</f>
        <v>180306.806858667</v>
      </c>
      <c r="Y40" s="424"/>
      <c r="Z40" s="424">
        <f>X40</f>
        <v>180306.806858667</v>
      </c>
      <c r="AA40" s="179">
        <v>180306.806858667</v>
      </c>
      <c r="AB40" s="179">
        <f>Z40-AA40</f>
        <v>-3.7834979593753799E-10</v>
      </c>
      <c r="AC40" s="179"/>
      <c r="AD40" s="179"/>
      <c r="AE40" s="179"/>
    </row>
    <row r="41" spans="1:31" ht="18" x14ac:dyDescent="0.15">
      <c r="A41" s="498">
        <v>36</v>
      </c>
      <c r="B41" s="9" t="s">
        <v>538</v>
      </c>
      <c r="C41" s="424">
        <v>527553.50249999994</v>
      </c>
      <c r="D41" s="423">
        <v>12</v>
      </c>
      <c r="E41" s="424">
        <f t="shared" ref="E41:E50" si="35">C41*D41</f>
        <v>6330642.0300000003</v>
      </c>
      <c r="F41" s="427"/>
      <c r="G41" s="427"/>
      <c r="H41" s="427"/>
      <c r="I41" s="424">
        <f t="shared" si="0"/>
        <v>6330642.0300000003</v>
      </c>
      <c r="J41" s="424">
        <v>200000</v>
      </c>
      <c r="K41" s="424">
        <v>0.2</v>
      </c>
      <c r="L41" s="424">
        <f t="shared" si="1"/>
        <v>1266128.406</v>
      </c>
      <c r="M41" s="424">
        <f t="shared" si="2"/>
        <v>1466128.406</v>
      </c>
      <c r="N41" s="424">
        <f t="shared" si="3"/>
        <v>1466128.406</v>
      </c>
      <c r="O41" s="424">
        <f t="shared" si="4"/>
        <v>4864513.6239999998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399483.26976</v>
      </c>
      <c r="V41" s="424">
        <f t="shared" si="11"/>
        <v>959483.26976000005</v>
      </c>
      <c r="W41" s="431">
        <v>12</v>
      </c>
      <c r="X41" s="424">
        <f t="shared" si="12"/>
        <v>79956.9391466667</v>
      </c>
      <c r="Y41" s="427"/>
      <c r="Z41" s="424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" x14ac:dyDescent="0.15">
      <c r="A42" s="498">
        <v>37</v>
      </c>
      <c r="B42" s="9" t="s">
        <v>126</v>
      </c>
      <c r="C42" s="424">
        <v>617743.99575</v>
      </c>
      <c r="D42" s="423">
        <v>12</v>
      </c>
      <c r="E42" s="424">
        <f t="shared" si="35"/>
        <v>7412927.949</v>
      </c>
      <c r="F42" s="427"/>
      <c r="G42" s="427"/>
      <c r="H42" s="427"/>
      <c r="I42" s="424">
        <f t="shared" si="0"/>
        <v>7412927.949</v>
      </c>
      <c r="J42" s="424">
        <v>200000</v>
      </c>
      <c r="K42" s="424">
        <v>0.2</v>
      </c>
      <c r="L42" s="424">
        <f t="shared" si="1"/>
        <v>1482585.5898</v>
      </c>
      <c r="M42" s="424">
        <f t="shared" si="2"/>
        <v>1682585.5898</v>
      </c>
      <c r="N42" s="424">
        <f t="shared" si="3"/>
        <v>1682585.5898</v>
      </c>
      <c r="O42" s="424">
        <f t="shared" si="4"/>
        <v>5730342.3591999998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607282.16620800004</v>
      </c>
      <c r="V42" s="424">
        <f t="shared" si="11"/>
        <v>1167282.1662079999</v>
      </c>
      <c r="W42" s="431">
        <v>12</v>
      </c>
      <c r="X42" s="424">
        <f t="shared" si="12"/>
        <v>97273.513850666699</v>
      </c>
      <c r="Y42" s="427"/>
      <c r="Z42" s="424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" x14ac:dyDescent="0.15">
      <c r="A43" s="498">
        <v>38</v>
      </c>
      <c r="B43" s="9" t="s">
        <v>129</v>
      </c>
      <c r="C43" s="424">
        <v>527553.50249999994</v>
      </c>
      <c r="D43" s="423">
        <v>12</v>
      </c>
      <c r="E43" s="424">
        <f t="shared" si="35"/>
        <v>6330642.0300000003</v>
      </c>
      <c r="F43" s="427"/>
      <c r="G43" s="427"/>
      <c r="H43" s="427"/>
      <c r="I43" s="424">
        <f t="shared" si="0"/>
        <v>6330642.0300000003</v>
      </c>
      <c r="J43" s="424">
        <v>200000</v>
      </c>
      <c r="K43" s="424">
        <v>0.2</v>
      </c>
      <c r="L43" s="424">
        <f t="shared" si="1"/>
        <v>1266128.406</v>
      </c>
      <c r="M43" s="424">
        <f t="shared" si="2"/>
        <v>1466128.406</v>
      </c>
      <c r="N43" s="424">
        <f t="shared" si="3"/>
        <v>1466128.406</v>
      </c>
      <c r="O43" s="424">
        <f t="shared" si="4"/>
        <v>4864513.6239999998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399483.26976</v>
      </c>
      <c r="V43" s="424">
        <f t="shared" si="11"/>
        <v>959483.26976000005</v>
      </c>
      <c r="W43" s="431">
        <v>12</v>
      </c>
      <c r="X43" s="424">
        <f t="shared" si="12"/>
        <v>79956.9391466667</v>
      </c>
      <c r="Y43" s="427"/>
      <c r="Z43" s="424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" x14ac:dyDescent="0.15">
      <c r="A44" s="498">
        <v>39</v>
      </c>
      <c r="B44" s="9" t="s">
        <v>132</v>
      </c>
      <c r="C44" s="424">
        <v>527553.50249999994</v>
      </c>
      <c r="D44" s="423">
        <v>12</v>
      </c>
      <c r="E44" s="424">
        <f t="shared" si="35"/>
        <v>6330642.0300000003</v>
      </c>
      <c r="F44" s="427">
        <f>'[8]JANUARY 2024'!$V$47*12</f>
        <v>10052.25</v>
      </c>
      <c r="G44" s="427"/>
      <c r="H44" s="427"/>
      <c r="I44" s="424">
        <f t="shared" si="0"/>
        <v>6320589.7800000003</v>
      </c>
      <c r="J44" s="424">
        <v>200000</v>
      </c>
      <c r="K44" s="424">
        <v>0.2</v>
      </c>
      <c r="L44" s="424">
        <f t="shared" si="1"/>
        <v>1264117.956</v>
      </c>
      <c r="M44" s="424">
        <f t="shared" si="2"/>
        <v>1464117.956</v>
      </c>
      <c r="N44" s="424">
        <f t="shared" si="3"/>
        <v>1474170.206</v>
      </c>
      <c r="O44" s="424">
        <f t="shared" si="4"/>
        <v>4856471.824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397553.23775999999</v>
      </c>
      <c r="V44" s="424">
        <f t="shared" si="11"/>
        <v>957553.23776000005</v>
      </c>
      <c r="W44" s="431">
        <v>12</v>
      </c>
      <c r="X44" s="424">
        <f t="shared" si="12"/>
        <v>79796.103146666603</v>
      </c>
      <c r="Y44" s="427"/>
      <c r="Z44" s="424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" x14ac:dyDescent="0.15">
      <c r="A45" s="498">
        <v>40</v>
      </c>
      <c r="B45" s="9" t="s">
        <v>133</v>
      </c>
      <c r="C45" s="424">
        <v>504720.04700000002</v>
      </c>
      <c r="D45" s="423">
        <v>12</v>
      </c>
      <c r="E45" s="424">
        <f t="shared" si="35"/>
        <v>6056640.5640000002</v>
      </c>
      <c r="F45" s="424"/>
      <c r="G45" s="427"/>
      <c r="H45" s="427"/>
      <c r="I45" s="424">
        <f t="shared" si="0"/>
        <v>6056640.5640000002</v>
      </c>
      <c r="J45" s="424">
        <v>200000</v>
      </c>
      <c r="K45" s="424">
        <v>0.2</v>
      </c>
      <c r="L45" s="424">
        <f t="shared" si="1"/>
        <v>1211328.1128</v>
      </c>
      <c r="M45" s="424">
        <f t="shared" si="2"/>
        <v>1411328.1128</v>
      </c>
      <c r="N45" s="424">
        <f t="shared" si="3"/>
        <v>1411328.1128</v>
      </c>
      <c r="O45" s="424">
        <f t="shared" si="4"/>
        <v>4645312.4512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346874.98828799999</v>
      </c>
      <c r="V45" s="424">
        <f t="shared" si="11"/>
        <v>906874.98828799999</v>
      </c>
      <c r="W45" s="431">
        <v>12</v>
      </c>
      <c r="X45" s="424">
        <f t="shared" si="12"/>
        <v>75572.915690666705</v>
      </c>
      <c r="Y45" s="427"/>
      <c r="Z45" s="424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" x14ac:dyDescent="0.15">
      <c r="A46" s="498">
        <v>41</v>
      </c>
      <c r="B46" s="12" t="s">
        <v>134</v>
      </c>
      <c r="C46" s="424">
        <v>413333.03525000002</v>
      </c>
      <c r="D46" s="423">
        <v>12</v>
      </c>
      <c r="E46" s="424">
        <f t="shared" si="35"/>
        <v>4959996.4230000004</v>
      </c>
      <c r="F46" s="424"/>
      <c r="G46" s="427"/>
      <c r="H46" s="427"/>
      <c r="I46" s="424">
        <f t="shared" si="0"/>
        <v>4959996.4230000004</v>
      </c>
      <c r="J46" s="424">
        <v>200000</v>
      </c>
      <c r="K46" s="424">
        <v>0.2</v>
      </c>
      <c r="L46" s="424">
        <f t="shared" si="1"/>
        <v>991999.28460000001</v>
      </c>
      <c r="M46" s="424">
        <f t="shared" si="2"/>
        <v>1191999.2845999999</v>
      </c>
      <c r="N46" s="424">
        <f t="shared" si="3"/>
        <v>1191999.2845999999</v>
      </c>
      <c r="O46" s="424">
        <f t="shared" si="4"/>
        <v>3767997.1384000001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136319.31321600001</v>
      </c>
      <c r="V46" s="424">
        <f t="shared" si="11"/>
        <v>696319.31321599998</v>
      </c>
      <c r="W46" s="431">
        <v>12</v>
      </c>
      <c r="X46" s="424">
        <f t="shared" si="12"/>
        <v>58026.609434666701</v>
      </c>
      <c r="Y46" s="427"/>
      <c r="Z46" s="424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" x14ac:dyDescent="0.15">
      <c r="A47" s="498">
        <v>42</v>
      </c>
      <c r="B47" s="9" t="s">
        <v>138</v>
      </c>
      <c r="C47" s="424">
        <v>273169.11749999999</v>
      </c>
      <c r="D47" s="423">
        <v>12</v>
      </c>
      <c r="E47" s="424">
        <f t="shared" si="35"/>
        <v>3278029.41</v>
      </c>
      <c r="F47" s="424"/>
      <c r="G47" s="427"/>
      <c r="H47" s="427"/>
      <c r="I47" s="424">
        <f t="shared" si="0"/>
        <v>3278029.41</v>
      </c>
      <c r="J47" s="424">
        <v>200000</v>
      </c>
      <c r="K47" s="424">
        <v>0.2</v>
      </c>
      <c r="L47" s="424">
        <f t="shared" si="1"/>
        <v>655605.88199999998</v>
      </c>
      <c r="M47" s="424">
        <f t="shared" si="2"/>
        <v>855605.88199999998</v>
      </c>
      <c r="N47" s="424">
        <f t="shared" si="3"/>
        <v>855605.88199999998</v>
      </c>
      <c r="O47" s="424">
        <f t="shared" si="4"/>
        <v>2422423.5279999999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172708.94088000001</v>
      </c>
      <c r="U47" s="424"/>
      <c r="V47" s="424">
        <f t="shared" si="11"/>
        <v>396708.94088000001</v>
      </c>
      <c r="W47" s="431">
        <v>12</v>
      </c>
      <c r="X47" s="424">
        <f t="shared" si="12"/>
        <v>33059.078406666697</v>
      </c>
      <c r="Y47" s="427"/>
      <c r="Z47" s="424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4" customFormat="1" ht="18" x14ac:dyDescent="0.15">
      <c r="A48" s="502">
        <v>43</v>
      </c>
      <c r="B48" s="9" t="s">
        <v>142</v>
      </c>
      <c r="C48" s="424">
        <v>249356.04725</v>
      </c>
      <c r="D48" s="423">
        <v>12</v>
      </c>
      <c r="E48" s="424">
        <f t="shared" si="35"/>
        <v>2992272.5669999998</v>
      </c>
      <c r="F48" s="424"/>
      <c r="G48" s="427"/>
      <c r="H48" s="427"/>
      <c r="I48" s="424">
        <f t="shared" si="0"/>
        <v>2992272.5669999998</v>
      </c>
      <c r="J48" s="424">
        <v>200000</v>
      </c>
      <c r="K48" s="424">
        <v>0.2</v>
      </c>
      <c r="L48" s="424">
        <f t="shared" si="1"/>
        <v>598454.51340000005</v>
      </c>
      <c r="M48" s="424">
        <f t="shared" si="2"/>
        <v>798454.51340000005</v>
      </c>
      <c r="N48" s="424">
        <f t="shared" si="3"/>
        <v>798454.51340000005</v>
      </c>
      <c r="O48" s="424">
        <f t="shared" si="4"/>
        <v>2193818.0536000002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124701.791256</v>
      </c>
      <c r="U48" s="424"/>
      <c r="V48" s="424">
        <f t="shared" si="11"/>
        <v>348701.791256</v>
      </c>
      <c r="W48" s="431">
        <v>12</v>
      </c>
      <c r="X48" s="424">
        <f t="shared" si="12"/>
        <v>29058.4826046667</v>
      </c>
      <c r="Y48" s="427"/>
      <c r="Z48" s="424">
        <f t="shared" si="13"/>
        <v>29058.4826046667</v>
      </c>
      <c r="AA48" s="510">
        <v>29058.4826046667</v>
      </c>
      <c r="AB48" s="179">
        <f t="shared" si="36"/>
        <v>-4.0017766878008797E-11</v>
      </c>
      <c r="AC48" s="510"/>
      <c r="AD48" s="510"/>
      <c r="AE48" s="510"/>
    </row>
    <row r="49" spans="1:31" ht="18" x14ac:dyDescent="0.15">
      <c r="A49" s="498">
        <v>44</v>
      </c>
      <c r="B49" s="9" t="s">
        <v>539</v>
      </c>
      <c r="C49" s="424">
        <v>249356.04725</v>
      </c>
      <c r="D49" s="423">
        <v>12</v>
      </c>
      <c r="E49" s="424">
        <f t="shared" si="35"/>
        <v>2992272.5669999998</v>
      </c>
      <c r="F49" s="424"/>
      <c r="G49" s="427"/>
      <c r="H49" s="427"/>
      <c r="I49" s="424">
        <f t="shared" si="0"/>
        <v>2992272.5669999998</v>
      </c>
      <c r="J49" s="424">
        <v>200000</v>
      </c>
      <c r="K49" s="424">
        <v>0.2</v>
      </c>
      <c r="L49" s="424">
        <f t="shared" si="1"/>
        <v>598454.51340000005</v>
      </c>
      <c r="M49" s="424">
        <f t="shared" si="2"/>
        <v>798454.51340000005</v>
      </c>
      <c r="N49" s="424">
        <f t="shared" si="3"/>
        <v>798454.51340000005</v>
      </c>
      <c r="O49" s="424">
        <f t="shared" si="4"/>
        <v>2193818.0536000002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124701.791256</v>
      </c>
      <c r="U49" s="424"/>
      <c r="V49" s="424">
        <f t="shared" si="11"/>
        <v>348701.791256</v>
      </c>
      <c r="W49" s="431">
        <v>12</v>
      </c>
      <c r="X49" s="424">
        <v>28360.952862666702</v>
      </c>
      <c r="Y49" s="427"/>
      <c r="Z49" s="424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" x14ac:dyDescent="0.15">
      <c r="A50" s="498">
        <v>45</v>
      </c>
      <c r="B50" s="9" t="s">
        <v>143</v>
      </c>
      <c r="C50" s="424">
        <v>249356.04725</v>
      </c>
      <c r="D50" s="423">
        <v>12</v>
      </c>
      <c r="E50" s="424">
        <f t="shared" si="35"/>
        <v>2992272.5669999998</v>
      </c>
      <c r="F50" s="424"/>
      <c r="G50" s="427"/>
      <c r="H50" s="427"/>
      <c r="I50" s="424">
        <f t="shared" si="0"/>
        <v>2992272.5669999998</v>
      </c>
      <c r="J50" s="424">
        <v>200000</v>
      </c>
      <c r="K50" s="424">
        <v>0.2</v>
      </c>
      <c r="L50" s="424">
        <f t="shared" si="1"/>
        <v>598454.51340000005</v>
      </c>
      <c r="M50" s="424">
        <f t="shared" si="2"/>
        <v>798454.51340000005</v>
      </c>
      <c r="N50" s="424">
        <f t="shared" si="3"/>
        <v>798454.51340000005</v>
      </c>
      <c r="O50" s="424">
        <f t="shared" si="4"/>
        <v>2193818.0536000002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124701.791256</v>
      </c>
      <c r="U50" s="424"/>
      <c r="V50" s="424">
        <f t="shared" si="11"/>
        <v>348701.791256</v>
      </c>
      <c r="W50" s="431">
        <v>12</v>
      </c>
      <c r="X50" s="424">
        <f t="shared" si="12"/>
        <v>29058.4826046667</v>
      </c>
      <c r="Y50" s="427"/>
      <c r="Z50" s="424">
        <f t="shared" si="13"/>
        <v>29058.4826046667</v>
      </c>
      <c r="AA50" s="179">
        <v>29058.4826046667</v>
      </c>
      <c r="AB50" s="179">
        <f t="shared" si="36"/>
        <v>-4.0017766878008797E-11</v>
      </c>
      <c r="AC50" s="179"/>
      <c r="AD50" s="179"/>
      <c r="AE50" s="179"/>
    </row>
    <row r="51" spans="1:31" ht="18" x14ac:dyDescent="0.2">
      <c r="A51" s="498"/>
      <c r="B51" s="20"/>
      <c r="C51" s="424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24"/>
      <c r="AA51" s="179"/>
      <c r="AB51" s="179"/>
      <c r="AC51" s="179"/>
      <c r="AD51" s="179"/>
      <c r="AE51" s="179"/>
    </row>
    <row r="52" spans="1:31" ht="18" x14ac:dyDescent="0.15">
      <c r="A52" s="498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24"/>
      <c r="AA52" s="179"/>
      <c r="AB52" s="179"/>
      <c r="AC52" s="179"/>
      <c r="AD52" s="179"/>
      <c r="AE52" s="179"/>
    </row>
    <row r="53" spans="1:31" ht="18" x14ac:dyDescent="0.15">
      <c r="A53" s="498">
        <v>47</v>
      </c>
      <c r="B53" s="9" t="s">
        <v>540</v>
      </c>
      <c r="C53" s="424">
        <v>1050209.0634999999</v>
      </c>
      <c r="D53" s="423">
        <v>12</v>
      </c>
      <c r="E53" s="424">
        <f>C53*D53</f>
        <v>12602508.762</v>
      </c>
      <c r="F53" s="424"/>
      <c r="G53" s="427"/>
      <c r="H53" s="427"/>
      <c r="I53" s="424">
        <f t="shared" si="0"/>
        <v>12602508.762</v>
      </c>
      <c r="J53" s="424">
        <v>200000</v>
      </c>
      <c r="K53" s="424">
        <v>0.2</v>
      </c>
      <c r="L53" s="424">
        <f t="shared" si="1"/>
        <v>2520501.7524000001</v>
      </c>
      <c r="M53" s="424">
        <f t="shared" si="2"/>
        <v>2720501.7524000001</v>
      </c>
      <c r="N53" s="424">
        <f t="shared" si="3"/>
        <v>2720501.7524000001</v>
      </c>
      <c r="O53" s="424">
        <f t="shared" si="4"/>
        <v>9882007.0096000005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1603681.682304</v>
      </c>
      <c r="V53" s="424">
        <f t="shared" si="11"/>
        <v>2163681.682304</v>
      </c>
      <c r="W53" s="431">
        <v>12</v>
      </c>
      <c r="X53" s="424">
        <f t="shared" si="12"/>
        <v>180306.806858667</v>
      </c>
      <c r="Y53" s="427"/>
      <c r="Z53" s="424">
        <f t="shared" si="13"/>
        <v>180306.806858667</v>
      </c>
      <c r="AA53" s="179">
        <v>180306.806858667</v>
      </c>
      <c r="AB53" s="179">
        <f>Z53-AA53</f>
        <v>-3.7834979593753799E-10</v>
      </c>
      <c r="AC53" s="179"/>
      <c r="AD53" s="179"/>
      <c r="AE53" s="179"/>
    </row>
    <row r="54" spans="1:31" ht="18" x14ac:dyDescent="0.15">
      <c r="A54" s="498">
        <v>48</v>
      </c>
      <c r="B54" s="9" t="s">
        <v>148</v>
      </c>
      <c r="C54" s="424">
        <v>447553.5025</v>
      </c>
      <c r="D54" s="423">
        <v>12</v>
      </c>
      <c r="E54" s="424">
        <f>C54*D54</f>
        <v>5370642.0300000003</v>
      </c>
      <c r="F54" s="424"/>
      <c r="G54" s="427"/>
      <c r="H54" s="427"/>
      <c r="I54" s="424">
        <f t="shared" si="0"/>
        <v>5370642.0300000003</v>
      </c>
      <c r="J54" s="424">
        <v>200000</v>
      </c>
      <c r="K54" s="424">
        <v>0.2</v>
      </c>
      <c r="L54" s="424">
        <f t="shared" si="1"/>
        <v>1074128.406</v>
      </c>
      <c r="M54" s="424">
        <f t="shared" si="2"/>
        <v>1274128.406</v>
      </c>
      <c r="N54" s="424">
        <f t="shared" si="3"/>
        <v>1274128.406</v>
      </c>
      <c r="O54" s="424">
        <f t="shared" si="4"/>
        <v>4096513.6239999998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215163.26976</v>
      </c>
      <c r="V54" s="424">
        <f t="shared" si="11"/>
        <v>775163.26976000005</v>
      </c>
      <c r="W54" s="431">
        <v>12</v>
      </c>
      <c r="X54" s="424">
        <f t="shared" si="12"/>
        <v>64596.9391466667</v>
      </c>
      <c r="Y54" s="427"/>
      <c r="Z54" s="424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" x14ac:dyDescent="0.2">
      <c r="A55" s="498"/>
      <c r="B55" s="18"/>
      <c r="C55" s="424"/>
      <c r="D55" s="423"/>
      <c r="E55" s="424"/>
      <c r="F55" s="424"/>
      <c r="G55" s="427"/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24"/>
      <c r="AA55" s="179"/>
      <c r="AB55" s="179"/>
      <c r="AC55" s="179"/>
      <c r="AD55" s="179"/>
      <c r="AE55" s="179"/>
    </row>
    <row r="56" spans="1:31" ht="31.5" x14ac:dyDescent="0.2">
      <c r="A56" s="498">
        <v>49</v>
      </c>
      <c r="B56" s="18" t="s">
        <v>151</v>
      </c>
      <c r="C56" s="424"/>
      <c r="D56" s="423"/>
      <c r="E56" s="424"/>
      <c r="F56" s="424"/>
      <c r="G56" s="427"/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24"/>
      <c r="AA56" s="179"/>
      <c r="AB56" s="179"/>
      <c r="AC56" s="179"/>
      <c r="AD56" s="179"/>
      <c r="AE56" s="179"/>
    </row>
    <row r="57" spans="1:31" ht="18" x14ac:dyDescent="0.15">
      <c r="A57" s="498">
        <v>50</v>
      </c>
      <c r="B57" s="9" t="s">
        <v>541</v>
      </c>
      <c r="C57" s="424">
        <v>1050209.0634999999</v>
      </c>
      <c r="D57" s="423">
        <v>12</v>
      </c>
      <c r="E57" s="424">
        <f>C57*D57</f>
        <v>12602508.762</v>
      </c>
      <c r="F57" s="424"/>
      <c r="G57" s="427"/>
      <c r="H57" s="427"/>
      <c r="I57" s="424">
        <f t="shared" si="0"/>
        <v>12602508.762</v>
      </c>
      <c r="J57" s="424">
        <v>200000</v>
      </c>
      <c r="K57" s="424">
        <v>0.2</v>
      </c>
      <c r="L57" s="424">
        <f t="shared" si="1"/>
        <v>2520501.7524000001</v>
      </c>
      <c r="M57" s="424">
        <f t="shared" si="2"/>
        <v>2720501.7524000001</v>
      </c>
      <c r="N57" s="424">
        <f t="shared" si="3"/>
        <v>2720501.7524000001</v>
      </c>
      <c r="O57" s="424">
        <f t="shared" si="4"/>
        <v>9882007.0096000005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1603681.682304</v>
      </c>
      <c r="V57" s="424">
        <f t="shared" si="11"/>
        <v>2163681.682304</v>
      </c>
      <c r="W57" s="431">
        <v>12</v>
      </c>
      <c r="X57" s="424">
        <f t="shared" si="12"/>
        <v>180306.806858667</v>
      </c>
      <c r="Y57" s="427"/>
      <c r="Z57" s="424">
        <f t="shared" si="13"/>
        <v>180306.806858667</v>
      </c>
      <c r="AA57" s="179">
        <v>180306.806858667</v>
      </c>
      <c r="AB57" s="179">
        <f>Z57-AA57</f>
        <v>-3.7834979593753799E-10</v>
      </c>
      <c r="AC57" s="179"/>
      <c r="AD57" s="179"/>
      <c r="AE57" s="179"/>
    </row>
    <row r="58" spans="1:31" s="494" customFormat="1" ht="14.25" x14ac:dyDescent="0.15">
      <c r="A58" s="502">
        <v>51</v>
      </c>
      <c r="B58" s="313" t="s">
        <v>543</v>
      </c>
      <c r="C58" s="424">
        <v>516137.05</v>
      </c>
      <c r="D58" s="423">
        <v>12</v>
      </c>
      <c r="E58" s="424">
        <f t="shared" ref="E58:E66" si="37">C58*D58</f>
        <v>6193644.5999999996</v>
      </c>
      <c r="F58" s="424"/>
      <c r="G58" s="427"/>
      <c r="H58" s="427"/>
      <c r="I58" s="424">
        <f t="shared" si="0"/>
        <v>6193644.5999999996</v>
      </c>
      <c r="J58" s="424">
        <v>200000</v>
      </c>
      <c r="K58" s="424">
        <v>0.2</v>
      </c>
      <c r="L58" s="424">
        <f t="shared" si="1"/>
        <v>1238728.92</v>
      </c>
      <c r="M58" s="424">
        <f t="shared" si="2"/>
        <v>1438728.92</v>
      </c>
      <c r="N58" s="424">
        <f t="shared" si="3"/>
        <v>1438728.92</v>
      </c>
      <c r="O58" s="424">
        <f t="shared" si="4"/>
        <v>4754915.68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373179.76319999999</v>
      </c>
      <c r="V58" s="424">
        <f t="shared" si="11"/>
        <v>933179.76320000004</v>
      </c>
      <c r="W58" s="431">
        <v>12</v>
      </c>
      <c r="X58" s="424">
        <f t="shared" si="12"/>
        <v>77764.980266666695</v>
      </c>
      <c r="Y58" s="427"/>
      <c r="Z58" s="424">
        <f t="shared" si="13"/>
        <v>77764.980266666695</v>
      </c>
      <c r="AA58" s="510">
        <v>77764.980266666695</v>
      </c>
      <c r="AB58" s="179">
        <f t="shared" ref="AB58:AB66" si="38">Z58-AA58</f>
        <v>0</v>
      </c>
      <c r="AC58" s="510"/>
      <c r="AD58" s="510"/>
      <c r="AE58" s="510"/>
    </row>
    <row r="59" spans="1:31" ht="18" x14ac:dyDescent="0.15">
      <c r="A59" s="498">
        <v>52</v>
      </c>
      <c r="B59" s="9" t="s">
        <v>155</v>
      </c>
      <c r="C59" s="424">
        <v>397211.36749999999</v>
      </c>
      <c r="D59" s="423">
        <v>12</v>
      </c>
      <c r="E59" s="424">
        <f t="shared" si="37"/>
        <v>4766536.41</v>
      </c>
      <c r="F59" s="424"/>
      <c r="G59" s="427"/>
      <c r="H59" s="427"/>
      <c r="I59" s="424">
        <f t="shared" si="0"/>
        <v>4766536.41</v>
      </c>
      <c r="J59" s="424">
        <v>200000</v>
      </c>
      <c r="K59" s="424">
        <v>0.2</v>
      </c>
      <c r="L59" s="424">
        <f t="shared" si="1"/>
        <v>953307.28200000001</v>
      </c>
      <c r="M59" s="424">
        <f t="shared" si="2"/>
        <v>1153307.2819999999</v>
      </c>
      <c r="N59" s="424">
        <f t="shared" si="3"/>
        <v>1153307.2819999999</v>
      </c>
      <c r="O59" s="424">
        <f t="shared" si="4"/>
        <v>3613229.128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99174.990720000002</v>
      </c>
      <c r="V59" s="424">
        <f t="shared" si="11"/>
        <v>659174.99072</v>
      </c>
      <c r="W59" s="431">
        <v>12</v>
      </c>
      <c r="X59" s="424">
        <f t="shared" si="12"/>
        <v>54931.249226666703</v>
      </c>
      <c r="Y59" s="427"/>
      <c r="Z59" s="424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" x14ac:dyDescent="0.15">
      <c r="A60" s="498">
        <v>53</v>
      </c>
      <c r="B60" s="16" t="s">
        <v>545</v>
      </c>
      <c r="C60" s="424">
        <v>369177.65375</v>
      </c>
      <c r="D60" s="423">
        <v>12</v>
      </c>
      <c r="E60" s="424">
        <f t="shared" si="37"/>
        <v>4430131.8449999997</v>
      </c>
      <c r="F60" s="424"/>
      <c r="G60" s="427"/>
      <c r="H60" s="427"/>
      <c r="I60" s="424">
        <f t="shared" si="0"/>
        <v>4430131.8449999997</v>
      </c>
      <c r="J60" s="424">
        <v>200000</v>
      </c>
      <c r="K60" s="424">
        <v>0.2</v>
      </c>
      <c r="L60" s="424">
        <f t="shared" si="1"/>
        <v>886026.36899999995</v>
      </c>
      <c r="M60" s="424">
        <f t="shared" si="2"/>
        <v>1086026.3689999999</v>
      </c>
      <c r="N60" s="424">
        <f t="shared" si="3"/>
        <v>1086026.3689999999</v>
      </c>
      <c r="O60" s="424">
        <f t="shared" si="4"/>
        <v>3344105.4759999998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34585.314239999898</v>
      </c>
      <c r="V60" s="424">
        <f t="shared" si="11"/>
        <v>594585.31423999998</v>
      </c>
      <c r="W60" s="431">
        <v>12</v>
      </c>
      <c r="X60" s="424">
        <f t="shared" si="12"/>
        <v>49548.776186666699</v>
      </c>
      <c r="Y60" s="427"/>
      <c r="Z60" s="424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" x14ac:dyDescent="0.15">
      <c r="A61" s="498">
        <v>54</v>
      </c>
      <c r="B61" s="12" t="s">
        <v>546</v>
      </c>
      <c r="C61" s="424">
        <v>421394.00675</v>
      </c>
      <c r="D61" s="423">
        <v>12</v>
      </c>
      <c r="E61" s="424">
        <f t="shared" si="37"/>
        <v>5056728.0810000002</v>
      </c>
      <c r="F61" s="424"/>
      <c r="G61" s="427"/>
      <c r="H61" s="427"/>
      <c r="I61" s="424">
        <f t="shared" si="0"/>
        <v>5056728.0810000002</v>
      </c>
      <c r="J61" s="424">
        <v>200000</v>
      </c>
      <c r="K61" s="424">
        <v>0.2</v>
      </c>
      <c r="L61" s="424">
        <f t="shared" si="1"/>
        <v>1011345.6162</v>
      </c>
      <c r="M61" s="424">
        <f t="shared" si="2"/>
        <v>1211345.6162</v>
      </c>
      <c r="N61" s="424">
        <f t="shared" si="3"/>
        <v>1211345.6162</v>
      </c>
      <c r="O61" s="424">
        <f t="shared" si="4"/>
        <v>3845382.4648000002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154891.79155200001</v>
      </c>
      <c r="V61" s="424">
        <f t="shared" si="11"/>
        <v>714891.79155199998</v>
      </c>
      <c r="W61" s="431">
        <v>12</v>
      </c>
      <c r="X61" s="424">
        <f t="shared" si="12"/>
        <v>59574.315962666697</v>
      </c>
      <c r="Y61" s="427"/>
      <c r="Z61" s="511">
        <f t="shared" si="13"/>
        <v>59574.315962666697</v>
      </c>
      <c r="AA61" s="507">
        <v>46666.666666666701</v>
      </c>
      <c r="AB61" s="507">
        <f t="shared" si="38"/>
        <v>12907.649296</v>
      </c>
      <c r="AC61" s="179"/>
      <c r="AD61" s="179"/>
      <c r="AE61" s="179"/>
    </row>
    <row r="62" spans="1:31" ht="18" x14ac:dyDescent="0.15">
      <c r="A62" s="498">
        <v>55</v>
      </c>
      <c r="B62" s="9" t="s">
        <v>161</v>
      </c>
      <c r="C62" s="424">
        <v>322454.07400000002</v>
      </c>
      <c r="D62" s="423">
        <v>12</v>
      </c>
      <c r="E62" s="424">
        <f t="shared" si="37"/>
        <v>3869448.8879999998</v>
      </c>
      <c r="F62" s="424"/>
      <c r="G62" s="427"/>
      <c r="H62" s="427"/>
      <c r="I62" s="424">
        <f t="shared" si="0"/>
        <v>3869448.8879999998</v>
      </c>
      <c r="J62" s="424">
        <v>200000</v>
      </c>
      <c r="K62" s="424">
        <v>0.2</v>
      </c>
      <c r="L62" s="424">
        <f t="shared" si="1"/>
        <v>773889.77760000003</v>
      </c>
      <c r="M62" s="424">
        <f t="shared" si="2"/>
        <v>973889.77760000003</v>
      </c>
      <c r="N62" s="424">
        <f t="shared" si="3"/>
        <v>973889.77760000003</v>
      </c>
      <c r="O62" s="424">
        <f t="shared" si="4"/>
        <v>2895559.1104000001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272067.413184</v>
      </c>
      <c r="U62" s="424"/>
      <c r="V62" s="424">
        <f t="shared" si="11"/>
        <v>496067.413184</v>
      </c>
      <c r="W62" s="431">
        <v>12</v>
      </c>
      <c r="X62" s="424">
        <f t="shared" si="12"/>
        <v>41338.951098666701</v>
      </c>
      <c r="Y62" s="427"/>
      <c r="Z62" s="424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" x14ac:dyDescent="0.15">
      <c r="A63" s="498">
        <v>56</v>
      </c>
      <c r="B63" s="9" t="s">
        <v>163</v>
      </c>
      <c r="C63" s="424">
        <v>322454.07400000002</v>
      </c>
      <c r="D63" s="423">
        <v>12</v>
      </c>
      <c r="E63" s="424">
        <f t="shared" si="37"/>
        <v>3869448.8879999998</v>
      </c>
      <c r="F63" s="424"/>
      <c r="G63" s="427"/>
      <c r="H63" s="427"/>
      <c r="I63" s="424">
        <f t="shared" si="0"/>
        <v>3869448.8879999998</v>
      </c>
      <c r="J63" s="424">
        <v>200000</v>
      </c>
      <c r="K63" s="424">
        <v>0.2</v>
      </c>
      <c r="L63" s="424">
        <f t="shared" si="1"/>
        <v>773889.77760000003</v>
      </c>
      <c r="M63" s="424">
        <f t="shared" si="2"/>
        <v>973889.77760000003</v>
      </c>
      <c r="N63" s="424">
        <f t="shared" si="3"/>
        <v>973889.77760000003</v>
      </c>
      <c r="O63" s="424">
        <f t="shared" si="4"/>
        <v>2895559.1104000001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272067.413184</v>
      </c>
      <c r="U63" s="424"/>
      <c r="V63" s="424">
        <f t="shared" si="11"/>
        <v>496067.413184</v>
      </c>
      <c r="W63" s="431">
        <v>12</v>
      </c>
      <c r="X63" s="424">
        <f t="shared" si="12"/>
        <v>41338.951098666701</v>
      </c>
      <c r="Y63" s="427"/>
      <c r="Z63" s="424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" x14ac:dyDescent="0.15">
      <c r="A64" s="498">
        <v>57</v>
      </c>
      <c r="B64" s="9" t="s">
        <v>164</v>
      </c>
      <c r="C64" s="424">
        <v>322454.07400000002</v>
      </c>
      <c r="D64" s="423">
        <v>12</v>
      </c>
      <c r="E64" s="424">
        <f t="shared" si="37"/>
        <v>3869448.8879999998</v>
      </c>
      <c r="F64" s="424"/>
      <c r="G64" s="427"/>
      <c r="H64" s="427"/>
      <c r="I64" s="424">
        <f t="shared" si="0"/>
        <v>3869448.8879999998</v>
      </c>
      <c r="J64" s="424">
        <v>200000</v>
      </c>
      <c r="K64" s="424">
        <v>0.2</v>
      </c>
      <c r="L64" s="424">
        <f t="shared" si="1"/>
        <v>773889.77760000003</v>
      </c>
      <c r="M64" s="424">
        <f t="shared" si="2"/>
        <v>973889.77760000003</v>
      </c>
      <c r="N64" s="424">
        <f t="shared" si="3"/>
        <v>973889.77760000003</v>
      </c>
      <c r="O64" s="424">
        <f t="shared" si="4"/>
        <v>2895559.1104000001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272067.413184</v>
      </c>
      <c r="U64" s="424"/>
      <c r="V64" s="424">
        <f t="shared" si="11"/>
        <v>496067.413184</v>
      </c>
      <c r="W64" s="431">
        <v>12</v>
      </c>
      <c r="X64" s="424">
        <f t="shared" si="12"/>
        <v>41338.951098666701</v>
      </c>
      <c r="Y64" s="427"/>
      <c r="Z64" s="424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" x14ac:dyDescent="0.15">
      <c r="A65" s="498">
        <v>58</v>
      </c>
      <c r="B65" s="9" t="s">
        <v>165</v>
      </c>
      <c r="C65" s="424">
        <v>334536.99849999999</v>
      </c>
      <c r="D65" s="423">
        <v>12</v>
      </c>
      <c r="E65" s="424">
        <f t="shared" si="37"/>
        <v>4014443.9819999998</v>
      </c>
      <c r="F65" s="424"/>
      <c r="G65" s="427"/>
      <c r="H65" s="427"/>
      <c r="I65" s="424">
        <f t="shared" si="0"/>
        <v>4014443.9819999998</v>
      </c>
      <c r="J65" s="424">
        <v>200000</v>
      </c>
      <c r="K65" s="424">
        <v>0.2</v>
      </c>
      <c r="L65" s="424">
        <f t="shared" si="1"/>
        <v>802888.79639999999</v>
      </c>
      <c r="M65" s="424">
        <f t="shared" si="2"/>
        <v>1002888.7964</v>
      </c>
      <c r="N65" s="424">
        <f t="shared" si="3"/>
        <v>1002888.7964</v>
      </c>
      <c r="O65" s="424">
        <f t="shared" si="4"/>
        <v>3011555.1856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296426.58897600003</v>
      </c>
      <c r="U65" s="424"/>
      <c r="V65" s="424">
        <f t="shared" si="11"/>
        <v>520426.58897600003</v>
      </c>
      <c r="W65" s="431">
        <v>12</v>
      </c>
      <c r="X65" s="424">
        <f t="shared" si="12"/>
        <v>43368.882414666703</v>
      </c>
      <c r="Y65" s="427"/>
      <c r="Z65" s="424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" x14ac:dyDescent="0.15">
      <c r="A66" s="498">
        <v>59</v>
      </c>
      <c r="B66" s="9" t="s">
        <v>168</v>
      </c>
      <c r="C66" s="424">
        <v>277734.04700000002</v>
      </c>
      <c r="D66" s="423">
        <v>12</v>
      </c>
      <c r="E66" s="424">
        <f t="shared" si="37"/>
        <v>3332808.5639999998</v>
      </c>
      <c r="F66" s="424"/>
      <c r="G66" s="427"/>
      <c r="H66" s="427"/>
      <c r="I66" s="424">
        <f t="shared" si="0"/>
        <v>3332808.5639999998</v>
      </c>
      <c r="J66" s="424">
        <v>200000</v>
      </c>
      <c r="K66" s="424">
        <v>0.2</v>
      </c>
      <c r="L66" s="424">
        <f t="shared" si="1"/>
        <v>666561.71279999998</v>
      </c>
      <c r="M66" s="424">
        <f t="shared" si="2"/>
        <v>866561.71279999998</v>
      </c>
      <c r="N66" s="424">
        <f t="shared" si="3"/>
        <v>866561.71279999998</v>
      </c>
      <c r="O66" s="424">
        <f t="shared" si="4"/>
        <v>2466246.8511999999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181911.83875200001</v>
      </c>
      <c r="U66" s="424"/>
      <c r="V66" s="424">
        <f t="shared" si="11"/>
        <v>405911.83875200001</v>
      </c>
      <c r="W66" s="431">
        <v>12</v>
      </c>
      <c r="X66" s="424">
        <f t="shared" si="12"/>
        <v>33825.986562666702</v>
      </c>
      <c r="Y66" s="427"/>
      <c r="Z66" s="424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" x14ac:dyDescent="0.2">
      <c r="A67" s="498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24"/>
      <c r="AA67" s="179"/>
      <c r="AB67" s="179"/>
      <c r="AC67" s="179"/>
      <c r="AD67" s="179"/>
      <c r="AE67" s="179"/>
    </row>
    <row r="68" spans="1:31" ht="18" x14ac:dyDescent="0.2">
      <c r="A68" s="498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24"/>
      <c r="AA68" s="179"/>
      <c r="AB68" s="179"/>
      <c r="AC68" s="179"/>
      <c r="AD68" s="179"/>
      <c r="AE68" s="179"/>
    </row>
    <row r="69" spans="1:31" ht="18" x14ac:dyDescent="0.15">
      <c r="A69" s="498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24"/>
      <c r="AA69" s="179"/>
      <c r="AB69" s="179"/>
      <c r="AC69" s="179"/>
      <c r="AD69" s="179"/>
      <c r="AE69" s="179"/>
    </row>
    <row r="70" spans="1:31" ht="18" x14ac:dyDescent="0.15">
      <c r="A70" s="498"/>
      <c r="B70" s="9" t="s">
        <v>170</v>
      </c>
      <c r="C70" s="424">
        <v>1050209.0634999999</v>
      </c>
      <c r="D70" s="423">
        <v>12</v>
      </c>
      <c r="E70" s="424">
        <f>C70*D70</f>
        <v>12602508.762</v>
      </c>
      <c r="F70" s="424"/>
      <c r="G70" s="427"/>
      <c r="H70" s="427"/>
      <c r="I70" s="424">
        <f t="shared" ref="I70" si="39">E70-F70-G70-H70</f>
        <v>12602508.762</v>
      </c>
      <c r="J70" s="424">
        <v>200000</v>
      </c>
      <c r="K70" s="424">
        <v>0.2</v>
      </c>
      <c r="L70" s="424">
        <f t="shared" ref="L70" si="40">I70*K70</f>
        <v>2520501.7524000001</v>
      </c>
      <c r="M70" s="424">
        <f t="shared" ref="M70" si="41">J70+L70</f>
        <v>2720501.7524000001</v>
      </c>
      <c r="N70" s="424">
        <f t="shared" ref="N70" si="42">F70+G70+H70+M70</f>
        <v>2720501.7524000001</v>
      </c>
      <c r="O70" s="424">
        <f t="shared" ref="O70" si="43">E70-N70</f>
        <v>9882007.0096000005</v>
      </c>
      <c r="P70" s="424">
        <f t="shared" ref="P70" si="44">IF(O70&lt;300000,0.07*O70,21000)</f>
        <v>21000</v>
      </c>
      <c r="Q70" s="424">
        <f t="shared" ref="Q70" si="45">IF((O70-300000)&lt;0,0,IF((O70-300000)&lt;300000,0.11*(O70-300000),33000))</f>
        <v>33000</v>
      </c>
      <c r="R70" s="424">
        <f t="shared" ref="R70" si="46">IF((O70-600000)&lt;0,0,IF((O70-600000)&lt;500000,0.15*(O70-600000),75000))</f>
        <v>75000</v>
      </c>
      <c r="S70" s="424">
        <f t="shared" ref="S70" si="47">IF((O70-1100000)&lt;0,0,IF((O70-1100000)&lt;500000,0.19*(O70-1100000),95000))</f>
        <v>95000</v>
      </c>
      <c r="T70" s="424">
        <f t="shared" ref="T70" si="48">IF((O70-1600000)&lt;0,0,IF((O70-1600000)&lt;1600000,0.21*(O70-1600000),336000))</f>
        <v>336000</v>
      </c>
      <c r="U70" s="424">
        <f t="shared" ref="U70" si="49">24%*(O70-3200000)</f>
        <v>1603681.682304</v>
      </c>
      <c r="V70" s="424">
        <f t="shared" ref="V70" si="50">P70+Q70+R70+S70+T70+U70</f>
        <v>2163681.682304</v>
      </c>
      <c r="W70" s="431">
        <v>12</v>
      </c>
      <c r="X70" s="424">
        <f t="shared" ref="X70" si="51">V70/W70</f>
        <v>180306.806858667</v>
      </c>
      <c r="Y70" s="427"/>
      <c r="Z70" s="424">
        <f t="shared" ref="Z70" si="52">X70</f>
        <v>180306.806858667</v>
      </c>
      <c r="AA70" s="179">
        <v>180306.806858667</v>
      </c>
      <c r="AB70" s="179">
        <f>Z70-AA70</f>
        <v>-3.7834979593753799E-10</v>
      </c>
      <c r="AC70" s="179"/>
      <c r="AD70" s="179"/>
      <c r="AE70" s="179"/>
    </row>
    <row r="71" spans="1:31" ht="18" x14ac:dyDescent="0.15">
      <c r="A71" s="498">
        <v>62</v>
      </c>
      <c r="B71" s="12" t="s">
        <v>547</v>
      </c>
      <c r="C71" s="424">
        <v>516137.05</v>
      </c>
      <c r="D71" s="423">
        <v>12</v>
      </c>
      <c r="E71" s="424">
        <f t="shared" ref="E71:E76" si="53">C71*D71</f>
        <v>6193644.5999999996</v>
      </c>
      <c r="F71" s="424"/>
      <c r="G71" s="427"/>
      <c r="H71" s="427"/>
      <c r="I71" s="424">
        <f t="shared" si="0"/>
        <v>6193644.5999999996</v>
      </c>
      <c r="J71" s="424">
        <v>200000</v>
      </c>
      <c r="K71" s="424">
        <v>0.2</v>
      </c>
      <c r="L71" s="424">
        <f t="shared" si="1"/>
        <v>1238728.92</v>
      </c>
      <c r="M71" s="424">
        <f t="shared" si="2"/>
        <v>1438728.92</v>
      </c>
      <c r="N71" s="424">
        <f t="shared" si="3"/>
        <v>1438728.92</v>
      </c>
      <c r="O71" s="424">
        <f t="shared" si="4"/>
        <v>4754915.68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373179.76319999999</v>
      </c>
      <c r="V71" s="424">
        <f t="shared" si="11"/>
        <v>933179.76320000004</v>
      </c>
      <c r="W71" s="431">
        <v>12</v>
      </c>
      <c r="X71" s="424">
        <f t="shared" si="12"/>
        <v>77764.980266666695</v>
      </c>
      <c r="Y71" s="427"/>
      <c r="Z71" s="424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1.5" x14ac:dyDescent="0.2">
      <c r="A72" s="498">
        <v>63</v>
      </c>
      <c r="B72" s="16" t="s">
        <v>550</v>
      </c>
      <c r="C72" s="424">
        <v>447553.5025</v>
      </c>
      <c r="D72" s="423">
        <v>12</v>
      </c>
      <c r="E72" s="424">
        <f t="shared" si="53"/>
        <v>5370642.0300000003</v>
      </c>
      <c r="F72" s="424"/>
      <c r="G72" s="427"/>
      <c r="H72" s="427"/>
      <c r="I72" s="424">
        <f t="shared" si="0"/>
        <v>5370642.0300000003</v>
      </c>
      <c r="J72" s="424">
        <v>200000</v>
      </c>
      <c r="K72" s="424">
        <v>0.2</v>
      </c>
      <c r="L72" s="424">
        <f t="shared" si="1"/>
        <v>1074128.406</v>
      </c>
      <c r="M72" s="424">
        <f t="shared" si="2"/>
        <v>1274128.406</v>
      </c>
      <c r="N72" s="424">
        <f t="shared" si="3"/>
        <v>1274128.406</v>
      </c>
      <c r="O72" s="424">
        <f t="shared" si="4"/>
        <v>4096513.6239999998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215163.26976</v>
      </c>
      <c r="V72" s="424">
        <f t="shared" si="11"/>
        <v>775163.26976000005</v>
      </c>
      <c r="W72" s="431">
        <v>12</v>
      </c>
      <c r="X72" s="424">
        <f t="shared" si="12"/>
        <v>64596.9391466667</v>
      </c>
      <c r="Y72" s="427"/>
      <c r="Z72" s="424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" x14ac:dyDescent="0.15">
      <c r="A73" s="498">
        <v>64</v>
      </c>
      <c r="B73" s="9" t="s">
        <v>174</v>
      </c>
      <c r="C73" s="424">
        <v>405272.06374999997</v>
      </c>
      <c r="D73" s="423">
        <v>12</v>
      </c>
      <c r="E73" s="424">
        <f t="shared" si="53"/>
        <v>4863264.7649999997</v>
      </c>
      <c r="F73" s="424">
        <f>'[8]JANUARY 2024'!$V$78*12</f>
        <v>8019.7950000000001</v>
      </c>
      <c r="G73" s="427"/>
      <c r="H73" s="427"/>
      <c r="I73" s="424">
        <f t="shared" si="0"/>
        <v>4855244.97</v>
      </c>
      <c r="J73" s="424">
        <v>200000</v>
      </c>
      <c r="K73" s="424">
        <v>0.2</v>
      </c>
      <c r="L73" s="424">
        <f t="shared" si="1"/>
        <v>971048.99399999995</v>
      </c>
      <c r="M73" s="424">
        <f t="shared" si="2"/>
        <v>1171048.9939999999</v>
      </c>
      <c r="N73" s="424">
        <f t="shared" si="3"/>
        <v>1179068.7890000001</v>
      </c>
      <c r="O73" s="424">
        <f t="shared" si="4"/>
        <v>3684195.9759999998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116207.03423999999</v>
      </c>
      <c r="V73" s="424">
        <f t="shared" si="11"/>
        <v>676207.03423999995</v>
      </c>
      <c r="W73" s="431">
        <v>12</v>
      </c>
      <c r="X73" s="424">
        <f t="shared" si="12"/>
        <v>56350.586186666696</v>
      </c>
      <c r="Y73" s="427"/>
      <c r="Z73" s="424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4" customFormat="1" ht="18" x14ac:dyDescent="0.15">
      <c r="A74" s="502">
        <v>65</v>
      </c>
      <c r="B74" s="9" t="s">
        <v>181</v>
      </c>
      <c r="C74" s="424">
        <v>273169.11749999999</v>
      </c>
      <c r="D74" s="423">
        <v>12</v>
      </c>
      <c r="E74" s="424">
        <f t="shared" si="53"/>
        <v>3278029.41</v>
      </c>
      <c r="F74" s="424"/>
      <c r="G74" s="427"/>
      <c r="H74" s="427"/>
      <c r="I74" s="424">
        <f t="shared" si="0"/>
        <v>3278029.41</v>
      </c>
      <c r="J74" s="424">
        <v>200000</v>
      </c>
      <c r="K74" s="424">
        <v>0.2</v>
      </c>
      <c r="L74" s="424">
        <f t="shared" si="1"/>
        <v>655605.88199999998</v>
      </c>
      <c r="M74" s="424">
        <f t="shared" si="2"/>
        <v>855605.88199999998</v>
      </c>
      <c r="N74" s="424">
        <f t="shared" si="3"/>
        <v>855605.88199999998</v>
      </c>
      <c r="O74" s="424">
        <f t="shared" si="4"/>
        <v>2422423.5279999999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172708.94088000001</v>
      </c>
      <c r="U74" s="424"/>
      <c r="V74" s="424">
        <f t="shared" si="11"/>
        <v>396708.94088000001</v>
      </c>
      <c r="W74" s="431">
        <v>12</v>
      </c>
      <c r="X74" s="424">
        <f t="shared" si="12"/>
        <v>33059.078406666697</v>
      </c>
      <c r="Y74" s="427"/>
      <c r="Z74" s="506">
        <f t="shared" si="13"/>
        <v>33059.078406666697</v>
      </c>
      <c r="AA74" s="507">
        <v>17507.548966666702</v>
      </c>
      <c r="AB74" s="507">
        <f t="shared" si="54"/>
        <v>15551.52944</v>
      </c>
      <c r="AC74" s="510"/>
      <c r="AD74" s="510"/>
      <c r="AE74" s="510"/>
    </row>
    <row r="75" spans="1:31" ht="18" x14ac:dyDescent="0.15">
      <c r="A75" s="498"/>
      <c r="B75" s="9" t="s">
        <v>183</v>
      </c>
      <c r="C75" s="424">
        <v>249356.04725</v>
      </c>
      <c r="D75" s="423">
        <v>12</v>
      </c>
      <c r="E75" s="424">
        <f t="shared" si="53"/>
        <v>2992272.5669999998</v>
      </c>
      <c r="F75" s="424"/>
      <c r="G75" s="427"/>
      <c r="H75" s="427"/>
      <c r="I75" s="424">
        <f t="shared" si="0"/>
        <v>2992272.5669999998</v>
      </c>
      <c r="J75" s="424">
        <v>200000</v>
      </c>
      <c r="K75" s="424">
        <v>0.2</v>
      </c>
      <c r="L75" s="424">
        <f t="shared" si="1"/>
        <v>598454.51340000005</v>
      </c>
      <c r="M75" s="424">
        <f t="shared" si="2"/>
        <v>798454.51340000005</v>
      </c>
      <c r="N75" s="424">
        <f t="shared" si="3"/>
        <v>798454.51340000005</v>
      </c>
      <c r="O75" s="424">
        <f t="shared" si="4"/>
        <v>2193818.0536000002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124701.791256</v>
      </c>
      <c r="U75" s="424"/>
      <c r="V75" s="424">
        <f t="shared" si="11"/>
        <v>348701.791256</v>
      </c>
      <c r="W75" s="431">
        <v>12</v>
      </c>
      <c r="X75" s="424">
        <f t="shared" si="12"/>
        <v>29058.4826046667</v>
      </c>
      <c r="Y75" s="427"/>
      <c r="Z75" s="424">
        <f t="shared" si="13"/>
        <v>29058.4826046667</v>
      </c>
      <c r="AA75" s="179">
        <v>29058.4826046667</v>
      </c>
      <c r="AB75" s="179">
        <f t="shared" si="54"/>
        <v>-4.0017766878008797E-11</v>
      </c>
      <c r="AC75" s="179"/>
      <c r="AD75" s="179"/>
      <c r="AE75" s="179"/>
    </row>
    <row r="76" spans="1:31" ht="18" x14ac:dyDescent="0.15">
      <c r="A76" s="498"/>
      <c r="B76" s="9" t="s">
        <v>185</v>
      </c>
      <c r="C76" s="424">
        <v>223717.28450000001</v>
      </c>
      <c r="D76" s="423">
        <v>12</v>
      </c>
      <c r="E76" s="424">
        <f t="shared" si="53"/>
        <v>2684607.4139999999</v>
      </c>
      <c r="F76" s="424"/>
      <c r="G76" s="427"/>
      <c r="H76" s="427"/>
      <c r="I76" s="424">
        <f t="shared" ref="I76" si="55">E76-F76-G76-H76</f>
        <v>2684607.4139999999</v>
      </c>
      <c r="J76" s="424">
        <v>200000</v>
      </c>
      <c r="K76" s="424">
        <v>0.2</v>
      </c>
      <c r="L76" s="424">
        <f t="shared" ref="L76" si="56">I76*K76</f>
        <v>536921.4828</v>
      </c>
      <c r="M76" s="424">
        <f t="shared" ref="M76" si="57">J76+L76</f>
        <v>736921.4828</v>
      </c>
      <c r="N76" s="424">
        <f t="shared" ref="N76" si="58">F76+G76+H76+M76</f>
        <v>736921.4828</v>
      </c>
      <c r="O76" s="424">
        <f t="shared" ref="O76" si="59">E76-N76</f>
        <v>1947685.9312</v>
      </c>
      <c r="P76" s="424">
        <f t="shared" ref="P76" si="60">IF(O76&lt;300000,0.07*O76,21000)</f>
        <v>21000</v>
      </c>
      <c r="Q76" s="424">
        <f t="shared" ref="Q76" si="61">IF((O76-300000)&lt;0,0,IF((O76-300000)&lt;300000,0.11*(O76-300000),33000))</f>
        <v>33000</v>
      </c>
      <c r="R76" s="424">
        <f t="shared" ref="R76" si="62">IF((O76-600000)&lt;0,0,IF((O76-600000)&lt;500000,0.15*(O76-600000),75000))</f>
        <v>75000</v>
      </c>
      <c r="S76" s="424">
        <f t="shared" ref="S76" si="63">IF((O76-1100000)&lt;0,0,IF((O76-1100000)&lt;500000,0.19*(O76-1100000),95000))</f>
        <v>95000</v>
      </c>
      <c r="T76" s="424">
        <f t="shared" ref="T76" si="64">IF((O76-1600000)&lt;0,0,IF((O76-1600000)&lt;1600000,0.21*(O76-1600000),336000))</f>
        <v>73014.045551999996</v>
      </c>
      <c r="U76" s="424">
        <v>0</v>
      </c>
      <c r="V76" s="424">
        <f t="shared" ref="V76" si="65">P76+Q76+R76+S76+T76+U76</f>
        <v>297014.045552</v>
      </c>
      <c r="W76" s="431">
        <v>12</v>
      </c>
      <c r="X76" s="424">
        <f t="shared" ref="X76" si="66">V76/W76</f>
        <v>24751.170462666701</v>
      </c>
      <c r="Y76" s="427"/>
      <c r="Z76" s="424">
        <f t="shared" ref="Z76" si="67">X76</f>
        <v>24751.170462666701</v>
      </c>
      <c r="AA76" s="179">
        <v>24751.170462666701</v>
      </c>
      <c r="AB76" s="179">
        <f t="shared" si="54"/>
        <v>-3.6379788070917097E-11</v>
      </c>
      <c r="AC76" s="179"/>
      <c r="AD76" s="179"/>
      <c r="AE76" s="179"/>
    </row>
    <row r="77" spans="1:31" ht="18" x14ac:dyDescent="0.2">
      <c r="A77" s="498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24"/>
      <c r="AA77" s="179"/>
      <c r="AB77" s="512">
        <f>SUM(AB70:AB76)</f>
        <v>15551.5294399995</v>
      </c>
      <c r="AC77" s="179"/>
      <c r="AD77" s="179"/>
      <c r="AE77" s="179"/>
    </row>
    <row r="78" spans="1:31" ht="18" x14ac:dyDescent="0.2">
      <c r="A78" s="498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24"/>
      <c r="AA78" s="179"/>
      <c r="AB78" s="179"/>
      <c r="AC78" s="179"/>
      <c r="AD78" s="179"/>
      <c r="AE78" s="179"/>
    </row>
    <row r="79" spans="1:31" ht="18" x14ac:dyDescent="0.15">
      <c r="A79" s="498">
        <v>67</v>
      </c>
      <c r="B79" s="18" t="s">
        <v>187</v>
      </c>
      <c r="C79" s="424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B79" t="s">
        <v>649</v>
      </c>
      <c r="AC79" s="179"/>
      <c r="AD79" s="179"/>
      <c r="AE79" s="179"/>
    </row>
    <row r="80" spans="1:31" ht="18" x14ac:dyDescent="0.15">
      <c r="A80" s="498">
        <v>68</v>
      </c>
      <c r="B80" s="9" t="s">
        <v>190</v>
      </c>
      <c r="C80" s="424">
        <v>627553.50249999994</v>
      </c>
      <c r="D80" s="423">
        <v>12</v>
      </c>
      <c r="E80" s="424">
        <f>C80*D80</f>
        <v>7530642.0300000003</v>
      </c>
      <c r="F80" s="424"/>
      <c r="G80" s="427"/>
      <c r="H80" s="427"/>
      <c r="I80" s="424">
        <f t="shared" ref="I80:I89" si="68">E80-F80-G80-H80</f>
        <v>7530642.0300000003</v>
      </c>
      <c r="J80" s="424">
        <v>200000</v>
      </c>
      <c r="K80" s="424">
        <v>0.2</v>
      </c>
      <c r="L80" s="424">
        <f t="shared" ref="L80:L89" si="69">I80*K80</f>
        <v>1506128.406</v>
      </c>
      <c r="M80" s="424">
        <f t="shared" ref="M80:M89" si="70">J80+L80</f>
        <v>1706128.406</v>
      </c>
      <c r="N80" s="424">
        <f t="shared" ref="N80:N89" si="71">F80+G80+H80+M80</f>
        <v>1706128.406</v>
      </c>
      <c r="O80" s="424">
        <f t="shared" ref="O80:O89" si="72">E80-N80</f>
        <v>5824513.6239999998</v>
      </c>
      <c r="P80" s="424">
        <f t="shared" ref="P80:P89" si="73">IF(O80&lt;300000,0.07*O80,21000)</f>
        <v>21000</v>
      </c>
      <c r="Q80" s="424">
        <f t="shared" ref="Q80:Q89" si="74">IF((O80-300000)&lt;0,0,IF((O80-300000)&lt;300000,0.11*(O80-300000),33000))</f>
        <v>33000</v>
      </c>
      <c r="R80" s="424">
        <f t="shared" ref="R80:R89" si="75">IF((O80-600000)&lt;0,0,IF((O80-600000)&lt;500000,0.15*(O80-600000),75000))</f>
        <v>75000</v>
      </c>
      <c r="S80" s="424">
        <f t="shared" ref="S80:S89" si="76">IF((O80-1100000)&lt;0,0,IF((O80-1100000)&lt;500000,0.19*(O80-1100000),95000))</f>
        <v>95000</v>
      </c>
      <c r="T80" s="424">
        <f t="shared" ref="T80:T89" si="77">IF((O80-1600000)&lt;0,0,IF((O80-1600000)&lt;1600000,0.21*(O80-1600000),336000))</f>
        <v>336000</v>
      </c>
      <c r="U80" s="424">
        <f t="shared" ref="U80:U85" si="78">24%*(O80-3200000)</f>
        <v>629883.26976000005</v>
      </c>
      <c r="V80" s="424">
        <f t="shared" ref="V80:V89" si="79">P80+Q80+R80+S80+T80+U80</f>
        <v>1189883.2697600001</v>
      </c>
      <c r="W80" s="431">
        <v>12</v>
      </c>
      <c r="X80" s="424">
        <f t="shared" ref="X80:X89" si="80">V80/W80</f>
        <v>99156.9391466667</v>
      </c>
      <c r="Y80" s="427"/>
      <c r="Z80" s="424">
        <f t="shared" ref="Z80:Z89" si="81">X80</f>
        <v>99156.9391466667</v>
      </c>
      <c r="AA80" s="501">
        <v>99156.9391466667</v>
      </c>
      <c r="AB80" s="509">
        <f>Z80-AA80</f>
        <v>0</v>
      </c>
      <c r="AC80" s="179" t="s">
        <v>190</v>
      </c>
      <c r="AD80" s="179"/>
      <c r="AE80" s="179"/>
    </row>
    <row r="81" spans="1:31" s="494" customFormat="1" ht="18" x14ac:dyDescent="0.15">
      <c r="A81" s="502">
        <v>69</v>
      </c>
      <c r="B81" s="9" t="s">
        <v>188</v>
      </c>
      <c r="C81" s="424">
        <v>527553.50249999994</v>
      </c>
      <c r="D81" s="423">
        <v>12</v>
      </c>
      <c r="E81" s="424">
        <f t="shared" ref="E81:E87" si="82">C81*D81</f>
        <v>6330642.0300000003</v>
      </c>
      <c r="F81" s="424">
        <f>'[8]JANUARY 2024'!$V$86*12</f>
        <v>10052.25</v>
      </c>
      <c r="G81" s="427"/>
      <c r="H81" s="427"/>
      <c r="I81" s="424">
        <f t="shared" si="68"/>
        <v>6320589.7800000003</v>
      </c>
      <c r="J81" s="424">
        <v>200000</v>
      </c>
      <c r="K81" s="424">
        <v>0.2</v>
      </c>
      <c r="L81" s="424">
        <f t="shared" si="69"/>
        <v>1264117.956</v>
      </c>
      <c r="M81" s="424">
        <f t="shared" si="70"/>
        <v>1464117.956</v>
      </c>
      <c r="N81" s="424">
        <f t="shared" si="71"/>
        <v>1474170.206</v>
      </c>
      <c r="O81" s="424">
        <f t="shared" si="72"/>
        <v>4856471.824</v>
      </c>
      <c r="P81" s="424">
        <f t="shared" si="73"/>
        <v>21000</v>
      </c>
      <c r="Q81" s="424">
        <f t="shared" si="74"/>
        <v>33000</v>
      </c>
      <c r="R81" s="424">
        <f t="shared" si="75"/>
        <v>75000</v>
      </c>
      <c r="S81" s="424">
        <f t="shared" si="76"/>
        <v>95000</v>
      </c>
      <c r="T81" s="424">
        <f t="shared" si="77"/>
        <v>336000</v>
      </c>
      <c r="U81" s="424">
        <f t="shared" si="78"/>
        <v>397553.23775999999</v>
      </c>
      <c r="V81" s="424">
        <f t="shared" si="79"/>
        <v>957553.23776000005</v>
      </c>
      <c r="W81" s="431">
        <v>12</v>
      </c>
      <c r="X81" s="424">
        <f t="shared" si="80"/>
        <v>79796.103146666603</v>
      </c>
      <c r="Y81" s="427"/>
      <c r="Z81" s="424">
        <f t="shared" si="81"/>
        <v>79796.103146666603</v>
      </c>
      <c r="AA81" s="501">
        <v>98996.103146666705</v>
      </c>
      <c r="AB81" s="509">
        <f t="shared" ref="AB81:AB87" si="83">Z81-AA81</f>
        <v>-19200.000000000098</v>
      </c>
      <c r="AC81" s="510" t="s">
        <v>188</v>
      </c>
      <c r="AD81" s="510"/>
      <c r="AE81" s="510"/>
    </row>
    <row r="82" spans="1:31" s="494" customFormat="1" ht="31.5" x14ac:dyDescent="0.2">
      <c r="A82" s="502">
        <v>70</v>
      </c>
      <c r="B82" s="9" t="s">
        <v>193</v>
      </c>
      <c r="C82" s="424">
        <v>504729.22200000001</v>
      </c>
      <c r="D82" s="423">
        <v>12</v>
      </c>
      <c r="E82" s="424">
        <f t="shared" si="82"/>
        <v>6056750.6639999999</v>
      </c>
      <c r="F82" s="424"/>
      <c r="G82" s="427"/>
      <c r="H82" s="427"/>
      <c r="I82" s="424">
        <f t="shared" si="68"/>
        <v>6056750.6639999999</v>
      </c>
      <c r="J82" s="424">
        <v>200000</v>
      </c>
      <c r="K82" s="424">
        <v>0.2</v>
      </c>
      <c r="L82" s="424">
        <f t="shared" si="69"/>
        <v>1211350.1328</v>
      </c>
      <c r="M82" s="424">
        <f t="shared" si="70"/>
        <v>1411350.1328</v>
      </c>
      <c r="N82" s="424">
        <f t="shared" si="71"/>
        <v>1411350.1328</v>
      </c>
      <c r="O82" s="424">
        <f t="shared" si="72"/>
        <v>4645400.5312000001</v>
      </c>
      <c r="P82" s="424">
        <f t="shared" si="73"/>
        <v>21000</v>
      </c>
      <c r="Q82" s="424">
        <f t="shared" si="74"/>
        <v>33000</v>
      </c>
      <c r="R82" s="424">
        <f t="shared" si="75"/>
        <v>75000</v>
      </c>
      <c r="S82" s="424">
        <f t="shared" si="76"/>
        <v>95000</v>
      </c>
      <c r="T82" s="424">
        <f t="shared" si="77"/>
        <v>336000</v>
      </c>
      <c r="U82" s="424">
        <f t="shared" si="78"/>
        <v>346896.12748800003</v>
      </c>
      <c r="V82" s="424">
        <f t="shared" si="79"/>
        <v>906896.12748799997</v>
      </c>
      <c r="W82" s="431">
        <v>12</v>
      </c>
      <c r="X82" s="424">
        <f t="shared" si="80"/>
        <v>75574.677290666703</v>
      </c>
      <c r="Y82" s="427"/>
      <c r="Z82" s="424">
        <f t="shared" si="81"/>
        <v>75574.677290666703</v>
      </c>
      <c r="AA82" s="513">
        <v>79956.9391466667</v>
      </c>
      <c r="AB82" s="509">
        <f t="shared" si="83"/>
        <v>-4382.2618560000301</v>
      </c>
      <c r="AC82" s="510" t="s">
        <v>193</v>
      </c>
      <c r="AD82" s="510"/>
      <c r="AE82" s="510"/>
    </row>
    <row r="83" spans="1:31" ht="18" x14ac:dyDescent="0.15">
      <c r="A83" s="498">
        <v>71</v>
      </c>
      <c r="B83" s="9" t="s">
        <v>194</v>
      </c>
      <c r="C83" s="424">
        <v>376663.07750000001</v>
      </c>
      <c r="D83" s="423">
        <v>12</v>
      </c>
      <c r="E83" s="424">
        <f t="shared" si="82"/>
        <v>4519956.93</v>
      </c>
      <c r="F83" s="424"/>
      <c r="G83" s="427"/>
      <c r="H83" s="427"/>
      <c r="I83" s="424">
        <f t="shared" si="68"/>
        <v>4519956.93</v>
      </c>
      <c r="J83" s="424">
        <v>200000</v>
      </c>
      <c r="K83" s="424">
        <v>0.2</v>
      </c>
      <c r="L83" s="424">
        <f t="shared" si="69"/>
        <v>903991.38600000006</v>
      </c>
      <c r="M83" s="424">
        <f t="shared" si="70"/>
        <v>1103991.3859999999</v>
      </c>
      <c r="N83" s="424">
        <f t="shared" si="71"/>
        <v>1103991.3859999999</v>
      </c>
      <c r="O83" s="424">
        <f t="shared" si="72"/>
        <v>3415965.5440000002</v>
      </c>
      <c r="P83" s="424">
        <f t="shared" si="73"/>
        <v>21000</v>
      </c>
      <c r="Q83" s="424">
        <f t="shared" si="74"/>
        <v>33000</v>
      </c>
      <c r="R83" s="424">
        <f t="shared" si="75"/>
        <v>75000</v>
      </c>
      <c r="S83" s="424">
        <f t="shared" si="76"/>
        <v>95000</v>
      </c>
      <c r="T83" s="424">
        <f t="shared" si="77"/>
        <v>336000</v>
      </c>
      <c r="U83" s="424">
        <f t="shared" si="78"/>
        <v>51831.730559999902</v>
      </c>
      <c r="V83" s="424">
        <f t="shared" si="79"/>
        <v>611831.73056000005</v>
      </c>
      <c r="W83" s="431">
        <v>12</v>
      </c>
      <c r="X83" s="424">
        <f t="shared" si="80"/>
        <v>50985.977546666698</v>
      </c>
      <c r="Y83" s="427"/>
      <c r="Z83" s="424">
        <f t="shared" si="81"/>
        <v>50985.977546666698</v>
      </c>
      <c r="AA83" s="513">
        <v>75574.677290666703</v>
      </c>
      <c r="AB83" s="509">
        <f t="shared" si="83"/>
        <v>-24588.699744000001</v>
      </c>
      <c r="AC83" s="179" t="s">
        <v>194</v>
      </c>
      <c r="AD83" s="179"/>
      <c r="AE83" s="179"/>
    </row>
    <row r="84" spans="1:31" ht="18" x14ac:dyDescent="0.15">
      <c r="A84" s="498">
        <v>72</v>
      </c>
      <c r="B84" s="9" t="s">
        <v>195</v>
      </c>
      <c r="C84" s="424">
        <v>369177.65375</v>
      </c>
      <c r="D84" s="423">
        <v>12</v>
      </c>
      <c r="E84" s="424">
        <f t="shared" si="82"/>
        <v>4430131.8449999997</v>
      </c>
      <c r="F84" s="424"/>
      <c r="G84" s="427"/>
      <c r="H84" s="427"/>
      <c r="I84" s="424">
        <f t="shared" si="68"/>
        <v>4430131.8449999997</v>
      </c>
      <c r="J84" s="424">
        <v>200000</v>
      </c>
      <c r="K84" s="424">
        <v>0.2</v>
      </c>
      <c r="L84" s="424">
        <f t="shared" si="69"/>
        <v>886026.36899999995</v>
      </c>
      <c r="M84" s="424">
        <f t="shared" si="70"/>
        <v>1086026.3689999999</v>
      </c>
      <c r="N84" s="424">
        <f t="shared" si="71"/>
        <v>1086026.3689999999</v>
      </c>
      <c r="O84" s="424">
        <f t="shared" si="72"/>
        <v>3344105.4759999998</v>
      </c>
      <c r="P84" s="424">
        <f t="shared" si="73"/>
        <v>21000</v>
      </c>
      <c r="Q84" s="424">
        <f t="shared" si="74"/>
        <v>33000</v>
      </c>
      <c r="R84" s="424">
        <f t="shared" si="75"/>
        <v>75000</v>
      </c>
      <c r="S84" s="424">
        <f t="shared" si="76"/>
        <v>95000</v>
      </c>
      <c r="T84" s="424">
        <f t="shared" si="77"/>
        <v>336000</v>
      </c>
      <c r="U84" s="424">
        <f t="shared" si="78"/>
        <v>34585.314239999898</v>
      </c>
      <c r="V84" s="424">
        <f t="shared" si="79"/>
        <v>594585.31423999998</v>
      </c>
      <c r="W84" s="431">
        <v>12</v>
      </c>
      <c r="X84" s="424">
        <f t="shared" si="80"/>
        <v>49548.776186666699</v>
      </c>
      <c r="Y84" s="427"/>
      <c r="Z84" s="424">
        <f t="shared" si="81"/>
        <v>49548.776186666699</v>
      </c>
      <c r="AA84" s="501">
        <v>50985.977546666698</v>
      </c>
      <c r="AB84" s="509">
        <f t="shared" si="83"/>
        <v>-1437.20136000004</v>
      </c>
      <c r="AC84" s="179" t="s">
        <v>195</v>
      </c>
      <c r="AD84" s="179"/>
      <c r="AE84" s="179"/>
    </row>
    <row r="85" spans="1:31" s="494" customFormat="1" ht="31.5" x14ac:dyDescent="0.2">
      <c r="A85" s="502">
        <v>73</v>
      </c>
      <c r="B85" s="9" t="s">
        <v>196</v>
      </c>
      <c r="C85" s="424">
        <v>389153.05674999999</v>
      </c>
      <c r="D85" s="423">
        <v>12</v>
      </c>
      <c r="E85" s="424">
        <f t="shared" si="82"/>
        <v>4669836.6809999999</v>
      </c>
      <c r="F85" s="424"/>
      <c r="G85" s="427"/>
      <c r="H85" s="427"/>
      <c r="I85" s="424">
        <f t="shared" si="68"/>
        <v>4669836.6809999999</v>
      </c>
      <c r="J85" s="424">
        <v>200000</v>
      </c>
      <c r="K85" s="424">
        <v>0.2</v>
      </c>
      <c r="L85" s="424">
        <f t="shared" si="69"/>
        <v>933967.33620000002</v>
      </c>
      <c r="M85" s="424">
        <f t="shared" si="70"/>
        <v>1133967.3362</v>
      </c>
      <c r="N85" s="424">
        <f t="shared" si="71"/>
        <v>1133967.3362</v>
      </c>
      <c r="O85" s="424">
        <f t="shared" si="72"/>
        <v>3535869.3448000001</v>
      </c>
      <c r="P85" s="424">
        <f t="shared" si="73"/>
        <v>21000</v>
      </c>
      <c r="Q85" s="424">
        <f t="shared" si="74"/>
        <v>33000</v>
      </c>
      <c r="R85" s="424">
        <f t="shared" si="75"/>
        <v>75000</v>
      </c>
      <c r="S85" s="424">
        <f t="shared" si="76"/>
        <v>95000</v>
      </c>
      <c r="T85" s="424">
        <f t="shared" si="77"/>
        <v>336000</v>
      </c>
      <c r="U85" s="424">
        <f t="shared" si="78"/>
        <v>80608.642752</v>
      </c>
      <c r="V85" s="424">
        <f t="shared" si="79"/>
        <v>640608.64275200001</v>
      </c>
      <c r="W85" s="431">
        <v>12</v>
      </c>
      <c r="X85" s="424">
        <f t="shared" si="80"/>
        <v>53384.053562666697</v>
      </c>
      <c r="Y85" s="427"/>
      <c r="Z85" s="506">
        <f t="shared" si="81"/>
        <v>53384.053562666697</v>
      </c>
      <c r="AA85" s="506">
        <v>49548.776186666699</v>
      </c>
      <c r="AB85" s="507">
        <f t="shared" si="83"/>
        <v>3835.27737599997</v>
      </c>
      <c r="AC85" s="510" t="s">
        <v>196</v>
      </c>
      <c r="AD85" s="510"/>
      <c r="AE85" s="510"/>
    </row>
    <row r="86" spans="1:31" ht="18" x14ac:dyDescent="0.15">
      <c r="A86" s="498">
        <v>74</v>
      </c>
      <c r="B86" s="9" t="s">
        <v>198</v>
      </c>
      <c r="C86" s="424">
        <v>322454.07400000002</v>
      </c>
      <c r="D86" s="423">
        <v>12</v>
      </c>
      <c r="E86" s="424">
        <f t="shared" si="82"/>
        <v>3869448.8879999998</v>
      </c>
      <c r="F86" s="424"/>
      <c r="G86" s="427"/>
      <c r="H86" s="427"/>
      <c r="I86" s="424">
        <f t="shared" si="68"/>
        <v>3869448.8879999998</v>
      </c>
      <c r="J86" s="424">
        <v>200000</v>
      </c>
      <c r="K86" s="424">
        <v>0.2</v>
      </c>
      <c r="L86" s="424">
        <f t="shared" si="69"/>
        <v>773889.77760000003</v>
      </c>
      <c r="M86" s="424">
        <f t="shared" si="70"/>
        <v>973889.77760000003</v>
      </c>
      <c r="N86" s="424">
        <f t="shared" si="71"/>
        <v>973889.77760000003</v>
      </c>
      <c r="O86" s="424">
        <f t="shared" si="72"/>
        <v>2895559.1104000001</v>
      </c>
      <c r="P86" s="424">
        <f t="shared" si="73"/>
        <v>21000</v>
      </c>
      <c r="Q86" s="424">
        <f t="shared" si="74"/>
        <v>33000</v>
      </c>
      <c r="R86" s="424">
        <f t="shared" si="75"/>
        <v>75000</v>
      </c>
      <c r="S86" s="424">
        <f t="shared" si="76"/>
        <v>95000</v>
      </c>
      <c r="T86" s="424">
        <f t="shared" si="77"/>
        <v>272067.413184</v>
      </c>
      <c r="U86" s="424"/>
      <c r="V86" s="424">
        <f t="shared" si="79"/>
        <v>496067.413184</v>
      </c>
      <c r="W86" s="431">
        <v>12</v>
      </c>
      <c r="X86" s="424">
        <f t="shared" si="80"/>
        <v>41338.951098666701</v>
      </c>
      <c r="Y86" s="427"/>
      <c r="Z86" s="424">
        <f t="shared" si="81"/>
        <v>41338.951098666701</v>
      </c>
      <c r="AA86" s="513">
        <v>53384.053562666697</v>
      </c>
      <c r="AB86" s="509">
        <f t="shared" si="83"/>
        <v>-12045.102464</v>
      </c>
      <c r="AC86" s="179" t="s">
        <v>198</v>
      </c>
      <c r="AD86" s="179"/>
      <c r="AE86" s="179"/>
    </row>
    <row r="87" spans="1:31" ht="24" customHeight="1" x14ac:dyDescent="0.15">
      <c r="A87" s="498">
        <v>75</v>
      </c>
      <c r="B87" s="9" t="s">
        <v>199</v>
      </c>
      <c r="C87" s="424">
        <v>346713.03324999998</v>
      </c>
      <c r="D87" s="423">
        <v>12</v>
      </c>
      <c r="E87" s="424">
        <f t="shared" si="82"/>
        <v>4160556.3990000002</v>
      </c>
      <c r="F87" s="424">
        <f>'[8]JANUARY 2024'!$V$92*12</f>
        <v>6922.4970000000003</v>
      </c>
      <c r="G87" s="427"/>
      <c r="H87" s="427"/>
      <c r="I87" s="424">
        <f t="shared" si="68"/>
        <v>4153633.9019999998</v>
      </c>
      <c r="J87" s="424">
        <v>200000</v>
      </c>
      <c r="K87" s="424">
        <v>0.2</v>
      </c>
      <c r="L87" s="424">
        <f t="shared" si="69"/>
        <v>830726.78040000005</v>
      </c>
      <c r="M87" s="424">
        <f t="shared" si="70"/>
        <v>1030726.7804</v>
      </c>
      <c r="N87" s="424">
        <f t="shared" si="71"/>
        <v>1037649.2774</v>
      </c>
      <c r="O87" s="424">
        <f t="shared" si="72"/>
        <v>3122907.1216000002</v>
      </c>
      <c r="P87" s="424">
        <f t="shared" si="73"/>
        <v>21000</v>
      </c>
      <c r="Q87" s="424">
        <f t="shared" si="74"/>
        <v>33000</v>
      </c>
      <c r="R87" s="424">
        <f t="shared" si="75"/>
        <v>75000</v>
      </c>
      <c r="S87" s="424">
        <f t="shared" si="76"/>
        <v>95000</v>
      </c>
      <c r="T87" s="424">
        <f t="shared" si="77"/>
        <v>319810.495536</v>
      </c>
      <c r="U87" s="424"/>
      <c r="V87" s="424">
        <f t="shared" si="79"/>
        <v>543810.495536</v>
      </c>
      <c r="W87" s="431">
        <v>12</v>
      </c>
      <c r="X87" s="424">
        <f t="shared" si="80"/>
        <v>45317.541294666698</v>
      </c>
      <c r="Y87" s="427"/>
      <c r="Z87" s="506">
        <f t="shared" si="81"/>
        <v>45317.541294666698</v>
      </c>
      <c r="AA87" s="506">
        <v>41242.0361406667</v>
      </c>
      <c r="AB87" s="507">
        <f t="shared" si="83"/>
        <v>4075.5051539999699</v>
      </c>
      <c r="AC87" s="179" t="s">
        <v>199</v>
      </c>
      <c r="AD87" s="179"/>
      <c r="AE87" s="179"/>
    </row>
    <row r="88" spans="1:31" ht="18" x14ac:dyDescent="0.15">
      <c r="A88" s="498">
        <v>76</v>
      </c>
      <c r="B88" s="9" t="s">
        <v>202</v>
      </c>
      <c r="C88" s="424">
        <v>277734.04700000002</v>
      </c>
      <c r="D88" s="423">
        <v>12</v>
      </c>
      <c r="E88" s="424">
        <f t="shared" ref="E88:E89" si="84">C88*D88</f>
        <v>3332808.5639999998</v>
      </c>
      <c r="F88" s="424"/>
      <c r="G88" s="427"/>
      <c r="H88" s="427"/>
      <c r="I88" s="424">
        <f t="shared" si="68"/>
        <v>3332808.5639999998</v>
      </c>
      <c r="J88" s="424">
        <v>200000</v>
      </c>
      <c r="K88" s="424">
        <v>0.2</v>
      </c>
      <c r="L88" s="424">
        <f t="shared" si="69"/>
        <v>666561.71279999998</v>
      </c>
      <c r="M88" s="424">
        <f t="shared" si="70"/>
        <v>866561.71279999998</v>
      </c>
      <c r="N88" s="424">
        <f t="shared" si="71"/>
        <v>866561.71279999998</v>
      </c>
      <c r="O88" s="424">
        <f t="shared" si="72"/>
        <v>2466246.8511999999</v>
      </c>
      <c r="P88" s="424">
        <f t="shared" si="73"/>
        <v>21000</v>
      </c>
      <c r="Q88" s="424">
        <f t="shared" si="74"/>
        <v>33000</v>
      </c>
      <c r="R88" s="424">
        <f t="shared" si="75"/>
        <v>75000</v>
      </c>
      <c r="S88" s="424">
        <f t="shared" si="76"/>
        <v>95000</v>
      </c>
      <c r="T88" s="424">
        <f t="shared" si="77"/>
        <v>181911.83875200001</v>
      </c>
      <c r="U88" s="424"/>
      <c r="V88" s="424">
        <f t="shared" si="79"/>
        <v>405911.83875200001</v>
      </c>
      <c r="W88" s="431">
        <v>12</v>
      </c>
      <c r="X88" s="424">
        <f t="shared" si="80"/>
        <v>33825.986562666702</v>
      </c>
      <c r="Y88" s="427"/>
      <c r="Z88" s="424">
        <f t="shared" si="81"/>
        <v>33825.986562666702</v>
      </c>
      <c r="AA88" s="501">
        <v>45414.4562526667</v>
      </c>
      <c r="AB88" s="509">
        <f t="shared" ref="AB88:AB89" si="85">Z88-AA88</f>
        <v>-11588.46969</v>
      </c>
      <c r="AC88" s="179" t="s">
        <v>202</v>
      </c>
      <c r="AD88" s="179"/>
      <c r="AE88" s="179"/>
    </row>
    <row r="89" spans="1:31" ht="18" x14ac:dyDescent="0.15">
      <c r="A89" s="498"/>
      <c r="B89" s="9" t="s">
        <v>204</v>
      </c>
      <c r="C89" s="424">
        <v>254870.26344499999</v>
      </c>
      <c r="D89" s="423">
        <v>12</v>
      </c>
      <c r="E89" s="424">
        <f t="shared" si="84"/>
        <v>3058443.1613400001</v>
      </c>
      <c r="F89" s="424"/>
      <c r="G89" s="427"/>
      <c r="H89" s="427"/>
      <c r="I89" s="424">
        <f t="shared" si="68"/>
        <v>3058443.1613400001</v>
      </c>
      <c r="J89" s="424">
        <v>200000</v>
      </c>
      <c r="K89" s="424">
        <v>0.2</v>
      </c>
      <c r="L89" s="424">
        <f t="shared" si="69"/>
        <v>611688.63226800004</v>
      </c>
      <c r="M89" s="424">
        <f t="shared" si="70"/>
        <v>811688.63226800004</v>
      </c>
      <c r="N89" s="424">
        <f t="shared" si="71"/>
        <v>811688.63226800004</v>
      </c>
      <c r="O89" s="424">
        <f t="shared" si="72"/>
        <v>2246754.5290720002</v>
      </c>
      <c r="P89" s="424">
        <f t="shared" si="73"/>
        <v>21000</v>
      </c>
      <c r="Q89" s="424">
        <f t="shared" si="74"/>
        <v>33000</v>
      </c>
      <c r="R89" s="424">
        <f t="shared" si="75"/>
        <v>75000</v>
      </c>
      <c r="S89" s="424">
        <f t="shared" si="76"/>
        <v>95000</v>
      </c>
      <c r="T89" s="424">
        <f t="shared" si="77"/>
        <v>135818.45110512001</v>
      </c>
      <c r="U89" s="424"/>
      <c r="V89" s="424">
        <f t="shared" si="79"/>
        <v>359818.45110512001</v>
      </c>
      <c r="W89" s="431">
        <v>12</v>
      </c>
      <c r="X89" s="424">
        <f t="shared" si="80"/>
        <v>29984.870925426701</v>
      </c>
      <c r="Y89" s="427"/>
      <c r="Z89" s="424">
        <f t="shared" si="81"/>
        <v>29984.870925426701</v>
      </c>
      <c r="AA89" s="501">
        <v>33825.986562666702</v>
      </c>
      <c r="AB89" s="509">
        <f t="shared" si="85"/>
        <v>-3841.1156372400301</v>
      </c>
      <c r="AC89" s="179" t="s">
        <v>204</v>
      </c>
      <c r="AD89" s="179"/>
      <c r="AE89" s="179"/>
    </row>
    <row r="90" spans="1:31" ht="18" x14ac:dyDescent="0.2">
      <c r="A90" s="498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24"/>
      <c r="AA90" s="179"/>
      <c r="AB90" s="512">
        <f>SUM(AB80:AB89)</f>
        <v>-69172.068221240304</v>
      </c>
      <c r="AC90" s="179"/>
      <c r="AD90" s="179"/>
      <c r="AE90" s="179"/>
    </row>
    <row r="91" spans="1:31" ht="18" x14ac:dyDescent="0.2">
      <c r="A91" s="498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24"/>
      <c r="AA91" s="179"/>
      <c r="AB91" s="179"/>
      <c r="AC91" s="179"/>
      <c r="AD91" s="179"/>
      <c r="AE91" s="179"/>
    </row>
    <row r="92" spans="1:31" ht="18" x14ac:dyDescent="0.15">
      <c r="A92" s="498">
        <v>78</v>
      </c>
      <c r="B92" s="18" t="s">
        <v>207</v>
      </c>
      <c r="C92" s="424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  <c r="AC92" s="179"/>
      <c r="AD92" s="179"/>
      <c r="AE92" s="179"/>
    </row>
    <row r="93" spans="1:31" s="494" customFormat="1" ht="31.5" x14ac:dyDescent="0.2">
      <c r="A93" s="502">
        <v>79</v>
      </c>
      <c r="B93" s="12" t="s">
        <v>208</v>
      </c>
      <c r="C93" s="424">
        <v>541465.02474999998</v>
      </c>
      <c r="D93" s="423">
        <v>12</v>
      </c>
      <c r="E93" s="424">
        <f>C93*D93</f>
        <v>6497580.2970000003</v>
      </c>
      <c r="F93" s="424">
        <f>'[8]JANUARY 2024'!$V$98*12</f>
        <v>12795.950999999999</v>
      </c>
      <c r="G93" s="427"/>
      <c r="H93" s="427"/>
      <c r="I93" s="424">
        <f>E93-F93-G93-H93</f>
        <v>6484784.3459999999</v>
      </c>
      <c r="J93" s="424">
        <v>200000</v>
      </c>
      <c r="K93" s="424">
        <v>0.2</v>
      </c>
      <c r="L93" s="424">
        <f>I93*K93</f>
        <v>1296956.8692000001</v>
      </c>
      <c r="M93" s="424">
        <f>J93+L93</f>
        <v>1496956.8692000001</v>
      </c>
      <c r="N93" s="424">
        <f>F93+G93+H93+M93</f>
        <v>1509752.8202</v>
      </c>
      <c r="O93" s="424">
        <f>E93-N93</f>
        <v>4987827.4768000003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429078.59443200001</v>
      </c>
      <c r="V93" s="424">
        <f>P93+Q93+R93+S93+T93+U93</f>
        <v>989078.59443199995</v>
      </c>
      <c r="W93" s="431">
        <v>12</v>
      </c>
      <c r="X93" s="424">
        <f>V93/W93</f>
        <v>82423.216202666707</v>
      </c>
      <c r="Y93" s="427"/>
      <c r="Z93" s="424">
        <f>X93</f>
        <v>82423.216202666707</v>
      </c>
      <c r="AA93" s="179">
        <v>82423.216202666707</v>
      </c>
      <c r="AB93" s="509">
        <f>Z93-AA93</f>
        <v>0</v>
      </c>
      <c r="AC93" s="510" t="s">
        <v>208</v>
      </c>
      <c r="AD93" s="510"/>
      <c r="AE93" s="510"/>
    </row>
    <row r="94" spans="1:31" ht="18" x14ac:dyDescent="0.15">
      <c r="A94" s="498">
        <v>80</v>
      </c>
      <c r="B94" s="9" t="s">
        <v>211</v>
      </c>
      <c r="C94" s="424">
        <v>335272.06374999997</v>
      </c>
      <c r="D94" s="423">
        <v>12</v>
      </c>
      <c r="E94" s="424">
        <f t="shared" ref="E94:E96" si="86">C94*D94</f>
        <v>4023264.7650000001</v>
      </c>
      <c r="F94" s="424"/>
      <c r="G94" s="427"/>
      <c r="H94" s="427"/>
      <c r="I94" s="424">
        <f>E94-F94-G94-H94</f>
        <v>4023264.7650000001</v>
      </c>
      <c r="J94" s="424">
        <v>200000</v>
      </c>
      <c r="K94" s="424">
        <v>0.2</v>
      </c>
      <c r="L94" s="424">
        <f>I94*K94</f>
        <v>804652.95299999998</v>
      </c>
      <c r="M94" s="424">
        <f>J94+L94</f>
        <v>1004652.953</v>
      </c>
      <c r="N94" s="424">
        <f>F94+G94+H94+M94</f>
        <v>1004652.953</v>
      </c>
      <c r="O94" s="424">
        <f>E94-N94</f>
        <v>3018611.8119999999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297908.48051999998</v>
      </c>
      <c r="U94" s="424"/>
      <c r="V94" s="424">
        <f>P94+Q94+R94+S94+T94+U94</f>
        <v>521908.48051999998</v>
      </c>
      <c r="W94" s="431">
        <v>12</v>
      </c>
      <c r="X94" s="424">
        <f>V94/W94</f>
        <v>43492.373376666699</v>
      </c>
      <c r="Y94" s="427"/>
      <c r="Z94" s="424">
        <f>X94</f>
        <v>43492.373376666699</v>
      </c>
      <c r="AA94" s="510">
        <v>82627.951418666693</v>
      </c>
      <c r="AB94" s="509">
        <f t="shared" ref="AB94:AB96" si="87">Z94-AA94</f>
        <v>-39135.578042000001</v>
      </c>
      <c r="AC94" s="179" t="s">
        <v>211</v>
      </c>
      <c r="AD94" s="179"/>
      <c r="AE94" s="179"/>
    </row>
    <row r="95" spans="1:31" ht="31.5" x14ac:dyDescent="0.2">
      <c r="A95" s="498">
        <v>81</v>
      </c>
      <c r="B95" s="9" t="s">
        <v>217</v>
      </c>
      <c r="C95" s="424">
        <v>284536.99849999999</v>
      </c>
      <c r="D95" s="423">
        <v>12</v>
      </c>
      <c r="E95" s="424">
        <f t="shared" si="86"/>
        <v>3414443.9819999998</v>
      </c>
      <c r="F95" s="424"/>
      <c r="G95" s="427"/>
      <c r="H95" s="427"/>
      <c r="I95" s="424">
        <f>E95-F95-G95-H95</f>
        <v>3414443.9819999998</v>
      </c>
      <c r="J95" s="424">
        <v>200000</v>
      </c>
      <c r="K95" s="424">
        <v>0.2</v>
      </c>
      <c r="L95" s="424">
        <f>I95*K95</f>
        <v>682888.79639999999</v>
      </c>
      <c r="M95" s="424">
        <f>J95+L95</f>
        <v>882888.79639999999</v>
      </c>
      <c r="N95" s="424">
        <f>F95+G95+H95+M95</f>
        <v>882888.79639999999</v>
      </c>
      <c r="O95" s="424">
        <f>E95-N95</f>
        <v>2531555.1856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195626.588976</v>
      </c>
      <c r="U95" s="424"/>
      <c r="V95" s="424">
        <f>P95+Q95+R95+S95+T95+U95</f>
        <v>419626.58897600003</v>
      </c>
      <c r="W95" s="431">
        <v>12</v>
      </c>
      <c r="X95" s="424">
        <f>V95/W95</f>
        <v>34968.882414666703</v>
      </c>
      <c r="Y95" s="427"/>
      <c r="Z95" s="424">
        <f>X95</f>
        <v>34968.882414666703</v>
      </c>
      <c r="AA95" s="179">
        <v>43492.373376666699</v>
      </c>
      <c r="AB95" s="509">
        <f t="shared" si="87"/>
        <v>-8523.4909620000308</v>
      </c>
      <c r="AC95" s="179" t="s">
        <v>217</v>
      </c>
      <c r="AD95" s="179"/>
      <c r="AE95" s="179"/>
    </row>
    <row r="96" spans="1:31" ht="18" x14ac:dyDescent="0.15">
      <c r="A96" s="498"/>
      <c r="B96" s="9" t="s">
        <v>219</v>
      </c>
      <c r="C96" s="424">
        <v>237734.04699999999</v>
      </c>
      <c r="D96" s="423">
        <v>12</v>
      </c>
      <c r="E96" s="424">
        <f t="shared" si="86"/>
        <v>2852808.5639999998</v>
      </c>
      <c r="F96" s="424"/>
      <c r="G96" s="427"/>
      <c r="H96" s="427"/>
      <c r="I96" s="424">
        <f>E96-F96-G96-H96</f>
        <v>2852808.5639999998</v>
      </c>
      <c r="J96" s="424">
        <v>200000</v>
      </c>
      <c r="K96" s="424">
        <v>0.2</v>
      </c>
      <c r="L96" s="424">
        <f>I96*K96</f>
        <v>570561.71279999998</v>
      </c>
      <c r="M96" s="424">
        <f>J96+L96</f>
        <v>770561.71279999998</v>
      </c>
      <c r="N96" s="424">
        <f>F96+G96+H96+M96</f>
        <v>770561.71279999998</v>
      </c>
      <c r="O96" s="424">
        <f>E96-N96</f>
        <v>2082246.8511999999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101271.838752</v>
      </c>
      <c r="U96" s="424"/>
      <c r="V96" s="424">
        <f>P96+Q96+R96+S96+T96+U96</f>
        <v>325271.83875200001</v>
      </c>
      <c r="W96" s="431">
        <v>12</v>
      </c>
      <c r="X96" s="424">
        <f>V96/W96</f>
        <v>27105.986562666702</v>
      </c>
      <c r="Y96" s="427"/>
      <c r="Z96" s="424">
        <f>X96</f>
        <v>27105.986562666702</v>
      </c>
      <c r="AA96" s="179">
        <v>34968.882414666703</v>
      </c>
      <c r="AB96" s="509">
        <f t="shared" si="87"/>
        <v>-7862.8958520000297</v>
      </c>
      <c r="AC96" s="179" t="s">
        <v>219</v>
      </c>
      <c r="AD96" s="179"/>
      <c r="AE96" s="179"/>
    </row>
    <row r="97" spans="1:31" ht="18" x14ac:dyDescent="0.2">
      <c r="A97" s="498"/>
      <c r="B97" s="18" t="s">
        <v>111</v>
      </c>
      <c r="C97" s="424"/>
      <c r="D97" s="423"/>
      <c r="E97" s="424"/>
      <c r="F97" s="424"/>
      <c r="G97" s="427"/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24"/>
      <c r="AA97" s="179"/>
      <c r="AB97" s="512">
        <f>SUM(AB93:AB96)</f>
        <v>-55521.964856000101</v>
      </c>
      <c r="AC97" s="179"/>
      <c r="AD97" s="179"/>
      <c r="AE97" s="179"/>
    </row>
    <row r="98" spans="1:31" ht="18" x14ac:dyDescent="0.2">
      <c r="A98" s="498">
        <v>83</v>
      </c>
      <c r="B98" s="20"/>
      <c r="C98" s="424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C98" s="179"/>
      <c r="AD98" s="179"/>
      <c r="AE98" s="179"/>
    </row>
    <row r="99" spans="1:31" ht="31.5" x14ac:dyDescent="0.2">
      <c r="A99" s="498">
        <v>84</v>
      </c>
      <c r="B99" s="18" t="s">
        <v>221</v>
      </c>
      <c r="C99" s="424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B99" t="s">
        <v>648</v>
      </c>
      <c r="AC99" s="179"/>
      <c r="AD99" s="179"/>
      <c r="AE99" s="179"/>
    </row>
    <row r="100" spans="1:31" ht="18" x14ac:dyDescent="0.15">
      <c r="A100" s="498">
        <v>85</v>
      </c>
      <c r="B100" s="9" t="s">
        <v>222</v>
      </c>
      <c r="C100" s="424">
        <v>1050209.0634999999</v>
      </c>
      <c r="D100" s="423">
        <v>12</v>
      </c>
      <c r="E100" s="424">
        <f>C100*D100</f>
        <v>12602508.762</v>
      </c>
      <c r="F100" s="424"/>
      <c r="G100" s="427"/>
      <c r="H100" s="427"/>
      <c r="I100" s="424">
        <f t="shared" ref="I100:I105" si="88">E100-F100-G100-H100</f>
        <v>12602508.762</v>
      </c>
      <c r="J100" s="424">
        <v>200000</v>
      </c>
      <c r="K100" s="424">
        <v>0.2</v>
      </c>
      <c r="L100" s="424">
        <f t="shared" ref="L100:L106" si="89">I100*K100</f>
        <v>2520501.7524000001</v>
      </c>
      <c r="M100" s="424">
        <f t="shared" ref="M100:M106" si="90">J100+L100</f>
        <v>2720501.7524000001</v>
      </c>
      <c r="N100" s="424">
        <f t="shared" ref="N100:N105" si="91">F100+G100+H100+M100</f>
        <v>2720501.7524000001</v>
      </c>
      <c r="O100" s="424">
        <f t="shared" ref="O100:O106" si="92">E100-N100</f>
        <v>9882007.0096000005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1603681.682304</v>
      </c>
      <c r="V100" s="424">
        <f t="shared" ref="V100:V106" si="98">P100+Q100+R100+S100+T100+U100</f>
        <v>2163681.682304</v>
      </c>
      <c r="W100" s="431">
        <v>12</v>
      </c>
      <c r="X100" s="424">
        <f t="shared" ref="X100:X106" si="99">V100/W100</f>
        <v>180306.806858667</v>
      </c>
      <c r="Y100" s="427"/>
      <c r="Z100" s="424">
        <f t="shared" ref="Z100:Z106" si="100">X100</f>
        <v>180306.806858667</v>
      </c>
      <c r="AA100" s="179">
        <v>180306.806858667</v>
      </c>
      <c r="AB100" s="509">
        <f>Z100-AA100</f>
        <v>-3.7834979593753799E-10</v>
      </c>
      <c r="AC100" s="179" t="s">
        <v>222</v>
      </c>
      <c r="AD100" s="179"/>
      <c r="AE100" s="179"/>
    </row>
    <row r="101" spans="1:31" ht="18" x14ac:dyDescent="0.15">
      <c r="A101" s="498">
        <v>86</v>
      </c>
      <c r="B101" s="9" t="s">
        <v>224</v>
      </c>
      <c r="C101" s="424">
        <v>631465.02474999998</v>
      </c>
      <c r="D101" s="423">
        <v>12</v>
      </c>
      <c r="E101" s="424">
        <f t="shared" ref="E101:E106" si="101">C101*D101</f>
        <v>7577580.2970000003</v>
      </c>
      <c r="F101" s="424">
        <f>'[8]JANUARY 2024'!$V$106*12</f>
        <v>12795.950999999999</v>
      </c>
      <c r="G101" s="427"/>
      <c r="H101" s="427"/>
      <c r="I101" s="424">
        <f t="shared" si="88"/>
        <v>7564784.3459999999</v>
      </c>
      <c r="J101" s="424">
        <v>200000</v>
      </c>
      <c r="K101" s="424">
        <v>0.2</v>
      </c>
      <c r="L101" s="424">
        <f t="shared" si="89"/>
        <v>1512956.8692000001</v>
      </c>
      <c r="M101" s="424">
        <f t="shared" si="90"/>
        <v>1712956.8692000001</v>
      </c>
      <c r="N101" s="424">
        <f t="shared" si="91"/>
        <v>1725752.8202</v>
      </c>
      <c r="O101" s="424">
        <f t="shared" si="92"/>
        <v>5851827.4768000003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636438.59443199995</v>
      </c>
      <c r="V101" s="424">
        <f t="shared" si="98"/>
        <v>1196438.5944320001</v>
      </c>
      <c r="W101" s="431">
        <v>12</v>
      </c>
      <c r="X101" s="424">
        <f t="shared" si="99"/>
        <v>99703.216202666707</v>
      </c>
      <c r="Y101" s="427"/>
      <c r="Z101" s="424">
        <f t="shared" si="100"/>
        <v>99703.216202666707</v>
      </c>
      <c r="AA101" s="179">
        <v>99703.216202666707</v>
      </c>
      <c r="AB101" s="509">
        <f t="shared" ref="AB101:AB106" si="102">Z101-AA101</f>
        <v>0</v>
      </c>
      <c r="AC101" s="179" t="s">
        <v>224</v>
      </c>
      <c r="AD101" s="179"/>
      <c r="AE101" s="179"/>
    </row>
    <row r="102" spans="1:31" ht="18" x14ac:dyDescent="0.15">
      <c r="A102" s="498">
        <v>87</v>
      </c>
      <c r="B102" s="9" t="s">
        <v>226</v>
      </c>
      <c r="C102" s="424">
        <v>418096.01602500002</v>
      </c>
      <c r="D102" s="423">
        <v>12</v>
      </c>
      <c r="E102" s="424">
        <f t="shared" si="101"/>
        <v>5017152.1923000002</v>
      </c>
      <c r="F102" s="424">
        <f>'[8]JANUARY 2024'!$V$107*12</f>
        <v>7901.79</v>
      </c>
      <c r="G102" s="427"/>
      <c r="H102" s="427"/>
      <c r="I102" s="424">
        <f t="shared" si="88"/>
        <v>5009250.4023000002</v>
      </c>
      <c r="J102" s="424">
        <v>200000</v>
      </c>
      <c r="K102" s="424">
        <v>0.2</v>
      </c>
      <c r="L102" s="424">
        <f t="shared" si="89"/>
        <v>1001850.08046</v>
      </c>
      <c r="M102" s="424">
        <f t="shared" si="90"/>
        <v>1201850.0804600001</v>
      </c>
      <c r="N102" s="424">
        <f t="shared" si="91"/>
        <v>1209751.8704599999</v>
      </c>
      <c r="O102" s="424">
        <f t="shared" si="92"/>
        <v>3807400.3218399999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145776.0772416</v>
      </c>
      <c r="V102" s="424">
        <f t="shared" si="98"/>
        <v>705776.07724160003</v>
      </c>
      <c r="W102" s="431">
        <v>12</v>
      </c>
      <c r="X102" s="424">
        <f t="shared" si="99"/>
        <v>58814.673103466703</v>
      </c>
      <c r="Y102" s="427"/>
      <c r="Z102" s="424">
        <f t="shared" si="100"/>
        <v>58814.673103466703</v>
      </c>
      <c r="AA102" s="179">
        <v>180180.378218667</v>
      </c>
      <c r="AB102" s="509">
        <f t="shared" si="102"/>
        <v>-121365.70511520001</v>
      </c>
      <c r="AC102" s="179" t="s">
        <v>226</v>
      </c>
      <c r="AD102" s="179"/>
      <c r="AE102" s="179"/>
    </row>
    <row r="103" spans="1:31" ht="18" x14ac:dyDescent="0.15">
      <c r="A103" s="498">
        <v>88</v>
      </c>
      <c r="B103" s="9" t="s">
        <v>228</v>
      </c>
      <c r="C103" s="424">
        <v>416483.19415499998</v>
      </c>
      <c r="D103" s="423">
        <v>12</v>
      </c>
      <c r="E103" s="424">
        <f t="shared" si="101"/>
        <v>4997798.3298599999</v>
      </c>
      <c r="F103" s="424"/>
      <c r="G103" s="427"/>
      <c r="H103" s="427"/>
      <c r="I103" s="424">
        <f t="shared" si="88"/>
        <v>4997798.3298599999</v>
      </c>
      <c r="J103" s="424">
        <v>200000</v>
      </c>
      <c r="K103" s="424">
        <v>0.2</v>
      </c>
      <c r="L103" s="424">
        <f t="shared" si="89"/>
        <v>999559.66597199999</v>
      </c>
      <c r="M103" s="424">
        <f t="shared" si="90"/>
        <v>1199559.665972</v>
      </c>
      <c r="N103" s="424">
        <f t="shared" si="91"/>
        <v>1199559.665972</v>
      </c>
      <c r="O103" s="424">
        <f t="shared" si="92"/>
        <v>3798238.663888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143577.27933312001</v>
      </c>
      <c r="V103" s="424">
        <f t="shared" si="98"/>
        <v>703577.27933311998</v>
      </c>
      <c r="W103" s="431">
        <v>12</v>
      </c>
      <c r="X103" s="424">
        <f t="shared" si="99"/>
        <v>58631.439944426696</v>
      </c>
      <c r="Y103" s="427"/>
      <c r="Z103" s="424">
        <f t="shared" si="100"/>
        <v>58631.439944426696</v>
      </c>
      <c r="AA103" s="179">
        <v>99907.951418666693</v>
      </c>
      <c r="AB103" s="509">
        <f t="shared" si="102"/>
        <v>-41276.511474239996</v>
      </c>
      <c r="AC103" s="179" t="s">
        <v>228</v>
      </c>
      <c r="AD103" s="179"/>
      <c r="AE103" s="179"/>
    </row>
    <row r="104" spans="1:31" ht="18" x14ac:dyDescent="0.15">
      <c r="A104" s="498">
        <v>89</v>
      </c>
      <c r="B104" s="9" t="s">
        <v>230</v>
      </c>
      <c r="C104" s="424">
        <v>266099.21747999999</v>
      </c>
      <c r="D104" s="423">
        <v>12</v>
      </c>
      <c r="E104" s="424">
        <f t="shared" si="101"/>
        <v>3193190.6097599999</v>
      </c>
      <c r="F104" s="424"/>
      <c r="G104" s="427"/>
      <c r="H104" s="427"/>
      <c r="I104" s="424">
        <f t="shared" si="88"/>
        <v>3193190.6097599999</v>
      </c>
      <c r="J104" s="424">
        <v>200000</v>
      </c>
      <c r="K104" s="424">
        <v>0.2</v>
      </c>
      <c r="L104" s="424">
        <f t="shared" si="89"/>
        <v>638638.12195199996</v>
      </c>
      <c r="M104" s="424">
        <f t="shared" si="90"/>
        <v>838638.12195199996</v>
      </c>
      <c r="N104" s="424">
        <f t="shared" si="91"/>
        <v>838638.12195199996</v>
      </c>
      <c r="O104" s="424">
        <f t="shared" si="92"/>
        <v>2354552.4878079998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158456.02243968</v>
      </c>
      <c r="U104" s="424"/>
      <c r="V104" s="424">
        <f t="shared" si="98"/>
        <v>382456.02243968</v>
      </c>
      <c r="W104" s="431">
        <v>12</v>
      </c>
      <c r="X104" s="424">
        <f t="shared" si="99"/>
        <v>31871.335203306699</v>
      </c>
      <c r="Y104" s="427"/>
      <c r="Z104" s="424">
        <f t="shared" si="100"/>
        <v>31871.335203306699</v>
      </c>
      <c r="AA104" s="179">
        <v>58941.101743466701</v>
      </c>
      <c r="AB104" s="509">
        <f t="shared" si="102"/>
        <v>-27069.766540159999</v>
      </c>
      <c r="AC104" s="179" t="s">
        <v>230</v>
      </c>
      <c r="AD104" s="179"/>
      <c r="AE104" s="179"/>
    </row>
    <row r="105" spans="1:31" ht="31.5" x14ac:dyDescent="0.2">
      <c r="A105" s="498"/>
      <c r="B105" s="16" t="s">
        <v>233</v>
      </c>
      <c r="C105" s="424">
        <v>262229.04100000003</v>
      </c>
      <c r="D105" s="423">
        <v>12</v>
      </c>
      <c r="E105" s="424">
        <f t="shared" si="101"/>
        <v>3146748.4920000001</v>
      </c>
      <c r="F105" s="424"/>
      <c r="G105" s="427"/>
      <c r="H105" s="427"/>
      <c r="I105" s="424">
        <f t="shared" si="88"/>
        <v>3146748.4920000001</v>
      </c>
      <c r="J105" s="424">
        <v>200000</v>
      </c>
      <c r="K105" s="424">
        <v>0.2</v>
      </c>
      <c r="L105" s="424">
        <f t="shared" si="89"/>
        <v>629349.69839999999</v>
      </c>
      <c r="M105" s="424">
        <f t="shared" si="90"/>
        <v>829349.69839999999</v>
      </c>
      <c r="N105" s="424">
        <f t="shared" si="91"/>
        <v>829349.69839999999</v>
      </c>
      <c r="O105" s="424">
        <f t="shared" si="92"/>
        <v>2317398.7936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150653.746656</v>
      </c>
      <c r="U105" s="424"/>
      <c r="V105" s="424">
        <f t="shared" si="98"/>
        <v>374653.74665599997</v>
      </c>
      <c r="W105" s="431">
        <v>12</v>
      </c>
      <c r="X105" s="424">
        <f t="shared" si="99"/>
        <v>31221.145554666698</v>
      </c>
      <c r="Y105" s="427"/>
      <c r="Z105" s="424">
        <f t="shared" si="100"/>
        <v>31221.145554666698</v>
      </c>
      <c r="AA105" s="179">
        <v>58631.439944426696</v>
      </c>
      <c r="AB105" s="509">
        <f t="shared" si="102"/>
        <v>-27410.294389760002</v>
      </c>
      <c r="AC105" s="179" t="s">
        <v>233</v>
      </c>
      <c r="AD105" s="179"/>
      <c r="AE105" s="179"/>
    </row>
    <row r="106" spans="1:31" ht="18" x14ac:dyDescent="0.15">
      <c r="A106" s="498"/>
      <c r="B106" s="16" t="s">
        <v>234</v>
      </c>
      <c r="C106" s="424">
        <v>254870.26344499999</v>
      </c>
      <c r="D106" s="423">
        <v>12</v>
      </c>
      <c r="E106" s="424">
        <f t="shared" si="101"/>
        <v>3058443.1613400001</v>
      </c>
      <c r="F106" s="259"/>
      <c r="G106" s="427"/>
      <c r="H106" s="427"/>
      <c r="I106" s="424">
        <f>E106-F107-G106-H106</f>
        <v>3058443.1613400001</v>
      </c>
      <c r="J106" s="424">
        <v>200000</v>
      </c>
      <c r="K106" s="424">
        <v>0.2</v>
      </c>
      <c r="L106" s="424">
        <f t="shared" si="89"/>
        <v>611688.63226800004</v>
      </c>
      <c r="M106" s="424">
        <f t="shared" si="90"/>
        <v>811688.63226800004</v>
      </c>
      <c r="N106" s="424">
        <f>F107+G106+H106+M106</f>
        <v>811688.63226800004</v>
      </c>
      <c r="O106" s="424">
        <f t="shared" si="92"/>
        <v>2246754.5290720002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135818.45110512001</v>
      </c>
      <c r="U106" s="424"/>
      <c r="V106" s="424">
        <f t="shared" si="98"/>
        <v>359818.45110512001</v>
      </c>
      <c r="W106" s="431">
        <v>12</v>
      </c>
      <c r="X106" s="424">
        <f t="shared" si="99"/>
        <v>29984.870925426701</v>
      </c>
      <c r="Y106" s="427"/>
      <c r="Z106" s="424">
        <f t="shared" si="100"/>
        <v>29984.870925426701</v>
      </c>
      <c r="AA106" s="179">
        <v>31871.335203306699</v>
      </c>
      <c r="AB106" s="509">
        <f t="shared" si="102"/>
        <v>-1886.4642778800301</v>
      </c>
      <c r="AC106" s="179" t="s">
        <v>234</v>
      </c>
      <c r="AD106" s="179"/>
      <c r="AE106" s="179"/>
    </row>
    <row r="107" spans="1:31" ht="18" x14ac:dyDescent="0.2">
      <c r="A107" s="498"/>
      <c r="B107" s="18" t="s">
        <v>111</v>
      </c>
      <c r="C107" s="424"/>
      <c r="D107" s="423"/>
      <c r="E107" s="424"/>
      <c r="F107" s="424"/>
      <c r="G107" s="427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24"/>
      <c r="AA107" s="179"/>
      <c r="AB107" s="512">
        <f>SUM(AB100:AB106)</f>
        <v>-219008.741797241</v>
      </c>
      <c r="AC107" s="179"/>
      <c r="AD107" s="179"/>
      <c r="AE107" s="179"/>
    </row>
    <row r="108" spans="1:31" ht="18" x14ac:dyDescent="0.2">
      <c r="A108" s="498">
        <v>90</v>
      </c>
      <c r="B108" s="18"/>
      <c r="C108" s="424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424"/>
      <c r="V108" s="259"/>
      <c r="W108" s="259"/>
      <c r="X108" s="259"/>
      <c r="Y108" s="259"/>
      <c r="Z108" s="259"/>
      <c r="AC108" s="179"/>
      <c r="AD108" s="179"/>
      <c r="AE108" s="179"/>
    </row>
    <row r="109" spans="1:31" ht="31.5" x14ac:dyDescent="0.2">
      <c r="A109" s="498">
        <v>91</v>
      </c>
      <c r="B109" s="18" t="s">
        <v>235</v>
      </c>
      <c r="C109" s="424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424"/>
      <c r="V109" s="259"/>
      <c r="W109" s="259"/>
      <c r="X109" s="259"/>
      <c r="Y109" s="259"/>
      <c r="Z109" s="259"/>
      <c r="AC109" s="179"/>
      <c r="AD109" s="179"/>
      <c r="AE109" s="179"/>
    </row>
    <row r="110" spans="1:31" ht="31.5" x14ac:dyDescent="0.2">
      <c r="A110" s="498">
        <v>92</v>
      </c>
      <c r="B110" s="12" t="s">
        <v>152</v>
      </c>
      <c r="C110" s="424">
        <v>516137.05</v>
      </c>
      <c r="D110" s="423">
        <v>12</v>
      </c>
      <c r="E110" s="424">
        <f>C110*D110</f>
        <v>6193644.5999999996</v>
      </c>
      <c r="F110" s="424">
        <f>'[8]JANUARY 2024'!$V$115*12</f>
        <v>9678.9599999999991</v>
      </c>
      <c r="G110" s="427"/>
      <c r="H110" s="427"/>
      <c r="I110" s="424">
        <f>E110-F110-G110-H110</f>
        <v>6183965.6399999997</v>
      </c>
      <c r="J110" s="424">
        <v>200000</v>
      </c>
      <c r="K110" s="424">
        <v>0.2</v>
      </c>
      <c r="L110" s="424">
        <f>I110*K110</f>
        <v>1236793.128</v>
      </c>
      <c r="M110" s="424">
        <f>J110+L110</f>
        <v>1436793.128</v>
      </c>
      <c r="N110" s="424">
        <f>F110+G110+H110+M110</f>
        <v>1446472.088</v>
      </c>
      <c r="O110" s="424">
        <f>E110-N110</f>
        <v>4747172.5120000001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31" si="103">0.24*(O110-3200000)</f>
        <v>371321.40288000001</v>
      </c>
      <c r="V110" s="424">
        <f>P110+Q110+R110+S110+T110+U110</f>
        <v>931321.40287999995</v>
      </c>
      <c r="W110" s="431">
        <v>12</v>
      </c>
      <c r="X110" s="424">
        <f>V110/W110</f>
        <v>77610.116906666706</v>
      </c>
      <c r="Y110" s="427"/>
      <c r="Z110" s="424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" x14ac:dyDescent="0.15">
      <c r="A111" s="498">
        <v>93</v>
      </c>
      <c r="B111" s="9" t="s">
        <v>236</v>
      </c>
      <c r="C111" s="424">
        <v>334536.99849999999</v>
      </c>
      <c r="D111" s="423">
        <v>12</v>
      </c>
      <c r="E111" s="424">
        <f t="shared" ref="E111:E112" si="104">C111*D111</f>
        <v>4014443.9819999998</v>
      </c>
      <c r="F111" s="424"/>
      <c r="G111" s="427"/>
      <c r="H111" s="427"/>
      <c r="I111" s="424">
        <f>E111-F111-G111-H111</f>
        <v>4014443.9819999998</v>
      </c>
      <c r="J111" s="424">
        <v>200000</v>
      </c>
      <c r="K111" s="424">
        <v>0.2</v>
      </c>
      <c r="L111" s="424">
        <f>I111*K111</f>
        <v>802888.79639999999</v>
      </c>
      <c r="M111" s="424">
        <f>J111+L111</f>
        <v>1002888.7964</v>
      </c>
      <c r="N111" s="424">
        <f>F111+G111+H111+M111</f>
        <v>1002888.7964</v>
      </c>
      <c r="O111" s="424">
        <f>E111-N111</f>
        <v>3011555.1856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296426.58897600003</v>
      </c>
      <c r="U111" s="424"/>
      <c r="V111" s="424">
        <f>P111+Q111+R111+S111+T111+U111</f>
        <v>520426.58897600003</v>
      </c>
      <c r="W111" s="431">
        <v>12</v>
      </c>
      <c r="X111" s="424">
        <f>V111/W111</f>
        <v>43368.882414666703</v>
      </c>
      <c r="Y111" s="427"/>
      <c r="Z111" s="424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18" x14ac:dyDescent="0.15">
      <c r="A112" s="498">
        <v>94</v>
      </c>
      <c r="B112" s="9" t="s">
        <v>177</v>
      </c>
      <c r="C112" s="430">
        <v>286619.99875000003</v>
      </c>
      <c r="D112" s="423">
        <v>12</v>
      </c>
      <c r="E112" s="424">
        <f t="shared" si="104"/>
        <v>3439439.9849999999</v>
      </c>
      <c r="F112" s="424">
        <f>'[8]JANUARY 2024'!$V$117*12</f>
        <v>6919.4549999999999</v>
      </c>
      <c r="G112" s="427"/>
      <c r="H112" s="427"/>
      <c r="I112" s="424">
        <f>E112-F112-G112-H112</f>
        <v>3432520.53</v>
      </c>
      <c r="J112" s="424">
        <v>200000</v>
      </c>
      <c r="K112" s="424">
        <v>0.2</v>
      </c>
      <c r="L112" s="424">
        <f>I112*K112</f>
        <v>686504.10600000003</v>
      </c>
      <c r="M112" s="424">
        <f>J112+L112</f>
        <v>886504.10600000003</v>
      </c>
      <c r="N112" s="424">
        <f>F112+G112+H112+M112</f>
        <v>893423.56099999999</v>
      </c>
      <c r="O112" s="424">
        <f>E112-N112</f>
        <v>2546016.4240000001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198663.44904000001</v>
      </c>
      <c r="U112" s="424"/>
      <c r="V112" s="424">
        <f>P112+Q112+R112+S112+T112+U112</f>
        <v>422663.44903999998</v>
      </c>
      <c r="W112" s="431">
        <v>12</v>
      </c>
      <c r="X112" s="424">
        <f>V112/W112</f>
        <v>35221.954086666701</v>
      </c>
      <c r="Y112" s="427"/>
      <c r="Z112" s="424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4" customFormat="1" ht="18" x14ac:dyDescent="0.2">
      <c r="A113" s="502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24"/>
      <c r="AA113" s="436"/>
      <c r="AB113" s="179"/>
      <c r="AC113" s="510"/>
      <c r="AD113" s="510"/>
      <c r="AE113" s="510"/>
    </row>
    <row r="114" spans="1:31" s="494" customFormat="1" ht="18" x14ac:dyDescent="0.2">
      <c r="A114" s="502">
        <v>96</v>
      </c>
      <c r="B114" s="20"/>
      <c r="C114" s="424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424"/>
      <c r="V114" s="259"/>
      <c r="W114" s="259"/>
      <c r="X114" s="259"/>
      <c r="Y114" s="259"/>
      <c r="Z114" s="259"/>
      <c r="AA114" s="259"/>
      <c r="AC114" s="510"/>
      <c r="AD114" s="510"/>
      <c r="AE114" s="510"/>
    </row>
    <row r="115" spans="1:31" ht="18" x14ac:dyDescent="0.15">
      <c r="A115" s="498">
        <v>97</v>
      </c>
      <c r="B115" s="18" t="s">
        <v>250</v>
      </c>
      <c r="C115" s="424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424"/>
      <c r="V115" s="259"/>
      <c r="W115" s="259"/>
      <c r="X115" s="259"/>
      <c r="Y115" s="259"/>
      <c r="Z115" s="259"/>
      <c r="AA115" s="259"/>
      <c r="AC115" s="179"/>
      <c r="AD115" s="179"/>
      <c r="AE115" s="179"/>
    </row>
    <row r="116" spans="1:31" ht="18" x14ac:dyDescent="0.15">
      <c r="A116" s="498">
        <v>98</v>
      </c>
      <c r="B116" s="9" t="s">
        <v>251</v>
      </c>
      <c r="C116" s="424">
        <v>1050209.0634999999</v>
      </c>
      <c r="D116" s="423">
        <v>12</v>
      </c>
      <c r="E116" s="424">
        <f>C116*D116</f>
        <v>12602508.762</v>
      </c>
      <c r="F116" s="424">
        <f>2043.5005*12</f>
        <v>24522.006000000001</v>
      </c>
      <c r="G116" s="427"/>
      <c r="H116" s="427"/>
      <c r="I116" s="424">
        <f>E116-F116-G116-H116</f>
        <v>12577986.755999999</v>
      </c>
      <c r="J116" s="424">
        <v>200000</v>
      </c>
      <c r="K116" s="424">
        <v>0.2</v>
      </c>
      <c r="L116" s="424">
        <f>I116*K116</f>
        <v>2515597.3511999999</v>
      </c>
      <c r="M116" s="424">
        <f>J116+L116</f>
        <v>2715597.3511999999</v>
      </c>
      <c r="N116" s="424">
        <f>F116+G116+H116+M116</f>
        <v>2740119.3572</v>
      </c>
      <c r="O116" s="424">
        <f>E116-N116</f>
        <v>9862389.4047999997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1598973.4571519999</v>
      </c>
      <c r="V116" s="424">
        <f>P116+Q116+R116+S116+T116+U116</f>
        <v>2158973.4571520002</v>
      </c>
      <c r="W116" s="431">
        <v>12</v>
      </c>
      <c r="X116" s="424">
        <f>V116/W116</f>
        <v>179914.45476266701</v>
      </c>
      <c r="Y116" s="427"/>
      <c r="Z116" s="424">
        <f>X116</f>
        <v>179914.45476266701</v>
      </c>
      <c r="AA116" s="436">
        <v>179914.45476266701</v>
      </c>
      <c r="AB116" s="510">
        <f>Z116-AA116</f>
        <v>-3.7834979593753799E-10</v>
      </c>
      <c r="AC116" s="179"/>
      <c r="AD116" s="179"/>
      <c r="AE116" s="179"/>
    </row>
    <row r="117" spans="1:31" ht="18" x14ac:dyDescent="0.15">
      <c r="A117" s="498">
        <v>99</v>
      </c>
      <c r="B117" s="9" t="s">
        <v>253</v>
      </c>
      <c r="C117" s="424">
        <v>627743.99575</v>
      </c>
      <c r="D117" s="423">
        <v>12</v>
      </c>
      <c r="E117" s="424">
        <f t="shared" ref="E117:E125" si="106">C117*D117</f>
        <v>7532927.949</v>
      </c>
      <c r="F117" s="424">
        <f>1028.94225*12</f>
        <v>12347.307000000001</v>
      </c>
      <c r="G117" s="427"/>
      <c r="H117" s="427"/>
      <c r="I117" s="424">
        <f>E117-F117-G117-H117</f>
        <v>7520580.642</v>
      </c>
      <c r="J117" s="424">
        <v>200000</v>
      </c>
      <c r="K117" s="424">
        <v>0.2</v>
      </c>
      <c r="L117" s="424">
        <f>I117*K117</f>
        <v>1504116.1284</v>
      </c>
      <c r="M117" s="424">
        <f>J117+L117</f>
        <v>1704116.1284</v>
      </c>
      <c r="N117" s="424">
        <f>F117+G117+H117+M117</f>
        <v>1716463.4354000001</v>
      </c>
      <c r="O117" s="424">
        <f>E117-N117</f>
        <v>5816464.5136000002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627951.48326400004</v>
      </c>
      <c r="V117" s="424">
        <f>P117+Q117+R117+S117+T117+U117</f>
        <v>1187951.4832639999</v>
      </c>
      <c r="W117" s="431">
        <v>12</v>
      </c>
      <c r="X117" s="424">
        <f>V117/W117</f>
        <v>98995.956938666699</v>
      </c>
      <c r="Y117" s="427"/>
      <c r="Z117" s="424">
        <f>X117</f>
        <v>98995.956938666699</v>
      </c>
      <c r="AA117" s="436">
        <v>98995.956938666699</v>
      </c>
      <c r="AB117" s="510">
        <f t="shared" ref="AB117:AB125" si="107">Z117-AA117</f>
        <v>0</v>
      </c>
      <c r="AC117" s="179"/>
      <c r="AD117" s="179"/>
      <c r="AE117" s="179"/>
    </row>
    <row r="118" spans="1:31" ht="18" x14ac:dyDescent="0.15">
      <c r="A118" s="498"/>
      <c r="B118" s="12" t="s">
        <v>255</v>
      </c>
      <c r="C118" s="424">
        <v>577553.50249999994</v>
      </c>
      <c r="D118" s="423">
        <v>12</v>
      </c>
      <c r="E118" s="424">
        <f t="shared" si="106"/>
        <v>6930642.0300000003</v>
      </c>
      <c r="F118" s="424">
        <f>837.6875*12</f>
        <v>10052.25</v>
      </c>
      <c r="G118" s="427"/>
      <c r="H118" s="427"/>
      <c r="I118" s="424">
        <f>E118-F118-G118-H118</f>
        <v>6920589.7800000003</v>
      </c>
      <c r="J118" s="424">
        <v>200000</v>
      </c>
      <c r="K118" s="424">
        <v>0.2</v>
      </c>
      <c r="L118" s="424">
        <f>I118*K118</f>
        <v>1384117.956</v>
      </c>
      <c r="M118" s="424">
        <f>J118+L118</f>
        <v>1584117.956</v>
      </c>
      <c r="N118" s="424">
        <f>F118+G118+H118+M118</f>
        <v>1594170.206</v>
      </c>
      <c r="O118" s="424">
        <f>E118-N118</f>
        <v>5336471.824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512753.23775999999</v>
      </c>
      <c r="V118" s="424">
        <f>P118+Q118+R118+S118+T118+U118</f>
        <v>1072753.2377599999</v>
      </c>
      <c r="W118" s="431">
        <v>12</v>
      </c>
      <c r="X118" s="424">
        <f>V118/W118</f>
        <v>89396.103146666603</v>
      </c>
      <c r="Y118" s="427"/>
      <c r="Z118" s="424">
        <f>X118</f>
        <v>89396.103146666603</v>
      </c>
      <c r="AA118" s="436">
        <v>89396.103146666603</v>
      </c>
      <c r="AB118" s="510">
        <f t="shared" si="107"/>
        <v>0</v>
      </c>
      <c r="AC118" s="179"/>
      <c r="AD118" s="179"/>
      <c r="AE118" s="179"/>
    </row>
    <row r="119" spans="1:31" ht="18" x14ac:dyDescent="0.15">
      <c r="A119" s="498"/>
      <c r="B119" s="12" t="s">
        <v>556</v>
      </c>
      <c r="C119" s="424">
        <v>424729.22200000001</v>
      </c>
      <c r="D119" s="423">
        <v>12</v>
      </c>
      <c r="E119" s="424">
        <f t="shared" si="106"/>
        <v>5096750.6639999999</v>
      </c>
      <c r="F119" s="424"/>
      <c r="G119" s="427"/>
      <c r="H119" s="427"/>
      <c r="I119" s="424">
        <f>E119-F119-G119-H119</f>
        <v>5096750.6639999999</v>
      </c>
      <c r="J119" s="424">
        <v>200000</v>
      </c>
      <c r="K119" s="424">
        <v>0.2</v>
      </c>
      <c r="L119" s="424">
        <f>I119*K119</f>
        <v>1019350.1328</v>
      </c>
      <c r="M119" s="424">
        <f>J119+L119</f>
        <v>1219350.1328</v>
      </c>
      <c r="N119" s="424">
        <f>F119+G119+H119+M119</f>
        <v>1219350.1328</v>
      </c>
      <c r="O119" s="424">
        <f>E119-N119</f>
        <v>3877400.5312000001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162576.127488</v>
      </c>
      <c r="V119" s="424">
        <f>P119+Q119+R119+S119+T119+U119</f>
        <v>722576.12748799997</v>
      </c>
      <c r="W119" s="431">
        <v>12</v>
      </c>
      <c r="X119" s="424">
        <f>V119/W119</f>
        <v>60214.677290666703</v>
      </c>
      <c r="Y119" s="427"/>
      <c r="Z119" s="424">
        <f>X119</f>
        <v>60214.677290666703</v>
      </c>
      <c r="AA119" s="436">
        <v>60214.677290666703</v>
      </c>
      <c r="AB119" s="510">
        <f t="shared" si="107"/>
        <v>0</v>
      </c>
      <c r="AC119" s="179"/>
      <c r="AD119" s="179"/>
      <c r="AE119" s="179"/>
    </row>
    <row r="120" spans="1:31" ht="18" x14ac:dyDescent="0.15">
      <c r="A120" s="498">
        <v>101</v>
      </c>
      <c r="B120" s="9" t="s">
        <v>257</v>
      </c>
      <c r="C120" s="424">
        <v>343333.03525000002</v>
      </c>
      <c r="D120" s="423">
        <v>12</v>
      </c>
      <c r="E120" s="424">
        <f t="shared" si="106"/>
        <v>4119996.423</v>
      </c>
      <c r="F120" s="424"/>
      <c r="G120" s="427"/>
      <c r="H120" s="427"/>
      <c r="I120" s="424">
        <f t="shared" ref="I120:I125" si="108">E120-F120-G120-H120</f>
        <v>4119996.423</v>
      </c>
      <c r="J120" s="424">
        <v>200000</v>
      </c>
      <c r="K120" s="424">
        <v>0.2</v>
      </c>
      <c r="L120" s="424">
        <f t="shared" ref="L120:L125" si="109">I120*K120</f>
        <v>823999.28460000001</v>
      </c>
      <c r="M120" s="424">
        <f t="shared" ref="M120:M125" si="110">J120+L120</f>
        <v>1023999.2846</v>
      </c>
      <c r="N120" s="424">
        <f t="shared" ref="N120:N125" si="111">F120+G120+H120+M120</f>
        <v>1023999.2846</v>
      </c>
      <c r="O120" s="424">
        <f t="shared" ref="O120:O125" si="112">E120-N120</f>
        <v>3095997.1384000001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314159.399064</v>
      </c>
      <c r="U120" s="424"/>
      <c r="V120" s="424">
        <f t="shared" ref="V120:V125" si="118">P120+Q120+R120+S120+T120+U120</f>
        <v>538159.399064</v>
      </c>
      <c r="W120" s="431">
        <v>12</v>
      </c>
      <c r="X120" s="424">
        <f t="shared" ref="X120:X125" si="119">V120/W120</f>
        <v>44846.6165886667</v>
      </c>
      <c r="Y120" s="427"/>
      <c r="Z120" s="424">
        <f t="shared" ref="Z120:Z125" si="120">X120</f>
        <v>44846.6165886667</v>
      </c>
      <c r="AA120" s="436">
        <v>44846.6165886667</v>
      </c>
      <c r="AB120" s="510">
        <f t="shared" si="107"/>
        <v>0</v>
      </c>
      <c r="AC120" s="179"/>
      <c r="AD120" s="179"/>
      <c r="AE120" s="179"/>
    </row>
    <row r="121" spans="1:31" ht="18" x14ac:dyDescent="0.15">
      <c r="A121" s="498">
        <v>103</v>
      </c>
      <c r="B121" s="9" t="s">
        <v>259</v>
      </c>
      <c r="C121" s="424">
        <v>327211.36749999999</v>
      </c>
      <c r="D121" s="423">
        <v>12</v>
      </c>
      <c r="E121" s="424">
        <f t="shared" si="106"/>
        <v>3926536.41</v>
      </c>
      <c r="F121" s="430">
        <f>646.3525*12</f>
        <v>7756.23</v>
      </c>
      <c r="G121" s="427"/>
      <c r="H121" s="427"/>
      <c r="I121" s="424">
        <f t="shared" si="108"/>
        <v>3918780.18</v>
      </c>
      <c r="J121" s="424">
        <v>200000</v>
      </c>
      <c r="K121" s="424">
        <v>0.2</v>
      </c>
      <c r="L121" s="424">
        <f t="shared" si="109"/>
        <v>783756.03599999996</v>
      </c>
      <c r="M121" s="424">
        <f t="shared" si="110"/>
        <v>983756.03599999996</v>
      </c>
      <c r="N121" s="424">
        <f t="shared" si="111"/>
        <v>991512.26599999995</v>
      </c>
      <c r="O121" s="424">
        <f t="shared" si="112"/>
        <v>2935024.1439999999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280355.07023999997</v>
      </c>
      <c r="U121" s="424"/>
      <c r="V121" s="424">
        <f t="shared" si="118"/>
        <v>504355.07023999997</v>
      </c>
      <c r="W121" s="431">
        <v>12</v>
      </c>
      <c r="X121" s="424">
        <f t="shared" si="119"/>
        <v>42029.589186666701</v>
      </c>
      <c r="Y121" s="427"/>
      <c r="Z121" s="424">
        <f t="shared" si="120"/>
        <v>42029.589186666701</v>
      </c>
      <c r="AA121" s="436">
        <v>42029.589186666701</v>
      </c>
      <c r="AB121" s="510">
        <f t="shared" si="107"/>
        <v>0</v>
      </c>
      <c r="AC121" s="179"/>
      <c r="AD121" s="179"/>
      <c r="AE121" s="179"/>
    </row>
    <row r="122" spans="1:31" ht="18" x14ac:dyDescent="0.15">
      <c r="A122" s="498">
        <v>105</v>
      </c>
      <c r="B122" s="9" t="s">
        <v>260</v>
      </c>
      <c r="C122" s="424">
        <v>335272.06374999997</v>
      </c>
      <c r="D122" s="423">
        <v>12</v>
      </c>
      <c r="E122" s="424">
        <f t="shared" si="106"/>
        <v>4023264.7650000001</v>
      </c>
      <c r="F122" s="430">
        <f>668.31625*12</f>
        <v>8019.7950000000001</v>
      </c>
      <c r="G122" s="427"/>
      <c r="H122" s="427"/>
      <c r="I122" s="424">
        <f t="shared" si="108"/>
        <v>4015244.97</v>
      </c>
      <c r="J122" s="424">
        <v>200000</v>
      </c>
      <c r="K122" s="424">
        <v>0.2</v>
      </c>
      <c r="L122" s="424">
        <f t="shared" si="109"/>
        <v>803048.99399999995</v>
      </c>
      <c r="M122" s="424">
        <f t="shared" si="110"/>
        <v>1003048.9939999999</v>
      </c>
      <c r="N122" s="424">
        <f t="shared" si="111"/>
        <v>1011068.789</v>
      </c>
      <c r="O122" s="424">
        <f t="shared" si="112"/>
        <v>3012195.9759999998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296561.15496000001</v>
      </c>
      <c r="U122" s="424"/>
      <c r="V122" s="424">
        <f t="shared" si="118"/>
        <v>520561.15496000001</v>
      </c>
      <c r="W122" s="431">
        <v>12</v>
      </c>
      <c r="X122" s="424">
        <f t="shared" si="119"/>
        <v>43380.096246666697</v>
      </c>
      <c r="Y122" s="427"/>
      <c r="Z122" s="424">
        <f t="shared" si="120"/>
        <v>43380.096246666697</v>
      </c>
      <c r="AA122" s="436">
        <v>43380.096246666697</v>
      </c>
      <c r="AB122" s="510">
        <f t="shared" si="107"/>
        <v>0</v>
      </c>
      <c r="AC122" s="179"/>
      <c r="AD122" s="179"/>
      <c r="AE122" s="179"/>
    </row>
    <row r="123" spans="1:31" ht="18" x14ac:dyDescent="0.15">
      <c r="A123" s="498">
        <v>106</v>
      </c>
      <c r="B123" s="9" t="s">
        <v>263</v>
      </c>
      <c r="C123" s="424">
        <v>213508.01</v>
      </c>
      <c r="D123" s="423">
        <v>12</v>
      </c>
      <c r="E123" s="424">
        <f t="shared" si="106"/>
        <v>2562096.12</v>
      </c>
      <c r="F123" s="424"/>
      <c r="G123" s="427"/>
      <c r="H123" s="427"/>
      <c r="I123" s="424">
        <f t="shared" si="108"/>
        <v>2562096.12</v>
      </c>
      <c r="J123" s="424">
        <v>200000</v>
      </c>
      <c r="K123" s="424">
        <v>0.2</v>
      </c>
      <c r="L123" s="424">
        <f t="shared" si="109"/>
        <v>512419.22399999999</v>
      </c>
      <c r="M123" s="424">
        <f t="shared" si="110"/>
        <v>712419.22400000005</v>
      </c>
      <c r="N123" s="424">
        <f t="shared" si="111"/>
        <v>712419.22400000005</v>
      </c>
      <c r="O123" s="424">
        <f t="shared" si="112"/>
        <v>1849676.8959999999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52432.148159999997</v>
      </c>
      <c r="U123" s="424"/>
      <c r="V123" s="424">
        <f t="shared" si="118"/>
        <v>276432.14815999998</v>
      </c>
      <c r="W123" s="431">
        <v>12</v>
      </c>
      <c r="X123" s="424">
        <f t="shared" si="119"/>
        <v>23036.012346666699</v>
      </c>
      <c r="Y123" s="427"/>
      <c r="Z123" s="424">
        <f t="shared" si="120"/>
        <v>23036.012346666699</v>
      </c>
      <c r="AA123" s="436">
        <v>23036.012346666699</v>
      </c>
      <c r="AB123" s="510">
        <f t="shared" si="107"/>
        <v>-2.91038304567337E-11</v>
      </c>
      <c r="AC123" s="179"/>
      <c r="AD123" s="179"/>
      <c r="AE123" s="179"/>
    </row>
    <row r="124" spans="1:31" ht="18" x14ac:dyDescent="0.15">
      <c r="A124" s="498">
        <v>107</v>
      </c>
      <c r="B124" s="16" t="s">
        <v>265</v>
      </c>
      <c r="C124" s="424">
        <v>176816.1</v>
      </c>
      <c r="D124" s="423">
        <v>12</v>
      </c>
      <c r="E124" s="424">
        <f t="shared" si="106"/>
        <v>2121793.2000000002</v>
      </c>
      <c r="F124" s="424"/>
      <c r="G124" s="427"/>
      <c r="H124" s="427"/>
      <c r="I124" s="424">
        <f t="shared" si="108"/>
        <v>2121793.2000000002</v>
      </c>
      <c r="J124" s="424">
        <v>200000</v>
      </c>
      <c r="K124" s="424">
        <v>0.2</v>
      </c>
      <c r="L124" s="424">
        <f t="shared" si="109"/>
        <v>424358.64</v>
      </c>
      <c r="M124" s="424">
        <f t="shared" si="110"/>
        <v>624358.64</v>
      </c>
      <c r="N124" s="424">
        <f t="shared" si="111"/>
        <v>624358.64</v>
      </c>
      <c r="O124" s="424">
        <f t="shared" si="112"/>
        <v>1497434.56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75512.566399999996</v>
      </c>
      <c r="T124" s="424">
        <f t="shared" si="117"/>
        <v>0</v>
      </c>
      <c r="U124" s="424"/>
      <c r="V124" s="424">
        <f t="shared" si="118"/>
        <v>204512.56640000001</v>
      </c>
      <c r="W124" s="431">
        <v>12</v>
      </c>
      <c r="X124" s="424">
        <f t="shared" si="119"/>
        <v>17042.713866666702</v>
      </c>
      <c r="Y124" s="427"/>
      <c r="Z124" s="424">
        <f t="shared" si="120"/>
        <v>17042.713866666702</v>
      </c>
      <c r="AA124" s="436">
        <v>17042.713866666702</v>
      </c>
      <c r="AB124" s="510">
        <f t="shared" si="107"/>
        <v>-3.2741809263825397E-11</v>
      </c>
      <c r="AC124" s="179"/>
      <c r="AD124" s="179"/>
      <c r="AE124" s="179"/>
    </row>
    <row r="125" spans="1:31" s="494" customFormat="1" ht="18" x14ac:dyDescent="0.15">
      <c r="A125" s="502">
        <v>108</v>
      </c>
      <c r="B125" s="16" t="s">
        <v>267</v>
      </c>
      <c r="C125" s="424">
        <v>176816.1</v>
      </c>
      <c r="D125" s="423">
        <v>12</v>
      </c>
      <c r="E125" s="424">
        <f t="shared" si="106"/>
        <v>2121793.2000000002</v>
      </c>
      <c r="F125" s="424"/>
      <c r="G125" s="427"/>
      <c r="H125" s="427"/>
      <c r="I125" s="424">
        <f t="shared" si="108"/>
        <v>2121793.2000000002</v>
      </c>
      <c r="J125" s="424">
        <v>200000</v>
      </c>
      <c r="K125" s="424">
        <v>0.2</v>
      </c>
      <c r="L125" s="424">
        <f t="shared" si="109"/>
        <v>424358.64</v>
      </c>
      <c r="M125" s="424">
        <f t="shared" si="110"/>
        <v>624358.64</v>
      </c>
      <c r="N125" s="424">
        <f t="shared" si="111"/>
        <v>624358.64</v>
      </c>
      <c r="O125" s="424">
        <f t="shared" si="112"/>
        <v>1497434.56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75512.566399999996</v>
      </c>
      <c r="T125" s="424">
        <f t="shared" si="117"/>
        <v>0</v>
      </c>
      <c r="U125" s="424"/>
      <c r="V125" s="424">
        <f t="shared" si="118"/>
        <v>204512.56640000001</v>
      </c>
      <c r="W125" s="431">
        <v>12</v>
      </c>
      <c r="X125" s="424">
        <f t="shared" si="119"/>
        <v>17042.713866666702</v>
      </c>
      <c r="Y125" s="427"/>
      <c r="Z125" s="424">
        <f t="shared" si="120"/>
        <v>17042.713866666702</v>
      </c>
      <c r="AA125" s="510">
        <v>17042.713866666702</v>
      </c>
      <c r="AB125" s="510">
        <f t="shared" si="107"/>
        <v>-3.2741809263825397E-11</v>
      </c>
      <c r="AC125" s="510"/>
      <c r="AD125" s="510"/>
      <c r="AE125" s="510"/>
    </row>
    <row r="126" spans="1:31" ht="18" x14ac:dyDescent="0.15">
      <c r="A126" s="498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24"/>
      <c r="AA126" s="179"/>
      <c r="AB126" s="179"/>
      <c r="AC126" s="179"/>
      <c r="AD126" s="179"/>
      <c r="AE126" s="179"/>
    </row>
    <row r="127" spans="1:31" ht="18" x14ac:dyDescent="0.2">
      <c r="A127" s="498">
        <v>110</v>
      </c>
      <c r="B127" s="20"/>
      <c r="C127" s="424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424"/>
      <c r="V127" s="259"/>
      <c r="W127" s="259"/>
      <c r="X127" s="259"/>
      <c r="Y127" s="259"/>
      <c r="Z127" s="259"/>
      <c r="AC127" s="179"/>
      <c r="AD127" s="179"/>
      <c r="AE127" s="179"/>
    </row>
    <row r="128" spans="1:31" ht="18" x14ac:dyDescent="0.15">
      <c r="A128" s="498">
        <v>111</v>
      </c>
      <c r="B128" s="18" t="s">
        <v>270</v>
      </c>
      <c r="C128" s="424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424"/>
      <c r="V128" s="259"/>
      <c r="W128" s="259"/>
      <c r="X128" s="259"/>
      <c r="Y128" s="259"/>
      <c r="Z128" s="259"/>
      <c r="AC128" s="179"/>
      <c r="AD128" s="179"/>
      <c r="AE128" s="179"/>
    </row>
    <row r="129" spans="1:31" ht="18" x14ac:dyDescent="0.15">
      <c r="A129" s="498">
        <v>112</v>
      </c>
      <c r="B129" s="9" t="s">
        <v>557</v>
      </c>
      <c r="C129" s="424">
        <v>950209.06350000005</v>
      </c>
      <c r="D129" s="423">
        <v>12</v>
      </c>
      <c r="E129" s="424">
        <f>C129*D129</f>
        <v>11402508.762</v>
      </c>
      <c r="F129" s="424"/>
      <c r="G129" s="427"/>
      <c r="H129" s="427"/>
      <c r="I129" s="424">
        <f>E129-F129-G129-H129</f>
        <v>11402508.762</v>
      </c>
      <c r="J129" s="424">
        <v>200000</v>
      </c>
      <c r="K129" s="424">
        <v>0.2</v>
      </c>
      <c r="L129" s="424">
        <f t="shared" ref="L129:L187" si="121">I129*K129</f>
        <v>2280501.7524000001</v>
      </c>
      <c r="M129" s="424">
        <f t="shared" ref="M129:M187" si="122">J129+L129</f>
        <v>2480501.7524000001</v>
      </c>
      <c r="N129" s="424">
        <f t="shared" ref="N129:N187" si="123">F129+G129+H129+M129</f>
        <v>2480501.7524000001</v>
      </c>
      <c r="O129" s="424">
        <f t="shared" ref="O129:O187" si="124">E129-N129</f>
        <v>8922007.0096000005</v>
      </c>
      <c r="P129" s="424">
        <f t="shared" ref="P129:P187" si="125">IF(O129&lt;300000,0.07*O129,21000)</f>
        <v>21000</v>
      </c>
      <c r="Q129" s="424">
        <f t="shared" ref="Q129:Q187" si="126">IF((O129-300000)&lt;0,0,IF((O129-300000)&lt;300000,0.11*(O129-300000),33000))</f>
        <v>33000</v>
      </c>
      <c r="R129" s="424">
        <f t="shared" ref="R129:R187" si="127">IF((O129-600000)&lt;0,0,IF((O129-600000)&lt;500000,0.15*(O129-600000),75000))</f>
        <v>75000</v>
      </c>
      <c r="S129" s="424">
        <f t="shared" ref="S129:S187" si="128">IF((O129-1100000)&lt;0,0,IF((O129-1100000)&lt;500000,0.19*(O129-1100000),95000))</f>
        <v>95000</v>
      </c>
      <c r="T129" s="424">
        <f t="shared" ref="T129:T187" si="129">IF((O129-1600000)&lt;0,0,IF((O129-1600000)&lt;1600000,0.21*(O129-1600000),336000))</f>
        <v>336000</v>
      </c>
      <c r="U129" s="424">
        <f t="shared" si="103"/>
        <v>1373281.682304</v>
      </c>
      <c r="V129" s="424">
        <f>P129+Q129+R129+S129+T129+U129</f>
        <v>1933281.682304</v>
      </c>
      <c r="W129" s="431">
        <v>12</v>
      </c>
      <c r="X129" s="424">
        <f t="shared" ref="X129:X187" si="130">V129/W129</f>
        <v>161106.806858667</v>
      </c>
      <c r="Y129" s="427"/>
      <c r="Z129" s="424">
        <f t="shared" ref="Z129:Z187" si="131">X129</f>
        <v>161106.806858667</v>
      </c>
      <c r="AA129" s="179">
        <v>161106.806858667</v>
      </c>
      <c r="AB129" s="179">
        <f>Z129-AA129</f>
        <v>-3.20142135024071E-10</v>
      </c>
      <c r="AC129" s="179"/>
      <c r="AD129" s="179"/>
      <c r="AE129" s="179"/>
    </row>
    <row r="130" spans="1:31" s="494" customFormat="1" ht="18" x14ac:dyDescent="0.15">
      <c r="A130" s="502">
        <v>113</v>
      </c>
      <c r="B130" s="9" t="s">
        <v>559</v>
      </c>
      <c r="C130" s="424">
        <v>541465.02474999998</v>
      </c>
      <c r="D130" s="423">
        <v>12</v>
      </c>
      <c r="E130" s="424">
        <f t="shared" ref="E130:E187" si="132">C130*D130</f>
        <v>6497580.2970000003</v>
      </c>
      <c r="F130" s="424"/>
      <c r="G130" s="427"/>
      <c r="H130" s="427"/>
      <c r="I130" s="424">
        <f t="shared" ref="I130:I187" si="133">E130-F130-G130-H130</f>
        <v>6497580.2970000003</v>
      </c>
      <c r="J130" s="424">
        <v>200000</v>
      </c>
      <c r="K130" s="424">
        <v>0.2</v>
      </c>
      <c r="L130" s="424">
        <f t="shared" si="121"/>
        <v>1299516.0593999999</v>
      </c>
      <c r="M130" s="424">
        <f t="shared" si="122"/>
        <v>1499516.0593999999</v>
      </c>
      <c r="N130" s="424">
        <f t="shared" si="123"/>
        <v>1499516.0593999999</v>
      </c>
      <c r="O130" s="424">
        <f t="shared" si="124"/>
        <v>4998064.2375999996</v>
      </c>
      <c r="P130" s="424">
        <f t="shared" si="125"/>
        <v>21000</v>
      </c>
      <c r="Q130" s="424">
        <f t="shared" si="126"/>
        <v>33000</v>
      </c>
      <c r="R130" s="424">
        <f t="shared" si="127"/>
        <v>75000</v>
      </c>
      <c r="S130" s="424">
        <f t="shared" si="128"/>
        <v>95000</v>
      </c>
      <c r="T130" s="424">
        <f t="shared" si="129"/>
        <v>336000</v>
      </c>
      <c r="U130" s="424">
        <f t="shared" si="103"/>
        <v>431535.41702400002</v>
      </c>
      <c r="V130" s="424">
        <f>P130+Q130+R130+S130+T130+U130</f>
        <v>991535.41702399997</v>
      </c>
      <c r="W130" s="431">
        <v>12</v>
      </c>
      <c r="X130" s="424">
        <f t="shared" si="130"/>
        <v>82627.951418666693</v>
      </c>
      <c r="Y130" s="427"/>
      <c r="Z130" s="424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10"/>
      <c r="AD130" s="510"/>
      <c r="AE130" s="510"/>
    </row>
    <row r="131" spans="1:31" ht="18" x14ac:dyDescent="0.15">
      <c r="A131" s="498">
        <v>114</v>
      </c>
      <c r="B131" s="12" t="s">
        <v>274</v>
      </c>
      <c r="C131" s="424">
        <v>591465.02474999998</v>
      </c>
      <c r="D131" s="423">
        <v>12</v>
      </c>
      <c r="E131" s="424">
        <f t="shared" si="132"/>
        <v>7097580.2970000003</v>
      </c>
      <c r="F131" s="424">
        <f>1066.32925*12</f>
        <v>12795.950999999999</v>
      </c>
      <c r="G131" s="427"/>
      <c r="H131" s="427"/>
      <c r="I131" s="424">
        <f t="shared" si="133"/>
        <v>7084784.3459999999</v>
      </c>
      <c r="J131" s="424">
        <v>200000</v>
      </c>
      <c r="K131" s="424">
        <v>0.2</v>
      </c>
      <c r="L131" s="424">
        <f t="shared" si="121"/>
        <v>1416956.8692000001</v>
      </c>
      <c r="M131" s="424">
        <f t="shared" si="122"/>
        <v>1616956.8692000001</v>
      </c>
      <c r="N131" s="424">
        <f t="shared" si="123"/>
        <v>1629752.8202</v>
      </c>
      <c r="O131" s="424">
        <f t="shared" si="124"/>
        <v>5467827.4768000003</v>
      </c>
      <c r="P131" s="424">
        <f t="shared" si="125"/>
        <v>21000</v>
      </c>
      <c r="Q131" s="424">
        <f t="shared" si="126"/>
        <v>33000</v>
      </c>
      <c r="R131" s="424">
        <f t="shared" si="127"/>
        <v>75000</v>
      </c>
      <c r="S131" s="424">
        <f t="shared" si="128"/>
        <v>95000</v>
      </c>
      <c r="T131" s="424">
        <f t="shared" si="129"/>
        <v>336000</v>
      </c>
      <c r="U131" s="424">
        <f t="shared" si="103"/>
        <v>544278.59443199995</v>
      </c>
      <c r="V131" s="424">
        <f>P131+Q131+R131+S131+T131+U131</f>
        <v>1104278.5944320001</v>
      </c>
      <c r="W131" s="431">
        <v>12</v>
      </c>
      <c r="X131" s="424">
        <f t="shared" si="130"/>
        <v>92023.216202666707</v>
      </c>
      <c r="Y131" s="427"/>
      <c r="Z131" s="424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" x14ac:dyDescent="0.15">
      <c r="A132" s="498">
        <v>115</v>
      </c>
      <c r="B132" s="9" t="s">
        <v>276</v>
      </c>
      <c r="C132" s="424">
        <v>351394.00675</v>
      </c>
      <c r="D132" s="423">
        <v>12</v>
      </c>
      <c r="E132" s="424">
        <f t="shared" si="132"/>
        <v>4216728.0810000002</v>
      </c>
      <c r="F132" s="424">
        <f>712.24525*12</f>
        <v>8546.9429999999993</v>
      </c>
      <c r="G132" s="427"/>
      <c r="H132" s="427"/>
      <c r="I132" s="424">
        <f t="shared" si="133"/>
        <v>4208181.1380000003</v>
      </c>
      <c r="J132" s="424">
        <v>200000</v>
      </c>
      <c r="K132" s="424">
        <v>0.2</v>
      </c>
      <c r="L132" s="424">
        <f t="shared" si="121"/>
        <v>841636.22759999998</v>
      </c>
      <c r="M132" s="424">
        <f t="shared" si="122"/>
        <v>1041636.2276</v>
      </c>
      <c r="N132" s="424">
        <f t="shared" si="123"/>
        <v>1050183.1706000001</v>
      </c>
      <c r="O132" s="424">
        <f t="shared" si="124"/>
        <v>3166544.9103999999</v>
      </c>
      <c r="P132" s="424">
        <f t="shared" si="125"/>
        <v>21000</v>
      </c>
      <c r="Q132" s="424">
        <f t="shared" si="126"/>
        <v>33000</v>
      </c>
      <c r="R132" s="424">
        <f t="shared" si="127"/>
        <v>75000</v>
      </c>
      <c r="S132" s="424">
        <f t="shared" si="128"/>
        <v>95000</v>
      </c>
      <c r="T132" s="424">
        <f t="shared" si="129"/>
        <v>328974.43118399999</v>
      </c>
      <c r="U132" s="424"/>
      <c r="V132" s="424">
        <f t="shared" ref="V132:V187" si="135">P132+Q132+R132+S132+T132+U132</f>
        <v>552974.43118399999</v>
      </c>
      <c r="W132" s="431">
        <v>12</v>
      </c>
      <c r="X132" s="424">
        <f t="shared" si="130"/>
        <v>46081.202598666699</v>
      </c>
      <c r="Y132" s="427"/>
      <c r="Z132" s="424">
        <f t="shared" si="131"/>
        <v>46081.202598666699</v>
      </c>
      <c r="AA132" s="510">
        <v>46081.202598666699</v>
      </c>
      <c r="AB132" s="179">
        <f t="shared" si="134"/>
        <v>0</v>
      </c>
      <c r="AC132" s="179"/>
      <c r="AD132" s="179"/>
      <c r="AE132" s="179"/>
    </row>
    <row r="133" spans="1:31" ht="18" x14ac:dyDescent="0.15">
      <c r="A133" s="498">
        <v>116</v>
      </c>
      <c r="B133" s="9" t="s">
        <v>278</v>
      </c>
      <c r="C133" s="424">
        <v>351394.00675</v>
      </c>
      <c r="D133" s="423">
        <v>12</v>
      </c>
      <c r="E133" s="424">
        <f t="shared" si="132"/>
        <v>4216728.0810000002</v>
      </c>
      <c r="F133" s="424">
        <f>712.24525*12</f>
        <v>8546.9429999999993</v>
      </c>
      <c r="G133" s="427"/>
      <c r="H133" s="427"/>
      <c r="I133" s="424">
        <f t="shared" si="133"/>
        <v>4208181.1380000003</v>
      </c>
      <c r="J133" s="424">
        <v>200000</v>
      </c>
      <c r="K133" s="424">
        <v>0.2</v>
      </c>
      <c r="L133" s="424">
        <f t="shared" si="121"/>
        <v>841636.22759999998</v>
      </c>
      <c r="M133" s="424">
        <f t="shared" si="122"/>
        <v>1041636.2276</v>
      </c>
      <c r="N133" s="424">
        <f t="shared" si="123"/>
        <v>1050183.1706000001</v>
      </c>
      <c r="O133" s="424">
        <f t="shared" si="124"/>
        <v>3166544.9103999999</v>
      </c>
      <c r="P133" s="424">
        <f t="shared" si="125"/>
        <v>21000</v>
      </c>
      <c r="Q133" s="424">
        <f t="shared" si="126"/>
        <v>33000</v>
      </c>
      <c r="R133" s="424">
        <f t="shared" si="127"/>
        <v>75000</v>
      </c>
      <c r="S133" s="424">
        <f t="shared" si="128"/>
        <v>95000</v>
      </c>
      <c r="T133" s="424">
        <f t="shared" si="129"/>
        <v>328974.43118399999</v>
      </c>
      <c r="U133" s="424"/>
      <c r="V133" s="424">
        <f t="shared" si="135"/>
        <v>552974.43118399999</v>
      </c>
      <c r="W133" s="431">
        <v>12</v>
      </c>
      <c r="X133" s="424">
        <f t="shared" si="130"/>
        <v>46081.202598666699</v>
      </c>
      <c r="Y133" s="427"/>
      <c r="Z133" s="424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" x14ac:dyDescent="0.15">
      <c r="A134" s="498">
        <v>117</v>
      </c>
      <c r="B134" s="9" t="s">
        <v>280</v>
      </c>
      <c r="C134" s="424">
        <v>351394.00675</v>
      </c>
      <c r="D134" s="423">
        <v>12</v>
      </c>
      <c r="E134" s="424">
        <f t="shared" si="132"/>
        <v>4216728.0810000002</v>
      </c>
      <c r="F134" s="424">
        <f>712.24525*12</f>
        <v>8546.9429999999993</v>
      </c>
      <c r="G134" s="427"/>
      <c r="H134" s="427"/>
      <c r="I134" s="424">
        <f t="shared" si="133"/>
        <v>4208181.1380000003</v>
      </c>
      <c r="J134" s="424">
        <v>200000</v>
      </c>
      <c r="K134" s="424">
        <v>0.2</v>
      </c>
      <c r="L134" s="424">
        <f t="shared" si="121"/>
        <v>841636.22759999998</v>
      </c>
      <c r="M134" s="424">
        <f t="shared" si="122"/>
        <v>1041636.2276</v>
      </c>
      <c r="N134" s="424">
        <f t="shared" si="123"/>
        <v>1050183.1706000001</v>
      </c>
      <c r="O134" s="424">
        <f t="shared" si="124"/>
        <v>3166544.9103999999</v>
      </c>
      <c r="P134" s="424">
        <f t="shared" si="125"/>
        <v>21000</v>
      </c>
      <c r="Q134" s="424">
        <f t="shared" si="126"/>
        <v>33000</v>
      </c>
      <c r="R134" s="424">
        <f t="shared" si="127"/>
        <v>75000</v>
      </c>
      <c r="S134" s="424">
        <f t="shared" si="128"/>
        <v>95000</v>
      </c>
      <c r="T134" s="424">
        <f t="shared" si="129"/>
        <v>328974.43118399999</v>
      </c>
      <c r="U134" s="424"/>
      <c r="V134" s="424">
        <f t="shared" si="135"/>
        <v>552974.43118399999</v>
      </c>
      <c r="W134" s="431">
        <v>12</v>
      </c>
      <c r="X134" s="424">
        <f t="shared" si="130"/>
        <v>46081.202598666699</v>
      </c>
      <c r="Y134" s="427"/>
      <c r="Z134" s="424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" x14ac:dyDescent="0.15">
      <c r="A135" s="498">
        <v>118</v>
      </c>
      <c r="B135" s="9" t="s">
        <v>213</v>
      </c>
      <c r="C135" s="424">
        <v>286619.99875000003</v>
      </c>
      <c r="D135" s="423">
        <v>12</v>
      </c>
      <c r="E135" s="424">
        <f t="shared" si="132"/>
        <v>3439439.9849999999</v>
      </c>
      <c r="F135" s="424">
        <f>576.62125*12</f>
        <v>6919.4549999999999</v>
      </c>
      <c r="G135" s="427"/>
      <c r="H135" s="427"/>
      <c r="I135" s="424">
        <f t="shared" si="133"/>
        <v>3432520.53</v>
      </c>
      <c r="J135" s="424">
        <v>200000</v>
      </c>
      <c r="K135" s="424">
        <v>0.2</v>
      </c>
      <c r="L135" s="424">
        <f t="shared" si="121"/>
        <v>686504.10600000003</v>
      </c>
      <c r="M135" s="424">
        <f t="shared" si="122"/>
        <v>886504.10600000003</v>
      </c>
      <c r="N135" s="424">
        <f t="shared" si="123"/>
        <v>893423.56099999999</v>
      </c>
      <c r="O135" s="424">
        <f t="shared" si="124"/>
        <v>2546016.4240000001</v>
      </c>
      <c r="P135" s="424">
        <f t="shared" si="125"/>
        <v>21000</v>
      </c>
      <c r="Q135" s="424">
        <f t="shared" si="126"/>
        <v>33000</v>
      </c>
      <c r="R135" s="424">
        <f t="shared" si="127"/>
        <v>75000</v>
      </c>
      <c r="S135" s="424">
        <f t="shared" si="128"/>
        <v>95000</v>
      </c>
      <c r="T135" s="424">
        <f t="shared" si="129"/>
        <v>198663.44904000001</v>
      </c>
      <c r="U135" s="424"/>
      <c r="V135" s="424">
        <f t="shared" si="135"/>
        <v>422663.44903999998</v>
      </c>
      <c r="W135" s="431">
        <v>12</v>
      </c>
      <c r="X135" s="424">
        <f t="shared" si="130"/>
        <v>35221.954086666701</v>
      </c>
      <c r="Y135" s="427"/>
      <c r="Z135" s="424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" x14ac:dyDescent="0.15">
      <c r="A136" s="498">
        <v>119</v>
      </c>
      <c r="B136" s="9" t="s">
        <v>281</v>
      </c>
      <c r="C136" s="424">
        <v>286619.99875000003</v>
      </c>
      <c r="D136" s="423">
        <v>12</v>
      </c>
      <c r="E136" s="424">
        <f t="shared" si="132"/>
        <v>3439439.9849999999</v>
      </c>
      <c r="F136" s="424"/>
      <c r="G136" s="427"/>
      <c r="H136" s="427"/>
      <c r="I136" s="424">
        <f t="shared" si="133"/>
        <v>3439439.9849999999</v>
      </c>
      <c r="J136" s="424">
        <v>200000</v>
      </c>
      <c r="K136" s="424">
        <v>0.2</v>
      </c>
      <c r="L136" s="424">
        <f t="shared" si="121"/>
        <v>687887.99699999997</v>
      </c>
      <c r="M136" s="424">
        <f t="shared" si="122"/>
        <v>887887.99699999997</v>
      </c>
      <c r="N136" s="424">
        <f t="shared" si="123"/>
        <v>887887.99699999997</v>
      </c>
      <c r="O136" s="424">
        <f t="shared" si="124"/>
        <v>2551551.9879999999</v>
      </c>
      <c r="P136" s="424">
        <f t="shared" si="125"/>
        <v>21000</v>
      </c>
      <c r="Q136" s="424">
        <f t="shared" si="126"/>
        <v>33000</v>
      </c>
      <c r="R136" s="424">
        <f t="shared" si="127"/>
        <v>75000</v>
      </c>
      <c r="S136" s="424">
        <f t="shared" si="128"/>
        <v>95000</v>
      </c>
      <c r="T136" s="424">
        <f t="shared" si="129"/>
        <v>199825.91748</v>
      </c>
      <c r="U136" s="424"/>
      <c r="V136" s="424">
        <f t="shared" si="135"/>
        <v>423825.91748</v>
      </c>
      <c r="W136" s="431">
        <v>12</v>
      </c>
      <c r="X136" s="424">
        <f t="shared" si="130"/>
        <v>35318.826456666699</v>
      </c>
      <c r="Y136" s="427"/>
      <c r="Z136" s="424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" x14ac:dyDescent="0.15">
      <c r="A137" s="498">
        <v>120</v>
      </c>
      <c r="B137" s="9" t="s">
        <v>282</v>
      </c>
      <c r="C137" s="424">
        <v>286619.99875000003</v>
      </c>
      <c r="D137" s="423">
        <v>12</v>
      </c>
      <c r="E137" s="424">
        <f t="shared" si="132"/>
        <v>3439439.9849999999</v>
      </c>
      <c r="F137" s="424"/>
      <c r="G137" s="427"/>
      <c r="H137" s="427"/>
      <c r="I137" s="424">
        <f t="shared" si="133"/>
        <v>3439439.9849999999</v>
      </c>
      <c r="J137" s="424">
        <v>200000</v>
      </c>
      <c r="K137" s="424">
        <v>0.2</v>
      </c>
      <c r="L137" s="424">
        <f t="shared" si="121"/>
        <v>687887.99699999997</v>
      </c>
      <c r="M137" s="424">
        <f t="shared" si="122"/>
        <v>887887.99699999997</v>
      </c>
      <c r="N137" s="424">
        <f t="shared" si="123"/>
        <v>887887.99699999997</v>
      </c>
      <c r="O137" s="424">
        <f t="shared" si="124"/>
        <v>2551551.9879999999</v>
      </c>
      <c r="P137" s="424">
        <f t="shared" si="125"/>
        <v>21000</v>
      </c>
      <c r="Q137" s="424">
        <f t="shared" si="126"/>
        <v>33000</v>
      </c>
      <c r="R137" s="424">
        <f t="shared" si="127"/>
        <v>75000</v>
      </c>
      <c r="S137" s="424">
        <f t="shared" si="128"/>
        <v>95000</v>
      </c>
      <c r="T137" s="424">
        <f t="shared" si="129"/>
        <v>199825.91748</v>
      </c>
      <c r="U137" s="424"/>
      <c r="V137" s="424">
        <f t="shared" si="135"/>
        <v>423825.91748</v>
      </c>
      <c r="W137" s="431">
        <v>12</v>
      </c>
      <c r="X137" s="424">
        <f t="shared" si="130"/>
        <v>35318.826456666699</v>
      </c>
      <c r="Y137" s="427"/>
      <c r="Z137" s="424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1.5" x14ac:dyDescent="0.2">
      <c r="A138" s="498">
        <v>121</v>
      </c>
      <c r="B138" s="9" t="s">
        <v>284</v>
      </c>
      <c r="C138" s="424">
        <v>284536.99849999999</v>
      </c>
      <c r="D138" s="423">
        <v>12</v>
      </c>
      <c r="E138" s="424">
        <f t="shared" si="132"/>
        <v>3414443.9819999998</v>
      </c>
      <c r="F138" s="424"/>
      <c r="G138" s="427"/>
      <c r="H138" s="427"/>
      <c r="I138" s="424">
        <f t="shared" si="133"/>
        <v>3414443.9819999998</v>
      </c>
      <c r="J138" s="424">
        <v>200000</v>
      </c>
      <c r="K138" s="424">
        <v>0.2</v>
      </c>
      <c r="L138" s="424">
        <f t="shared" si="121"/>
        <v>682888.79639999999</v>
      </c>
      <c r="M138" s="424">
        <f t="shared" si="122"/>
        <v>882888.79639999999</v>
      </c>
      <c r="N138" s="424">
        <f t="shared" si="123"/>
        <v>882888.79639999999</v>
      </c>
      <c r="O138" s="424">
        <f t="shared" si="124"/>
        <v>2531555.1856</v>
      </c>
      <c r="P138" s="424">
        <f t="shared" si="125"/>
        <v>21000</v>
      </c>
      <c r="Q138" s="424">
        <f t="shared" si="126"/>
        <v>33000</v>
      </c>
      <c r="R138" s="424">
        <f t="shared" si="127"/>
        <v>75000</v>
      </c>
      <c r="S138" s="424">
        <f t="shared" si="128"/>
        <v>95000</v>
      </c>
      <c r="T138" s="424">
        <f t="shared" si="129"/>
        <v>195626.588976</v>
      </c>
      <c r="U138" s="424"/>
      <c r="V138" s="424">
        <f t="shared" si="135"/>
        <v>419626.58897600003</v>
      </c>
      <c r="W138" s="431">
        <v>12</v>
      </c>
      <c r="X138" s="424">
        <f t="shared" si="130"/>
        <v>34968.882414666703</v>
      </c>
      <c r="Y138" s="427"/>
      <c r="Z138" s="424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" x14ac:dyDescent="0.15">
      <c r="A139" s="498">
        <v>122</v>
      </c>
      <c r="B139" s="9" t="s">
        <v>286</v>
      </c>
      <c r="C139" s="424">
        <v>272454.07400000002</v>
      </c>
      <c r="D139" s="423">
        <v>12</v>
      </c>
      <c r="E139" s="424">
        <f t="shared" si="132"/>
        <v>3269448.8879999998</v>
      </c>
      <c r="F139" s="424">
        <f>538.022*12</f>
        <v>6456.2640000000001</v>
      </c>
      <c r="G139" s="427"/>
      <c r="H139" s="427"/>
      <c r="I139" s="424">
        <f t="shared" si="133"/>
        <v>3262992.6239999998</v>
      </c>
      <c r="J139" s="424">
        <v>200000</v>
      </c>
      <c r="K139" s="424">
        <v>0.2</v>
      </c>
      <c r="L139" s="424">
        <f t="shared" si="121"/>
        <v>652598.52480000001</v>
      </c>
      <c r="M139" s="424">
        <f t="shared" si="122"/>
        <v>852598.52480000001</v>
      </c>
      <c r="N139" s="424">
        <f t="shared" si="123"/>
        <v>859054.78879999998</v>
      </c>
      <c r="O139" s="424">
        <f t="shared" si="124"/>
        <v>2410394.0992000001</v>
      </c>
      <c r="P139" s="424">
        <f t="shared" si="125"/>
        <v>21000</v>
      </c>
      <c r="Q139" s="424">
        <f t="shared" si="126"/>
        <v>33000</v>
      </c>
      <c r="R139" s="424">
        <f t="shared" si="127"/>
        <v>75000</v>
      </c>
      <c r="S139" s="424">
        <f t="shared" si="128"/>
        <v>95000</v>
      </c>
      <c r="T139" s="424">
        <f t="shared" si="129"/>
        <v>170182.760832</v>
      </c>
      <c r="U139" s="424"/>
      <c r="V139" s="424">
        <f t="shared" si="135"/>
        <v>394182.760832</v>
      </c>
      <c r="W139" s="431">
        <v>12</v>
      </c>
      <c r="X139" s="424">
        <f t="shared" si="130"/>
        <v>32848.563402666703</v>
      </c>
      <c r="Y139" s="427"/>
      <c r="Z139" s="424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18" x14ac:dyDescent="0.15">
      <c r="A140" s="498">
        <v>123</v>
      </c>
      <c r="B140" s="9" t="s">
        <v>60</v>
      </c>
      <c r="C140" s="424">
        <v>286619.99875000003</v>
      </c>
      <c r="D140" s="423">
        <v>12</v>
      </c>
      <c r="E140" s="424">
        <f t="shared" si="132"/>
        <v>3439439.9849999999</v>
      </c>
      <c r="F140" s="424">
        <f>576.62125*12</f>
        <v>6919.4549999999999</v>
      </c>
      <c r="G140" s="427"/>
      <c r="H140" s="427"/>
      <c r="I140" s="424">
        <f t="shared" si="133"/>
        <v>3432520.53</v>
      </c>
      <c r="J140" s="424">
        <v>200000</v>
      </c>
      <c r="K140" s="424">
        <v>0.2</v>
      </c>
      <c r="L140" s="424">
        <f t="shared" si="121"/>
        <v>686504.10600000003</v>
      </c>
      <c r="M140" s="424">
        <f t="shared" si="122"/>
        <v>886504.10600000003</v>
      </c>
      <c r="N140" s="424">
        <f t="shared" si="123"/>
        <v>893423.56099999999</v>
      </c>
      <c r="O140" s="424">
        <f t="shared" si="124"/>
        <v>2546016.4240000001</v>
      </c>
      <c r="P140" s="424">
        <f t="shared" si="125"/>
        <v>21000</v>
      </c>
      <c r="Q140" s="424">
        <f t="shared" si="126"/>
        <v>33000</v>
      </c>
      <c r="R140" s="424">
        <f t="shared" si="127"/>
        <v>75000</v>
      </c>
      <c r="S140" s="424">
        <f t="shared" si="128"/>
        <v>95000</v>
      </c>
      <c r="T140" s="424">
        <f t="shared" si="129"/>
        <v>198663.44904000001</v>
      </c>
      <c r="U140" s="424"/>
      <c r="V140" s="424">
        <f t="shared" si="135"/>
        <v>422663.44903999998</v>
      </c>
      <c r="W140" s="431">
        <v>12</v>
      </c>
      <c r="X140" s="424">
        <f t="shared" si="130"/>
        <v>35221.954086666701</v>
      </c>
      <c r="Y140" s="427"/>
      <c r="Z140" s="424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4" customFormat="1" ht="18" x14ac:dyDescent="0.15">
      <c r="A141" s="502">
        <v>124</v>
      </c>
      <c r="B141" s="16" t="s">
        <v>288</v>
      </c>
      <c r="C141" s="424">
        <v>265372.07500000001</v>
      </c>
      <c r="D141" s="423">
        <v>12</v>
      </c>
      <c r="E141" s="424">
        <f t="shared" si="132"/>
        <v>3184464.9</v>
      </c>
      <c r="F141" s="424">
        <v>0</v>
      </c>
      <c r="G141" s="427"/>
      <c r="H141" s="427"/>
      <c r="I141" s="424">
        <f t="shared" si="133"/>
        <v>3184464.9</v>
      </c>
      <c r="J141" s="424">
        <v>200000</v>
      </c>
      <c r="K141" s="424">
        <v>0.2</v>
      </c>
      <c r="L141" s="424">
        <f t="shared" si="121"/>
        <v>636892.98</v>
      </c>
      <c r="M141" s="424">
        <f t="shared" si="122"/>
        <v>836892.98</v>
      </c>
      <c r="N141" s="424">
        <f t="shared" si="123"/>
        <v>836892.98</v>
      </c>
      <c r="O141" s="424">
        <f t="shared" si="124"/>
        <v>2347571.92</v>
      </c>
      <c r="P141" s="424">
        <f t="shared" si="125"/>
        <v>21000</v>
      </c>
      <c r="Q141" s="424">
        <f t="shared" si="126"/>
        <v>33000</v>
      </c>
      <c r="R141" s="424">
        <f t="shared" si="127"/>
        <v>75000</v>
      </c>
      <c r="S141" s="424">
        <f t="shared" si="128"/>
        <v>95000</v>
      </c>
      <c r="T141" s="424">
        <f t="shared" si="129"/>
        <v>156990.10320000001</v>
      </c>
      <c r="U141" s="424"/>
      <c r="V141" s="424">
        <f t="shared" si="135"/>
        <v>380990.10320000001</v>
      </c>
      <c r="W141" s="431">
        <v>12</v>
      </c>
      <c r="X141" s="424">
        <f t="shared" si="130"/>
        <v>31749.175266666702</v>
      </c>
      <c r="Y141" s="427"/>
      <c r="Z141" s="424">
        <f t="shared" si="131"/>
        <v>31749.175266666702</v>
      </c>
      <c r="AA141" s="179">
        <v>31749.175266666702</v>
      </c>
      <c r="AB141" s="179">
        <f t="shared" si="134"/>
        <v>-2.91038304567337E-11</v>
      </c>
      <c r="AC141" s="510"/>
      <c r="AD141" s="510"/>
      <c r="AE141" s="510"/>
    </row>
    <row r="142" spans="1:31" ht="18" x14ac:dyDescent="0.15">
      <c r="A142" s="498">
        <v>125</v>
      </c>
      <c r="B142" s="9" t="s">
        <v>290</v>
      </c>
      <c r="C142" s="424">
        <v>237734.04699999999</v>
      </c>
      <c r="D142" s="423">
        <v>12</v>
      </c>
      <c r="E142" s="424">
        <f t="shared" si="132"/>
        <v>2852808.5639999998</v>
      </c>
      <c r="F142" s="424"/>
      <c r="G142" s="427"/>
      <c r="H142" s="427"/>
      <c r="I142" s="424">
        <f t="shared" si="133"/>
        <v>2852808.5639999998</v>
      </c>
      <c r="J142" s="424">
        <v>200000</v>
      </c>
      <c r="K142" s="424">
        <v>0.2</v>
      </c>
      <c r="L142" s="424">
        <f t="shared" si="121"/>
        <v>570561.71279999998</v>
      </c>
      <c r="M142" s="424">
        <f t="shared" si="122"/>
        <v>770561.71279999998</v>
      </c>
      <c r="N142" s="424">
        <f t="shared" si="123"/>
        <v>770561.71279999998</v>
      </c>
      <c r="O142" s="424">
        <f t="shared" si="124"/>
        <v>2082246.8511999999</v>
      </c>
      <c r="P142" s="424">
        <f t="shared" si="125"/>
        <v>21000</v>
      </c>
      <c r="Q142" s="424">
        <f t="shared" si="126"/>
        <v>33000</v>
      </c>
      <c r="R142" s="424">
        <f t="shared" si="127"/>
        <v>75000</v>
      </c>
      <c r="S142" s="424">
        <f t="shared" si="128"/>
        <v>95000</v>
      </c>
      <c r="T142" s="424">
        <f t="shared" si="129"/>
        <v>101271.838752</v>
      </c>
      <c r="U142" s="424"/>
      <c r="V142" s="424">
        <f t="shared" si="135"/>
        <v>325271.83875200001</v>
      </c>
      <c r="W142" s="431">
        <v>12</v>
      </c>
      <c r="X142" s="424">
        <f t="shared" si="130"/>
        <v>27105.986562666702</v>
      </c>
      <c r="Y142" s="427"/>
      <c r="Z142" s="424">
        <f t="shared" si="131"/>
        <v>27105.986562666702</v>
      </c>
      <c r="AA142" s="179">
        <v>27105.986562666702</v>
      </c>
      <c r="AB142" s="179">
        <f t="shared" si="134"/>
        <v>-3.2741809263825397E-11</v>
      </c>
      <c r="AC142" s="179"/>
      <c r="AD142" s="179"/>
      <c r="AE142" s="179"/>
    </row>
    <row r="143" spans="1:31" ht="18" x14ac:dyDescent="0.15">
      <c r="A143" s="498">
        <v>126</v>
      </c>
      <c r="B143" s="9" t="s">
        <v>291</v>
      </c>
      <c r="C143" s="424">
        <v>242300.07750000001</v>
      </c>
      <c r="D143" s="423">
        <v>12</v>
      </c>
      <c r="E143" s="424">
        <f t="shared" si="132"/>
        <v>2907600.93</v>
      </c>
      <c r="F143" s="424">
        <f>469.4825*12</f>
        <v>5633.79</v>
      </c>
      <c r="G143" s="427"/>
      <c r="H143" s="427"/>
      <c r="I143" s="424">
        <f t="shared" si="133"/>
        <v>2901967.14</v>
      </c>
      <c r="J143" s="424">
        <v>200000</v>
      </c>
      <c r="K143" s="424">
        <v>0.2</v>
      </c>
      <c r="L143" s="424">
        <f t="shared" si="121"/>
        <v>580393.42799999996</v>
      </c>
      <c r="M143" s="424">
        <f t="shared" si="122"/>
        <v>780393.42799999996</v>
      </c>
      <c r="N143" s="424">
        <f t="shared" si="123"/>
        <v>786027.21799999999</v>
      </c>
      <c r="O143" s="424">
        <f t="shared" si="124"/>
        <v>2121573.7119999998</v>
      </c>
      <c r="P143" s="424">
        <f t="shared" si="125"/>
        <v>21000</v>
      </c>
      <c r="Q143" s="424">
        <f t="shared" si="126"/>
        <v>33000</v>
      </c>
      <c r="R143" s="424">
        <f t="shared" si="127"/>
        <v>75000</v>
      </c>
      <c r="S143" s="424">
        <f t="shared" si="128"/>
        <v>95000</v>
      </c>
      <c r="T143" s="424">
        <f t="shared" si="129"/>
        <v>109530.47951999999</v>
      </c>
      <c r="U143" s="424"/>
      <c r="V143" s="424">
        <f t="shared" si="135"/>
        <v>333530.47951999999</v>
      </c>
      <c r="W143" s="431">
        <v>12</v>
      </c>
      <c r="X143" s="424">
        <f t="shared" si="130"/>
        <v>27794.206626666699</v>
      </c>
      <c r="Y143" s="427"/>
      <c r="Z143" s="424">
        <f t="shared" si="131"/>
        <v>27794.206626666699</v>
      </c>
      <c r="AA143" s="510">
        <v>27794.206626666699</v>
      </c>
      <c r="AB143" s="179">
        <f t="shared" si="134"/>
        <v>-2.91038304567337E-11</v>
      </c>
      <c r="AC143" s="179"/>
      <c r="AD143" s="179"/>
      <c r="AE143" s="179"/>
    </row>
    <row r="144" spans="1:31" ht="18" x14ac:dyDescent="0.15">
      <c r="A144" s="498">
        <v>127</v>
      </c>
      <c r="B144" s="9" t="s">
        <v>293</v>
      </c>
      <c r="C144" s="424">
        <v>242300.07750000001</v>
      </c>
      <c r="D144" s="423">
        <v>12</v>
      </c>
      <c r="E144" s="424">
        <f t="shared" si="132"/>
        <v>2907600.93</v>
      </c>
      <c r="F144" s="424"/>
      <c r="G144" s="427"/>
      <c r="H144" s="427"/>
      <c r="I144" s="424">
        <f t="shared" si="133"/>
        <v>2907600.93</v>
      </c>
      <c r="J144" s="424">
        <v>200000</v>
      </c>
      <c r="K144" s="424">
        <v>0.2</v>
      </c>
      <c r="L144" s="424">
        <f t="shared" si="121"/>
        <v>581520.18599999999</v>
      </c>
      <c r="M144" s="424">
        <f t="shared" si="122"/>
        <v>781520.18599999999</v>
      </c>
      <c r="N144" s="424">
        <f t="shared" si="123"/>
        <v>781520.18599999999</v>
      </c>
      <c r="O144" s="424">
        <f t="shared" si="124"/>
        <v>2126080.7439999999</v>
      </c>
      <c r="P144" s="424">
        <f t="shared" si="125"/>
        <v>21000</v>
      </c>
      <c r="Q144" s="424">
        <f t="shared" si="126"/>
        <v>33000</v>
      </c>
      <c r="R144" s="424">
        <f t="shared" si="127"/>
        <v>75000</v>
      </c>
      <c r="S144" s="424">
        <f t="shared" si="128"/>
        <v>95000</v>
      </c>
      <c r="T144" s="424">
        <f t="shared" si="129"/>
        <v>110476.95624</v>
      </c>
      <c r="U144" s="424"/>
      <c r="V144" s="424">
        <f t="shared" si="135"/>
        <v>334476.95624000003</v>
      </c>
      <c r="W144" s="431">
        <v>12</v>
      </c>
      <c r="X144" s="424">
        <f t="shared" si="130"/>
        <v>27873.079686666701</v>
      </c>
      <c r="Y144" s="427"/>
      <c r="Z144" s="424">
        <f t="shared" si="131"/>
        <v>27873.079686666701</v>
      </c>
      <c r="AA144" s="179">
        <v>27873.079686666701</v>
      </c>
      <c r="AB144" s="179">
        <f t="shared" si="134"/>
        <v>-3.6379788070917097E-11</v>
      </c>
      <c r="AC144" s="179"/>
      <c r="AD144" s="179"/>
      <c r="AE144" s="179"/>
    </row>
    <row r="145" spans="1:31" ht="18" x14ac:dyDescent="0.15">
      <c r="A145" s="498">
        <v>128</v>
      </c>
      <c r="B145" s="9" t="s">
        <v>294</v>
      </c>
      <c r="C145" s="424">
        <v>237734.04699999999</v>
      </c>
      <c r="D145" s="423">
        <v>12</v>
      </c>
      <c r="E145" s="424">
        <f t="shared" si="132"/>
        <v>2852808.5639999998</v>
      </c>
      <c r="F145" s="424"/>
      <c r="G145" s="427"/>
      <c r="H145" s="427"/>
      <c r="I145" s="424">
        <f t="shared" si="133"/>
        <v>2852808.5639999998</v>
      </c>
      <c r="J145" s="424">
        <v>200000</v>
      </c>
      <c r="K145" s="424">
        <v>0.2</v>
      </c>
      <c r="L145" s="424">
        <f t="shared" si="121"/>
        <v>570561.71279999998</v>
      </c>
      <c r="M145" s="424">
        <f t="shared" si="122"/>
        <v>770561.71279999998</v>
      </c>
      <c r="N145" s="424">
        <f t="shared" si="123"/>
        <v>770561.71279999998</v>
      </c>
      <c r="O145" s="424">
        <f t="shared" si="124"/>
        <v>2082246.8511999999</v>
      </c>
      <c r="P145" s="424">
        <f t="shared" si="125"/>
        <v>21000</v>
      </c>
      <c r="Q145" s="424">
        <f t="shared" si="126"/>
        <v>33000</v>
      </c>
      <c r="R145" s="424">
        <f t="shared" si="127"/>
        <v>75000</v>
      </c>
      <c r="S145" s="424">
        <f t="shared" si="128"/>
        <v>95000</v>
      </c>
      <c r="T145" s="424">
        <f t="shared" si="129"/>
        <v>101271.838752</v>
      </c>
      <c r="U145" s="424"/>
      <c r="V145" s="424">
        <f t="shared" si="135"/>
        <v>325271.83875200001</v>
      </c>
      <c r="W145" s="431">
        <v>12</v>
      </c>
      <c r="X145" s="424">
        <f t="shared" si="130"/>
        <v>27105.986562666702</v>
      </c>
      <c r="Y145" s="427"/>
      <c r="Z145" s="424">
        <f t="shared" si="131"/>
        <v>27105.986562666702</v>
      </c>
      <c r="AA145" s="179">
        <v>27105.986562666702</v>
      </c>
      <c r="AB145" s="179">
        <f t="shared" si="134"/>
        <v>-3.2741809263825397E-11</v>
      </c>
      <c r="AC145" s="179"/>
      <c r="AD145" s="179"/>
      <c r="AE145" s="179"/>
    </row>
    <row r="146" spans="1:31" ht="31.5" x14ac:dyDescent="0.2">
      <c r="A146" s="498">
        <v>129</v>
      </c>
      <c r="B146" s="9" t="s">
        <v>296</v>
      </c>
      <c r="C146" s="424">
        <v>209356.04725</v>
      </c>
      <c r="D146" s="423">
        <v>12</v>
      </c>
      <c r="E146" s="424">
        <f t="shared" si="132"/>
        <v>2512272.5669999998</v>
      </c>
      <c r="F146" s="424"/>
      <c r="G146" s="427"/>
      <c r="H146" s="427"/>
      <c r="I146" s="424">
        <f t="shared" si="133"/>
        <v>2512272.5669999998</v>
      </c>
      <c r="J146" s="424">
        <v>200000</v>
      </c>
      <c r="K146" s="424">
        <v>0.2</v>
      </c>
      <c r="L146" s="424">
        <f t="shared" si="121"/>
        <v>502454.5134</v>
      </c>
      <c r="M146" s="424">
        <f t="shared" si="122"/>
        <v>702454.51340000005</v>
      </c>
      <c r="N146" s="424">
        <f t="shared" si="123"/>
        <v>702454.51340000005</v>
      </c>
      <c r="O146" s="424">
        <f t="shared" si="124"/>
        <v>1809818.0536</v>
      </c>
      <c r="P146" s="424">
        <f t="shared" si="125"/>
        <v>21000</v>
      </c>
      <c r="Q146" s="424">
        <f t="shared" si="126"/>
        <v>33000</v>
      </c>
      <c r="R146" s="424">
        <f t="shared" si="127"/>
        <v>75000</v>
      </c>
      <c r="S146" s="424">
        <f t="shared" si="128"/>
        <v>95000</v>
      </c>
      <c r="T146" s="424">
        <f t="shared" si="129"/>
        <v>44061.791255999902</v>
      </c>
      <c r="U146" s="424"/>
      <c r="V146" s="424">
        <f t="shared" si="135"/>
        <v>268061.791256</v>
      </c>
      <c r="W146" s="431">
        <v>12</v>
      </c>
      <c r="X146" s="424">
        <f t="shared" si="130"/>
        <v>22338.4826046667</v>
      </c>
      <c r="Y146" s="427"/>
      <c r="Z146" s="424">
        <f t="shared" si="131"/>
        <v>22338.4826046667</v>
      </c>
      <c r="AA146" s="179">
        <v>22338.4826046667</v>
      </c>
      <c r="AB146" s="179">
        <f t="shared" si="134"/>
        <v>-4.0017766878008797E-11</v>
      </c>
      <c r="AC146" s="179"/>
      <c r="AD146" s="179"/>
      <c r="AE146" s="179"/>
    </row>
    <row r="147" spans="1:31" ht="18" x14ac:dyDescent="0.15">
      <c r="A147" s="498">
        <v>130</v>
      </c>
      <c r="B147" s="9" t="s">
        <v>298</v>
      </c>
      <c r="C147" s="424">
        <v>237734.04699999999</v>
      </c>
      <c r="D147" s="423">
        <v>12</v>
      </c>
      <c r="E147" s="424">
        <f t="shared" si="132"/>
        <v>2852808.5639999998</v>
      </c>
      <c r="F147" s="424"/>
      <c r="G147" s="427"/>
      <c r="H147" s="427"/>
      <c r="I147" s="424">
        <f t="shared" si="133"/>
        <v>2852808.5639999998</v>
      </c>
      <c r="J147" s="424">
        <v>200000</v>
      </c>
      <c r="K147" s="424">
        <v>0.2</v>
      </c>
      <c r="L147" s="424">
        <f t="shared" si="121"/>
        <v>570561.71279999998</v>
      </c>
      <c r="M147" s="424">
        <f t="shared" si="122"/>
        <v>770561.71279999998</v>
      </c>
      <c r="N147" s="424">
        <f t="shared" si="123"/>
        <v>770561.71279999998</v>
      </c>
      <c r="O147" s="424">
        <f t="shared" si="124"/>
        <v>2082246.8511999999</v>
      </c>
      <c r="P147" s="424">
        <f t="shared" si="125"/>
        <v>21000</v>
      </c>
      <c r="Q147" s="424">
        <f t="shared" si="126"/>
        <v>33000</v>
      </c>
      <c r="R147" s="424">
        <f t="shared" si="127"/>
        <v>75000</v>
      </c>
      <c r="S147" s="424">
        <f t="shared" si="128"/>
        <v>95000</v>
      </c>
      <c r="T147" s="424">
        <f t="shared" si="129"/>
        <v>101271.838752</v>
      </c>
      <c r="U147" s="424"/>
      <c r="V147" s="424">
        <f t="shared" si="135"/>
        <v>325271.83875200001</v>
      </c>
      <c r="W147" s="431">
        <v>12</v>
      </c>
      <c r="X147" s="424">
        <f t="shared" si="130"/>
        <v>27105.986562666702</v>
      </c>
      <c r="Y147" s="427"/>
      <c r="Z147" s="424">
        <f t="shared" si="131"/>
        <v>27105.986562666702</v>
      </c>
      <c r="AA147" s="179">
        <v>27105.986562666702</v>
      </c>
      <c r="AB147" s="179">
        <f t="shared" si="134"/>
        <v>-3.2741809263825397E-11</v>
      </c>
      <c r="AC147" s="179"/>
      <c r="AD147" s="179"/>
      <c r="AE147" s="179"/>
    </row>
    <row r="148" spans="1:31" ht="18" x14ac:dyDescent="0.15">
      <c r="A148" s="498">
        <v>131</v>
      </c>
      <c r="B148" s="9" t="s">
        <v>301</v>
      </c>
      <c r="C148" s="424">
        <v>213508.01</v>
      </c>
      <c r="D148" s="423">
        <v>12</v>
      </c>
      <c r="E148" s="424">
        <f t="shared" si="132"/>
        <v>2562096.12</v>
      </c>
      <c r="F148" s="424"/>
      <c r="G148" s="427"/>
      <c r="H148" s="427"/>
      <c r="I148" s="424">
        <f t="shared" si="133"/>
        <v>2562096.12</v>
      </c>
      <c r="J148" s="424">
        <v>200000</v>
      </c>
      <c r="K148" s="424">
        <v>0.2</v>
      </c>
      <c r="L148" s="424">
        <f t="shared" si="121"/>
        <v>512419.22399999999</v>
      </c>
      <c r="M148" s="424">
        <f t="shared" si="122"/>
        <v>712419.22400000005</v>
      </c>
      <c r="N148" s="424">
        <f t="shared" si="123"/>
        <v>712419.22400000005</v>
      </c>
      <c r="O148" s="424">
        <f t="shared" si="124"/>
        <v>1849676.8959999999</v>
      </c>
      <c r="P148" s="424">
        <f t="shared" si="125"/>
        <v>21000</v>
      </c>
      <c r="Q148" s="424">
        <f t="shared" si="126"/>
        <v>33000</v>
      </c>
      <c r="R148" s="424">
        <f t="shared" si="127"/>
        <v>75000</v>
      </c>
      <c r="S148" s="424">
        <f t="shared" si="128"/>
        <v>95000</v>
      </c>
      <c r="T148" s="424">
        <f t="shared" si="129"/>
        <v>52432.148159999997</v>
      </c>
      <c r="U148" s="424"/>
      <c r="V148" s="424">
        <f t="shared" si="135"/>
        <v>276432.14815999998</v>
      </c>
      <c r="W148" s="431">
        <v>12</v>
      </c>
      <c r="X148" s="424">
        <f t="shared" si="130"/>
        <v>23036.012346666699</v>
      </c>
      <c r="Y148" s="427"/>
      <c r="Z148" s="424">
        <f t="shared" si="131"/>
        <v>23036.012346666699</v>
      </c>
      <c r="AA148" s="179">
        <v>23036.012346666699</v>
      </c>
      <c r="AB148" s="179">
        <f t="shared" si="134"/>
        <v>-2.91038304567337E-11</v>
      </c>
      <c r="AC148" s="179"/>
      <c r="AD148" s="179"/>
      <c r="AE148" s="179"/>
    </row>
    <row r="149" spans="1:31" ht="18" x14ac:dyDescent="0.15">
      <c r="A149" s="498">
        <v>132</v>
      </c>
      <c r="B149" s="9" t="s">
        <v>303</v>
      </c>
      <c r="C149" s="424">
        <v>237734.04699999999</v>
      </c>
      <c r="D149" s="423">
        <v>12</v>
      </c>
      <c r="E149" s="424">
        <f t="shared" si="132"/>
        <v>2852808.5639999998</v>
      </c>
      <c r="F149" s="424">
        <f>457.041*12</f>
        <v>5484.4920000000002</v>
      </c>
      <c r="G149" s="427"/>
      <c r="H149" s="427"/>
      <c r="I149" s="424">
        <f t="shared" si="133"/>
        <v>2847324.0720000002</v>
      </c>
      <c r="J149" s="424">
        <v>200000</v>
      </c>
      <c r="K149" s="424">
        <v>0.2</v>
      </c>
      <c r="L149" s="424">
        <f t="shared" si="121"/>
        <v>569464.81440000003</v>
      </c>
      <c r="M149" s="424">
        <f t="shared" si="122"/>
        <v>769464.81440000003</v>
      </c>
      <c r="N149" s="424">
        <f t="shared" si="123"/>
        <v>774949.3064</v>
      </c>
      <c r="O149" s="424">
        <f t="shared" si="124"/>
        <v>2077859.2575999999</v>
      </c>
      <c r="P149" s="424">
        <f t="shared" si="125"/>
        <v>21000</v>
      </c>
      <c r="Q149" s="424">
        <f t="shared" si="126"/>
        <v>33000</v>
      </c>
      <c r="R149" s="424">
        <f t="shared" si="127"/>
        <v>75000</v>
      </c>
      <c r="S149" s="424">
        <f t="shared" si="128"/>
        <v>95000</v>
      </c>
      <c r="T149" s="424">
        <f t="shared" si="129"/>
        <v>100350.44409600001</v>
      </c>
      <c r="U149" s="424"/>
      <c r="V149" s="424">
        <f t="shared" si="135"/>
        <v>324350.44409599999</v>
      </c>
      <c r="W149" s="431">
        <v>12</v>
      </c>
      <c r="X149" s="424">
        <f t="shared" si="130"/>
        <v>27029.2036746667</v>
      </c>
      <c r="Y149" s="427"/>
      <c r="Z149" s="424">
        <f t="shared" si="131"/>
        <v>27029.2036746667</v>
      </c>
      <c r="AA149" s="179">
        <v>27029.2036746667</v>
      </c>
      <c r="AB149" s="179">
        <f t="shared" si="134"/>
        <v>-3.2741809263825397E-11</v>
      </c>
      <c r="AC149" s="179"/>
      <c r="AD149" s="179"/>
      <c r="AE149" s="179"/>
    </row>
    <row r="150" spans="1:31" ht="18" x14ac:dyDescent="0.15">
      <c r="A150" s="498">
        <v>133</v>
      </c>
      <c r="B150" s="9" t="s">
        <v>305</v>
      </c>
      <c r="C150" s="424">
        <v>209356.04725</v>
      </c>
      <c r="D150" s="423">
        <v>12</v>
      </c>
      <c r="E150" s="424">
        <f t="shared" si="132"/>
        <v>2512272.5669999998</v>
      </c>
      <c r="F150" s="424"/>
      <c r="G150" s="427"/>
      <c r="H150" s="427"/>
      <c r="I150" s="424">
        <f t="shared" si="133"/>
        <v>2512272.5669999998</v>
      </c>
      <c r="J150" s="424">
        <v>200000</v>
      </c>
      <c r="K150" s="424">
        <v>0.2</v>
      </c>
      <c r="L150" s="424">
        <f t="shared" si="121"/>
        <v>502454.5134</v>
      </c>
      <c r="M150" s="424">
        <f t="shared" si="122"/>
        <v>702454.51340000005</v>
      </c>
      <c r="N150" s="424">
        <f t="shared" si="123"/>
        <v>702454.51340000005</v>
      </c>
      <c r="O150" s="424">
        <f t="shared" si="124"/>
        <v>1809818.0536</v>
      </c>
      <c r="P150" s="424">
        <f t="shared" si="125"/>
        <v>21000</v>
      </c>
      <c r="Q150" s="424">
        <f t="shared" si="126"/>
        <v>33000</v>
      </c>
      <c r="R150" s="424">
        <f t="shared" si="127"/>
        <v>75000</v>
      </c>
      <c r="S150" s="424">
        <f t="shared" si="128"/>
        <v>95000</v>
      </c>
      <c r="T150" s="424">
        <f t="shared" si="129"/>
        <v>44061.791255999902</v>
      </c>
      <c r="U150" s="424"/>
      <c r="V150" s="424">
        <f t="shared" si="135"/>
        <v>268061.791256</v>
      </c>
      <c r="W150" s="431">
        <v>12</v>
      </c>
      <c r="X150" s="424">
        <f t="shared" si="130"/>
        <v>22338.4826046667</v>
      </c>
      <c r="Y150" s="427"/>
      <c r="Z150" s="424">
        <f t="shared" si="131"/>
        <v>22338.4826046667</v>
      </c>
      <c r="AA150" s="179">
        <v>22338.4826046667</v>
      </c>
      <c r="AB150" s="179">
        <f t="shared" si="134"/>
        <v>-4.0017766878008797E-11</v>
      </c>
      <c r="AC150" s="179"/>
      <c r="AD150" s="179"/>
      <c r="AE150" s="179"/>
    </row>
    <row r="151" spans="1:31" ht="18" x14ac:dyDescent="0.15">
      <c r="A151" s="498">
        <v>134</v>
      </c>
      <c r="B151" s="16" t="s">
        <v>307</v>
      </c>
      <c r="C151" s="424">
        <v>205204.0845</v>
      </c>
      <c r="D151" s="423">
        <v>12</v>
      </c>
      <c r="E151" s="424">
        <f t="shared" si="132"/>
        <v>2462449.014</v>
      </c>
      <c r="F151" s="424"/>
      <c r="G151" s="427"/>
      <c r="H151" s="427"/>
      <c r="I151" s="424">
        <f t="shared" si="133"/>
        <v>2462449.014</v>
      </c>
      <c r="J151" s="424">
        <v>200000</v>
      </c>
      <c r="K151" s="424">
        <v>0.2</v>
      </c>
      <c r="L151" s="424">
        <f t="shared" si="121"/>
        <v>492489.8028</v>
      </c>
      <c r="M151" s="424">
        <f t="shared" si="122"/>
        <v>692489.80279999995</v>
      </c>
      <c r="N151" s="424">
        <f t="shared" si="123"/>
        <v>692489.80279999995</v>
      </c>
      <c r="O151" s="424">
        <f t="shared" si="124"/>
        <v>1769959.2112</v>
      </c>
      <c r="P151" s="424">
        <f t="shared" si="125"/>
        <v>21000</v>
      </c>
      <c r="Q151" s="424">
        <f t="shared" si="126"/>
        <v>33000</v>
      </c>
      <c r="R151" s="424">
        <f t="shared" si="127"/>
        <v>75000</v>
      </c>
      <c r="S151" s="424">
        <f t="shared" si="128"/>
        <v>95000</v>
      </c>
      <c r="T151" s="424">
        <f t="shared" si="129"/>
        <v>35691.434351999997</v>
      </c>
      <c r="U151" s="424"/>
      <c r="V151" s="424">
        <f t="shared" si="135"/>
        <v>259691.43435200001</v>
      </c>
      <c r="W151" s="431">
        <v>12</v>
      </c>
      <c r="X151" s="424">
        <f t="shared" si="130"/>
        <v>21640.952862666702</v>
      </c>
      <c r="Y151" s="427"/>
      <c r="Z151" s="424">
        <f t="shared" si="131"/>
        <v>21640.952862666702</v>
      </c>
      <c r="AA151" s="179">
        <v>21640.952862666702</v>
      </c>
      <c r="AB151" s="179">
        <f t="shared" si="134"/>
        <v>-3.2741809263825397E-11</v>
      </c>
      <c r="AC151" s="179"/>
      <c r="AD151" s="179"/>
      <c r="AE151" s="179"/>
    </row>
    <row r="152" spans="1:31" ht="18" x14ac:dyDescent="0.15">
      <c r="A152" s="498">
        <v>135</v>
      </c>
      <c r="B152" s="16" t="s">
        <v>312</v>
      </c>
      <c r="C152" s="424">
        <v>176816.1</v>
      </c>
      <c r="D152" s="423">
        <v>12</v>
      </c>
      <c r="E152" s="424">
        <f t="shared" si="132"/>
        <v>2121793.2000000002</v>
      </c>
      <c r="F152" s="424">
        <v>0</v>
      </c>
      <c r="G152" s="427"/>
      <c r="H152" s="427"/>
      <c r="I152" s="424">
        <f t="shared" si="133"/>
        <v>2121793.2000000002</v>
      </c>
      <c r="J152" s="424">
        <v>200000</v>
      </c>
      <c r="K152" s="424">
        <v>0.2</v>
      </c>
      <c r="L152" s="424">
        <f t="shared" si="121"/>
        <v>424358.64</v>
      </c>
      <c r="M152" s="424">
        <f t="shared" si="122"/>
        <v>624358.64</v>
      </c>
      <c r="N152" s="424">
        <f t="shared" si="123"/>
        <v>624358.64</v>
      </c>
      <c r="O152" s="424">
        <f t="shared" si="124"/>
        <v>1497434.56</v>
      </c>
      <c r="P152" s="424">
        <f t="shared" si="125"/>
        <v>21000</v>
      </c>
      <c r="Q152" s="424">
        <f t="shared" si="126"/>
        <v>33000</v>
      </c>
      <c r="R152" s="424">
        <f t="shared" si="127"/>
        <v>75000</v>
      </c>
      <c r="S152" s="424">
        <f t="shared" si="128"/>
        <v>75512.566399999996</v>
      </c>
      <c r="T152" s="424">
        <f t="shared" si="129"/>
        <v>0</v>
      </c>
      <c r="U152" s="424"/>
      <c r="V152" s="424">
        <f t="shared" si="135"/>
        <v>204512.56640000001</v>
      </c>
      <c r="W152" s="431">
        <v>12</v>
      </c>
      <c r="X152" s="424">
        <f t="shared" si="130"/>
        <v>17042.713866666702</v>
      </c>
      <c r="Y152" s="427"/>
      <c r="Z152" s="424">
        <f t="shared" si="131"/>
        <v>17042.713866666702</v>
      </c>
      <c r="AA152" s="179">
        <v>17042.713866666702</v>
      </c>
      <c r="AB152" s="179">
        <f t="shared" si="134"/>
        <v>-3.2741809263825397E-11</v>
      </c>
      <c r="AC152" s="179"/>
      <c r="AD152" s="179"/>
      <c r="AE152" s="179"/>
    </row>
    <row r="153" spans="1:31" ht="18" x14ac:dyDescent="0.15">
      <c r="A153" s="498">
        <v>136</v>
      </c>
      <c r="B153" s="16" t="s">
        <v>314</v>
      </c>
      <c r="C153" s="424">
        <v>176816.1</v>
      </c>
      <c r="D153" s="423">
        <v>12</v>
      </c>
      <c r="E153" s="424">
        <f t="shared" si="132"/>
        <v>2121793.2000000002</v>
      </c>
      <c r="F153" s="424">
        <v>0</v>
      </c>
      <c r="G153" s="427"/>
      <c r="H153" s="427"/>
      <c r="I153" s="424">
        <f t="shared" si="133"/>
        <v>2121793.2000000002</v>
      </c>
      <c r="J153" s="424">
        <v>200000</v>
      </c>
      <c r="K153" s="424">
        <v>0.2</v>
      </c>
      <c r="L153" s="424">
        <f t="shared" si="121"/>
        <v>424358.64</v>
      </c>
      <c r="M153" s="424">
        <f t="shared" si="122"/>
        <v>624358.64</v>
      </c>
      <c r="N153" s="424">
        <f t="shared" si="123"/>
        <v>624358.64</v>
      </c>
      <c r="O153" s="424">
        <f t="shared" si="124"/>
        <v>1497434.56</v>
      </c>
      <c r="P153" s="424">
        <f t="shared" si="125"/>
        <v>21000</v>
      </c>
      <c r="Q153" s="424">
        <f t="shared" si="126"/>
        <v>33000</v>
      </c>
      <c r="R153" s="424">
        <f t="shared" si="127"/>
        <v>75000</v>
      </c>
      <c r="S153" s="424">
        <f t="shared" si="128"/>
        <v>75512.566399999996</v>
      </c>
      <c r="T153" s="424">
        <f t="shared" si="129"/>
        <v>0</v>
      </c>
      <c r="U153" s="424"/>
      <c r="V153" s="424">
        <f t="shared" si="135"/>
        <v>204512.56640000001</v>
      </c>
      <c r="W153" s="431">
        <v>12</v>
      </c>
      <c r="X153" s="424">
        <f t="shared" si="130"/>
        <v>17042.713866666702</v>
      </c>
      <c r="Y153" s="427"/>
      <c r="Z153" s="424">
        <f t="shared" si="131"/>
        <v>17042.713866666702</v>
      </c>
      <c r="AA153" s="179">
        <v>17042.713866666702</v>
      </c>
      <c r="AB153" s="179">
        <f t="shared" si="134"/>
        <v>-3.2741809263825397E-11</v>
      </c>
      <c r="AC153" s="179"/>
      <c r="AD153" s="179"/>
      <c r="AE153" s="179"/>
    </row>
    <row r="154" spans="1:31" ht="31.5" x14ac:dyDescent="0.2">
      <c r="A154" s="498">
        <v>137</v>
      </c>
      <c r="B154" s="16" t="s">
        <v>316</v>
      </c>
      <c r="C154" s="424">
        <v>176816.1</v>
      </c>
      <c r="D154" s="423">
        <v>12</v>
      </c>
      <c r="E154" s="424">
        <f t="shared" si="132"/>
        <v>2121793.2000000002</v>
      </c>
      <c r="F154" s="424">
        <v>0</v>
      </c>
      <c r="G154" s="427"/>
      <c r="H154" s="427"/>
      <c r="I154" s="424">
        <f t="shared" si="133"/>
        <v>2121793.2000000002</v>
      </c>
      <c r="J154" s="424">
        <v>200000</v>
      </c>
      <c r="K154" s="424">
        <v>0.2</v>
      </c>
      <c r="L154" s="424">
        <f t="shared" si="121"/>
        <v>424358.64</v>
      </c>
      <c r="M154" s="424">
        <f t="shared" si="122"/>
        <v>624358.64</v>
      </c>
      <c r="N154" s="424">
        <f t="shared" si="123"/>
        <v>624358.64</v>
      </c>
      <c r="O154" s="424">
        <f t="shared" si="124"/>
        <v>1497434.56</v>
      </c>
      <c r="P154" s="424">
        <f t="shared" si="125"/>
        <v>21000</v>
      </c>
      <c r="Q154" s="424">
        <f t="shared" si="126"/>
        <v>33000</v>
      </c>
      <c r="R154" s="424">
        <f t="shared" si="127"/>
        <v>75000</v>
      </c>
      <c r="S154" s="424">
        <f t="shared" si="128"/>
        <v>75512.566399999996</v>
      </c>
      <c r="T154" s="424">
        <f t="shared" si="129"/>
        <v>0</v>
      </c>
      <c r="U154" s="424"/>
      <c r="V154" s="424">
        <f t="shared" si="135"/>
        <v>204512.56640000001</v>
      </c>
      <c r="W154" s="431">
        <v>12</v>
      </c>
      <c r="X154" s="424">
        <f t="shared" si="130"/>
        <v>17042.713866666702</v>
      </c>
      <c r="Y154" s="427"/>
      <c r="Z154" s="424">
        <f t="shared" si="131"/>
        <v>17042.713866666702</v>
      </c>
      <c r="AA154" s="179">
        <v>17042.713866666702</v>
      </c>
      <c r="AB154" s="179">
        <f t="shared" si="134"/>
        <v>-3.2741809263825397E-11</v>
      </c>
      <c r="AC154" s="179"/>
      <c r="AD154" s="179"/>
      <c r="AE154" s="179"/>
    </row>
    <row r="155" spans="1:31" ht="18" x14ac:dyDescent="0.15">
      <c r="A155" s="498">
        <v>138</v>
      </c>
      <c r="B155" s="16" t="s">
        <v>318</v>
      </c>
      <c r="C155" s="424">
        <v>180304.068</v>
      </c>
      <c r="D155" s="423">
        <v>12</v>
      </c>
      <c r="E155" s="424">
        <f t="shared" si="132"/>
        <v>2163648.8160000001</v>
      </c>
      <c r="F155" s="424">
        <v>0</v>
      </c>
      <c r="G155" s="427"/>
      <c r="H155" s="427"/>
      <c r="I155" s="424">
        <f t="shared" si="133"/>
        <v>2163648.8160000001</v>
      </c>
      <c r="J155" s="424">
        <v>200000</v>
      </c>
      <c r="K155" s="424">
        <v>0.2</v>
      </c>
      <c r="L155" s="424">
        <f t="shared" si="121"/>
        <v>432729.76319999999</v>
      </c>
      <c r="M155" s="424">
        <f t="shared" si="122"/>
        <v>632729.76320000004</v>
      </c>
      <c r="N155" s="424">
        <f t="shared" si="123"/>
        <v>632729.76320000004</v>
      </c>
      <c r="O155" s="424">
        <f t="shared" si="124"/>
        <v>1530919.0527999999</v>
      </c>
      <c r="P155" s="424">
        <f t="shared" si="125"/>
        <v>21000</v>
      </c>
      <c r="Q155" s="424">
        <f t="shared" si="126"/>
        <v>33000</v>
      </c>
      <c r="R155" s="424">
        <f t="shared" si="127"/>
        <v>75000</v>
      </c>
      <c r="S155" s="424">
        <f t="shared" si="128"/>
        <v>81874.620032000006</v>
      </c>
      <c r="T155" s="424">
        <f t="shared" si="129"/>
        <v>0</v>
      </c>
      <c r="U155" s="424"/>
      <c r="V155" s="424">
        <f t="shared" si="135"/>
        <v>210874.62003200001</v>
      </c>
      <c r="W155" s="431">
        <v>12</v>
      </c>
      <c r="X155" s="424">
        <f t="shared" si="130"/>
        <v>17572.885002666699</v>
      </c>
      <c r="Y155" s="427"/>
      <c r="Z155" s="424">
        <f t="shared" si="131"/>
        <v>17572.885002666699</v>
      </c>
      <c r="AA155" s="179">
        <v>17572.885002666699</v>
      </c>
      <c r="AB155" s="179">
        <f t="shared" si="134"/>
        <v>-2.91038304567337E-11</v>
      </c>
      <c r="AC155" s="179"/>
      <c r="AD155" s="179"/>
      <c r="AE155" s="179"/>
    </row>
    <row r="156" spans="1:31" ht="18" x14ac:dyDescent="0.15">
      <c r="A156" s="498">
        <v>139</v>
      </c>
      <c r="B156" s="16" t="s">
        <v>320</v>
      </c>
      <c r="C156" s="424">
        <v>176816.1</v>
      </c>
      <c r="D156" s="423">
        <v>12</v>
      </c>
      <c r="E156" s="424">
        <f t="shared" si="132"/>
        <v>2121793.2000000002</v>
      </c>
      <c r="F156" s="424">
        <v>0</v>
      </c>
      <c r="G156" s="427"/>
      <c r="H156" s="427"/>
      <c r="I156" s="424">
        <f t="shared" si="133"/>
        <v>2121793.2000000002</v>
      </c>
      <c r="J156" s="424">
        <v>200000</v>
      </c>
      <c r="K156" s="424">
        <v>0.2</v>
      </c>
      <c r="L156" s="424">
        <f t="shared" si="121"/>
        <v>424358.64</v>
      </c>
      <c r="M156" s="424">
        <f t="shared" si="122"/>
        <v>624358.64</v>
      </c>
      <c r="N156" s="424">
        <f t="shared" si="123"/>
        <v>624358.64</v>
      </c>
      <c r="O156" s="424">
        <f t="shared" si="124"/>
        <v>1497434.56</v>
      </c>
      <c r="P156" s="424">
        <f t="shared" si="125"/>
        <v>21000</v>
      </c>
      <c r="Q156" s="424">
        <f t="shared" si="126"/>
        <v>33000</v>
      </c>
      <c r="R156" s="424">
        <f t="shared" si="127"/>
        <v>75000</v>
      </c>
      <c r="S156" s="424">
        <f t="shared" si="128"/>
        <v>75512.566399999996</v>
      </c>
      <c r="T156" s="424">
        <f t="shared" si="129"/>
        <v>0</v>
      </c>
      <c r="U156" s="424"/>
      <c r="V156" s="424">
        <f t="shared" si="135"/>
        <v>204512.56640000001</v>
      </c>
      <c r="W156" s="431">
        <v>12</v>
      </c>
      <c r="X156" s="424">
        <f t="shared" si="130"/>
        <v>17042.713866666702</v>
      </c>
      <c r="Y156" s="427"/>
      <c r="Z156" s="424">
        <f t="shared" si="131"/>
        <v>17042.713866666702</v>
      </c>
      <c r="AA156" s="179">
        <v>17042.713866666702</v>
      </c>
      <c r="AB156" s="179">
        <f t="shared" si="134"/>
        <v>-3.2741809263825397E-11</v>
      </c>
      <c r="AC156" s="179"/>
      <c r="AD156" s="179"/>
      <c r="AE156" s="179"/>
    </row>
    <row r="157" spans="1:31" ht="18" x14ac:dyDescent="0.15">
      <c r="A157" s="498">
        <v>140</v>
      </c>
      <c r="B157" s="9" t="s">
        <v>329</v>
      </c>
      <c r="C157" s="424">
        <v>135590.73000000001</v>
      </c>
      <c r="D157" s="423">
        <v>12</v>
      </c>
      <c r="E157" s="424">
        <f t="shared" si="132"/>
        <v>1627088.76</v>
      </c>
      <c r="F157" s="424">
        <f>263.19*12</f>
        <v>3158.28</v>
      </c>
      <c r="G157" s="427"/>
      <c r="H157" s="427"/>
      <c r="I157" s="424">
        <f t="shared" si="133"/>
        <v>1623930.48</v>
      </c>
      <c r="J157" s="424">
        <v>200000</v>
      </c>
      <c r="K157" s="424">
        <v>0.2</v>
      </c>
      <c r="L157" s="424">
        <f t="shared" si="121"/>
        <v>324786.09600000002</v>
      </c>
      <c r="M157" s="424">
        <f t="shared" si="122"/>
        <v>524786.09600000002</v>
      </c>
      <c r="N157" s="424">
        <f t="shared" si="123"/>
        <v>527944.37600000005</v>
      </c>
      <c r="O157" s="424">
        <f t="shared" si="124"/>
        <v>1099144.3840000001</v>
      </c>
      <c r="P157" s="424">
        <f t="shared" si="125"/>
        <v>21000</v>
      </c>
      <c r="Q157" s="424">
        <f t="shared" si="126"/>
        <v>33000</v>
      </c>
      <c r="R157" s="424">
        <f t="shared" si="127"/>
        <v>74871.657600000006</v>
      </c>
      <c r="S157" s="424">
        <f t="shared" si="128"/>
        <v>0</v>
      </c>
      <c r="T157" s="424">
        <f t="shared" si="129"/>
        <v>0</v>
      </c>
      <c r="U157" s="424"/>
      <c r="V157" s="424">
        <f t="shared" si="135"/>
        <v>128871.65760000001</v>
      </c>
      <c r="W157" s="431">
        <v>12</v>
      </c>
      <c r="X157" s="424">
        <f t="shared" si="130"/>
        <v>10739.3048</v>
      </c>
      <c r="Y157" s="427"/>
      <c r="Z157" s="424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" x14ac:dyDescent="0.15">
      <c r="A158" s="498">
        <v>141</v>
      </c>
      <c r="B158" s="9" t="s">
        <v>332</v>
      </c>
      <c r="C158" s="424">
        <v>138590.73000000001</v>
      </c>
      <c r="D158" s="423">
        <v>12</v>
      </c>
      <c r="E158" s="424">
        <f t="shared" si="132"/>
        <v>1663088.76</v>
      </c>
      <c r="F158" s="424"/>
      <c r="G158" s="427"/>
      <c r="H158" s="427"/>
      <c r="I158" s="424">
        <f t="shared" si="133"/>
        <v>1663088.76</v>
      </c>
      <c r="J158" s="424">
        <v>200000</v>
      </c>
      <c r="K158" s="424">
        <v>0.2</v>
      </c>
      <c r="L158" s="424">
        <f t="shared" si="121"/>
        <v>332617.75199999998</v>
      </c>
      <c r="M158" s="424">
        <f t="shared" si="122"/>
        <v>532617.75199999998</v>
      </c>
      <c r="N158" s="424">
        <f t="shared" si="123"/>
        <v>532617.75199999998</v>
      </c>
      <c r="O158" s="424">
        <f t="shared" si="124"/>
        <v>1130471.0079999999</v>
      </c>
      <c r="P158" s="424">
        <f t="shared" si="125"/>
        <v>21000</v>
      </c>
      <c r="Q158" s="424">
        <f t="shared" si="126"/>
        <v>33000</v>
      </c>
      <c r="R158" s="424">
        <f t="shared" si="127"/>
        <v>75000</v>
      </c>
      <c r="S158" s="424">
        <f t="shared" si="128"/>
        <v>5789.4915200000296</v>
      </c>
      <c r="T158" s="424">
        <f t="shared" si="129"/>
        <v>0</v>
      </c>
      <c r="U158" s="424"/>
      <c r="V158" s="424">
        <f t="shared" si="135"/>
        <v>134789.49152000001</v>
      </c>
      <c r="W158" s="431">
        <v>12</v>
      </c>
      <c r="X158" s="424">
        <f t="shared" si="130"/>
        <v>11232.457626666701</v>
      </c>
      <c r="Y158" s="427"/>
      <c r="Z158" s="424">
        <f t="shared" si="131"/>
        <v>11232.457626666701</v>
      </c>
      <c r="AA158" s="179">
        <v>11232.457626666701</v>
      </c>
      <c r="AB158" s="179">
        <f t="shared" si="134"/>
        <v>-3.0922819860279599E-11</v>
      </c>
      <c r="AC158" s="179"/>
      <c r="AD158" s="179"/>
      <c r="AE158" s="179"/>
    </row>
    <row r="159" spans="1:31" ht="15.75" customHeight="1" x14ac:dyDescent="0.15">
      <c r="A159" s="498">
        <v>142</v>
      </c>
      <c r="B159" s="9" t="s">
        <v>333</v>
      </c>
      <c r="C159" s="424">
        <v>135590.73000000001</v>
      </c>
      <c r="D159" s="423">
        <v>12</v>
      </c>
      <c r="E159" s="424">
        <f t="shared" si="132"/>
        <v>1627088.76</v>
      </c>
      <c r="F159" s="424"/>
      <c r="G159" s="427"/>
      <c r="H159" s="427"/>
      <c r="I159" s="424">
        <f t="shared" si="133"/>
        <v>1627088.76</v>
      </c>
      <c r="J159" s="424">
        <v>200000</v>
      </c>
      <c r="K159" s="424">
        <v>0.2</v>
      </c>
      <c r="L159" s="424">
        <f t="shared" si="121"/>
        <v>325417.75199999998</v>
      </c>
      <c r="M159" s="424">
        <f t="shared" si="122"/>
        <v>525417.75199999998</v>
      </c>
      <c r="N159" s="424">
        <f t="shared" si="123"/>
        <v>525417.75199999998</v>
      </c>
      <c r="O159" s="424">
        <f t="shared" si="124"/>
        <v>1101671.0079999999</v>
      </c>
      <c r="P159" s="424">
        <f t="shared" si="125"/>
        <v>21000</v>
      </c>
      <c r="Q159" s="424">
        <f t="shared" si="126"/>
        <v>33000</v>
      </c>
      <c r="R159" s="424">
        <f t="shared" si="127"/>
        <v>75000</v>
      </c>
      <c r="S159" s="424">
        <f t="shared" si="128"/>
        <v>317.491520000028</v>
      </c>
      <c r="T159" s="424">
        <f t="shared" si="129"/>
        <v>0</v>
      </c>
      <c r="U159" s="424"/>
      <c r="V159" s="424">
        <f t="shared" si="135"/>
        <v>129317.49152</v>
      </c>
      <c r="W159" s="431">
        <v>12</v>
      </c>
      <c r="X159" s="424">
        <f t="shared" si="130"/>
        <v>10776.457626666701</v>
      </c>
      <c r="Y159" s="427"/>
      <c r="Z159" s="424">
        <f t="shared" si="131"/>
        <v>10776.457626666701</v>
      </c>
      <c r="AA159" s="179">
        <v>10776.457626666701</v>
      </c>
      <c r="AB159" s="179">
        <f t="shared" si="134"/>
        <v>-3.2741809263825397E-11</v>
      </c>
      <c r="AC159" s="179"/>
      <c r="AD159" s="179"/>
      <c r="AE159" s="179"/>
    </row>
    <row r="160" spans="1:31" s="494" customFormat="1" ht="18" x14ac:dyDescent="0.15">
      <c r="A160" s="502">
        <v>143</v>
      </c>
      <c r="B160" s="9" t="s">
        <v>334</v>
      </c>
      <c r="C160" s="424">
        <v>135590.73000000001</v>
      </c>
      <c r="D160" s="423">
        <v>12</v>
      </c>
      <c r="E160" s="424">
        <f t="shared" si="132"/>
        <v>1627088.76</v>
      </c>
      <c r="F160" s="424">
        <f>263.19*12</f>
        <v>3158.28</v>
      </c>
      <c r="G160" s="427"/>
      <c r="H160" s="427"/>
      <c r="I160" s="424">
        <f t="shared" si="133"/>
        <v>1623930.48</v>
      </c>
      <c r="J160" s="424">
        <v>200000</v>
      </c>
      <c r="K160" s="424">
        <v>0.2</v>
      </c>
      <c r="L160" s="424">
        <f t="shared" si="121"/>
        <v>324786.09600000002</v>
      </c>
      <c r="M160" s="424">
        <f t="shared" si="122"/>
        <v>524786.09600000002</v>
      </c>
      <c r="N160" s="424">
        <f t="shared" si="123"/>
        <v>527944.37600000005</v>
      </c>
      <c r="O160" s="424">
        <f t="shared" si="124"/>
        <v>1099144.3840000001</v>
      </c>
      <c r="P160" s="424">
        <f t="shared" si="125"/>
        <v>21000</v>
      </c>
      <c r="Q160" s="424">
        <f t="shared" si="126"/>
        <v>33000</v>
      </c>
      <c r="R160" s="424">
        <f t="shared" si="127"/>
        <v>74871.657600000006</v>
      </c>
      <c r="S160" s="424">
        <f t="shared" si="128"/>
        <v>0</v>
      </c>
      <c r="T160" s="424">
        <f t="shared" si="129"/>
        <v>0</v>
      </c>
      <c r="U160" s="424"/>
      <c r="V160" s="424">
        <f t="shared" si="135"/>
        <v>128871.65760000001</v>
      </c>
      <c r="W160" s="431">
        <v>12</v>
      </c>
      <c r="X160" s="424">
        <f t="shared" si="130"/>
        <v>10739.3048</v>
      </c>
      <c r="Y160" s="427"/>
      <c r="Z160" s="424">
        <f t="shared" si="131"/>
        <v>10739.3048</v>
      </c>
      <c r="AA160" s="179">
        <v>10739.3048</v>
      </c>
      <c r="AB160" s="179">
        <f t="shared" si="134"/>
        <v>0</v>
      </c>
      <c r="AC160" s="510"/>
      <c r="AD160" s="510"/>
      <c r="AE160" s="510"/>
    </row>
    <row r="161" spans="1:31" s="494" customFormat="1" ht="18" x14ac:dyDescent="0.15">
      <c r="A161" s="502">
        <v>144</v>
      </c>
      <c r="B161" s="9" t="s">
        <v>335</v>
      </c>
      <c r="C161" s="424">
        <v>135590.73000000001</v>
      </c>
      <c r="D161" s="423">
        <v>12</v>
      </c>
      <c r="E161" s="424">
        <f t="shared" si="132"/>
        <v>1627088.76</v>
      </c>
      <c r="F161" s="424"/>
      <c r="G161" s="427"/>
      <c r="H161" s="427"/>
      <c r="I161" s="424">
        <f t="shared" si="133"/>
        <v>1627088.76</v>
      </c>
      <c r="J161" s="424">
        <v>200000</v>
      </c>
      <c r="K161" s="424">
        <v>0.2</v>
      </c>
      <c r="L161" s="424">
        <f t="shared" si="121"/>
        <v>325417.75199999998</v>
      </c>
      <c r="M161" s="424">
        <f t="shared" si="122"/>
        <v>525417.75199999998</v>
      </c>
      <c r="N161" s="424">
        <f t="shared" si="123"/>
        <v>525417.75199999998</v>
      </c>
      <c r="O161" s="424">
        <f t="shared" si="124"/>
        <v>1101671.0079999999</v>
      </c>
      <c r="P161" s="424">
        <f t="shared" si="125"/>
        <v>21000</v>
      </c>
      <c r="Q161" s="424">
        <f t="shared" si="126"/>
        <v>33000</v>
      </c>
      <c r="R161" s="424">
        <f t="shared" si="127"/>
        <v>75000</v>
      </c>
      <c r="S161" s="424">
        <f t="shared" si="128"/>
        <v>317.491520000028</v>
      </c>
      <c r="T161" s="424">
        <f t="shared" si="129"/>
        <v>0</v>
      </c>
      <c r="U161" s="424"/>
      <c r="V161" s="424">
        <f t="shared" si="135"/>
        <v>129317.49152</v>
      </c>
      <c r="W161" s="431">
        <v>12</v>
      </c>
      <c r="X161" s="424">
        <f t="shared" si="130"/>
        <v>10776.457626666701</v>
      </c>
      <c r="Y161" s="427"/>
      <c r="Z161" s="424">
        <f t="shared" si="131"/>
        <v>10776.457626666701</v>
      </c>
      <c r="AA161" s="179">
        <v>10776.457626666701</v>
      </c>
      <c r="AB161" s="179">
        <f t="shared" si="134"/>
        <v>-3.2741809263825397E-11</v>
      </c>
      <c r="AC161" s="510"/>
      <c r="AD161" s="510"/>
      <c r="AE161" s="510"/>
    </row>
    <row r="162" spans="1:31" s="494" customFormat="1" ht="18" x14ac:dyDescent="0.15">
      <c r="A162" s="502">
        <v>145</v>
      </c>
      <c r="B162" s="9" t="s">
        <v>336</v>
      </c>
      <c r="C162" s="424">
        <v>138590.73000000001</v>
      </c>
      <c r="D162" s="423">
        <v>12</v>
      </c>
      <c r="E162" s="424">
        <f t="shared" si="132"/>
        <v>1663088.76</v>
      </c>
      <c r="F162" s="424"/>
      <c r="G162" s="427"/>
      <c r="H162" s="427"/>
      <c r="I162" s="424">
        <f t="shared" si="133"/>
        <v>1663088.76</v>
      </c>
      <c r="J162" s="424">
        <v>200000</v>
      </c>
      <c r="K162" s="424">
        <v>0.2</v>
      </c>
      <c r="L162" s="424">
        <f t="shared" si="121"/>
        <v>332617.75199999998</v>
      </c>
      <c r="M162" s="424">
        <f t="shared" si="122"/>
        <v>532617.75199999998</v>
      </c>
      <c r="N162" s="424">
        <f t="shared" si="123"/>
        <v>532617.75199999998</v>
      </c>
      <c r="O162" s="424">
        <f t="shared" si="124"/>
        <v>1130471.0079999999</v>
      </c>
      <c r="P162" s="424">
        <f t="shared" si="125"/>
        <v>21000</v>
      </c>
      <c r="Q162" s="424">
        <f t="shared" si="126"/>
        <v>33000</v>
      </c>
      <c r="R162" s="424">
        <f t="shared" si="127"/>
        <v>75000</v>
      </c>
      <c r="S162" s="424">
        <f t="shared" si="128"/>
        <v>5789.4915200000296</v>
      </c>
      <c r="T162" s="424">
        <f t="shared" si="129"/>
        <v>0</v>
      </c>
      <c r="U162" s="424"/>
      <c r="V162" s="424">
        <f t="shared" si="135"/>
        <v>134789.49152000001</v>
      </c>
      <c r="W162" s="431">
        <v>12</v>
      </c>
      <c r="X162" s="424">
        <f t="shared" si="130"/>
        <v>11232.457626666701</v>
      </c>
      <c r="Y162" s="427"/>
      <c r="Z162" s="424">
        <f t="shared" si="131"/>
        <v>11232.457626666701</v>
      </c>
      <c r="AA162" s="510">
        <v>11232.457626666701</v>
      </c>
      <c r="AB162" s="179">
        <f t="shared" si="134"/>
        <v>-3.0922819860279599E-11</v>
      </c>
      <c r="AC162" s="510"/>
      <c r="AD162" s="510"/>
      <c r="AE162" s="510"/>
    </row>
    <row r="163" spans="1:31" ht="18" x14ac:dyDescent="0.15">
      <c r="A163" s="498">
        <v>146</v>
      </c>
      <c r="B163" s="9" t="s">
        <v>338</v>
      </c>
      <c r="C163" s="424">
        <v>135590.73000000001</v>
      </c>
      <c r="D163" s="423">
        <v>12</v>
      </c>
      <c r="E163" s="424">
        <f t="shared" si="132"/>
        <v>1627088.76</v>
      </c>
      <c r="F163" s="424"/>
      <c r="G163" s="427"/>
      <c r="H163" s="427"/>
      <c r="I163" s="424">
        <f t="shared" si="133"/>
        <v>1627088.76</v>
      </c>
      <c r="J163" s="424">
        <v>200000</v>
      </c>
      <c r="K163" s="424">
        <v>0.2</v>
      </c>
      <c r="L163" s="424">
        <f t="shared" si="121"/>
        <v>325417.75199999998</v>
      </c>
      <c r="M163" s="424">
        <f t="shared" si="122"/>
        <v>525417.75199999998</v>
      </c>
      <c r="N163" s="424">
        <f t="shared" si="123"/>
        <v>525417.75199999998</v>
      </c>
      <c r="O163" s="424">
        <f t="shared" si="124"/>
        <v>1101671.0079999999</v>
      </c>
      <c r="P163" s="424">
        <f t="shared" si="125"/>
        <v>21000</v>
      </c>
      <c r="Q163" s="424">
        <f t="shared" si="126"/>
        <v>33000</v>
      </c>
      <c r="R163" s="424">
        <f t="shared" si="127"/>
        <v>75000</v>
      </c>
      <c r="S163" s="424">
        <f t="shared" si="128"/>
        <v>317.491520000028</v>
      </c>
      <c r="T163" s="424">
        <f t="shared" si="129"/>
        <v>0</v>
      </c>
      <c r="U163" s="424"/>
      <c r="V163" s="424">
        <f t="shared" si="135"/>
        <v>129317.49152</v>
      </c>
      <c r="W163" s="431">
        <v>12</v>
      </c>
      <c r="X163" s="424">
        <f t="shared" si="130"/>
        <v>10776.457626666701</v>
      </c>
      <c r="Y163" s="427"/>
      <c r="Z163" s="424">
        <f t="shared" si="131"/>
        <v>10776.457626666701</v>
      </c>
      <c r="AA163" s="510">
        <v>10776.457626666701</v>
      </c>
      <c r="AB163" s="179">
        <f t="shared" si="134"/>
        <v>-3.2741809263825397E-11</v>
      </c>
      <c r="AC163" s="179"/>
      <c r="AD163" s="179"/>
      <c r="AE163" s="179"/>
    </row>
    <row r="164" spans="1:31" ht="18" x14ac:dyDescent="0.15">
      <c r="A164" s="498">
        <v>147</v>
      </c>
      <c r="B164" s="12" t="s">
        <v>339</v>
      </c>
      <c r="C164" s="424">
        <v>138590.73000000001</v>
      </c>
      <c r="D164" s="423">
        <v>12</v>
      </c>
      <c r="E164" s="424">
        <f t="shared" si="132"/>
        <v>1663088.76</v>
      </c>
      <c r="F164" s="424"/>
      <c r="G164" s="427"/>
      <c r="H164" s="427"/>
      <c r="I164" s="424">
        <f t="shared" si="133"/>
        <v>1663088.76</v>
      </c>
      <c r="J164" s="424">
        <v>200000</v>
      </c>
      <c r="K164" s="424">
        <v>0.2</v>
      </c>
      <c r="L164" s="424">
        <f t="shared" si="121"/>
        <v>332617.75199999998</v>
      </c>
      <c r="M164" s="424">
        <f t="shared" si="122"/>
        <v>532617.75199999998</v>
      </c>
      <c r="N164" s="424">
        <f t="shared" si="123"/>
        <v>532617.75199999998</v>
      </c>
      <c r="O164" s="424">
        <f t="shared" si="124"/>
        <v>1130471.0079999999</v>
      </c>
      <c r="P164" s="424">
        <f t="shared" si="125"/>
        <v>21000</v>
      </c>
      <c r="Q164" s="424">
        <f t="shared" si="126"/>
        <v>33000</v>
      </c>
      <c r="R164" s="424">
        <f t="shared" si="127"/>
        <v>75000</v>
      </c>
      <c r="S164" s="424">
        <f t="shared" si="128"/>
        <v>5789.4915200000296</v>
      </c>
      <c r="T164" s="424">
        <f t="shared" si="129"/>
        <v>0</v>
      </c>
      <c r="U164" s="424"/>
      <c r="V164" s="424">
        <f t="shared" si="135"/>
        <v>134789.49152000001</v>
      </c>
      <c r="W164" s="431">
        <v>12</v>
      </c>
      <c r="X164" s="424">
        <f t="shared" si="130"/>
        <v>11232.457626666701</v>
      </c>
      <c r="Y164" s="427"/>
      <c r="Z164" s="424">
        <f t="shared" si="131"/>
        <v>11232.457626666701</v>
      </c>
      <c r="AA164" s="510">
        <v>11232.457626666701</v>
      </c>
      <c r="AB164" s="179">
        <f t="shared" si="134"/>
        <v>-3.0922819860279599E-11</v>
      </c>
      <c r="AC164" s="179"/>
      <c r="AD164" s="179"/>
      <c r="AE164" s="179"/>
    </row>
    <row r="165" spans="1:31" ht="18" x14ac:dyDescent="0.15">
      <c r="A165" s="498">
        <v>148</v>
      </c>
      <c r="B165" s="9" t="s">
        <v>340</v>
      </c>
      <c r="C165" s="424">
        <v>135590.73000000001</v>
      </c>
      <c r="D165" s="423">
        <v>12</v>
      </c>
      <c r="E165" s="424">
        <f t="shared" si="132"/>
        <v>1627088.76</v>
      </c>
      <c r="F165" s="424"/>
      <c r="G165" s="427"/>
      <c r="H165" s="427"/>
      <c r="I165" s="424">
        <f t="shared" si="133"/>
        <v>1627088.76</v>
      </c>
      <c r="J165" s="424">
        <v>200000</v>
      </c>
      <c r="K165" s="424">
        <v>0.2</v>
      </c>
      <c r="L165" s="424">
        <f t="shared" si="121"/>
        <v>325417.75199999998</v>
      </c>
      <c r="M165" s="424">
        <f t="shared" si="122"/>
        <v>525417.75199999998</v>
      </c>
      <c r="N165" s="424">
        <f t="shared" si="123"/>
        <v>525417.75199999998</v>
      </c>
      <c r="O165" s="424">
        <f t="shared" si="124"/>
        <v>1101671.0079999999</v>
      </c>
      <c r="P165" s="424">
        <f t="shared" si="125"/>
        <v>21000</v>
      </c>
      <c r="Q165" s="424">
        <f t="shared" si="126"/>
        <v>33000</v>
      </c>
      <c r="R165" s="424">
        <f t="shared" si="127"/>
        <v>75000</v>
      </c>
      <c r="S165" s="424">
        <f t="shared" si="128"/>
        <v>317.491520000028</v>
      </c>
      <c r="T165" s="424">
        <f t="shared" si="129"/>
        <v>0</v>
      </c>
      <c r="U165" s="424"/>
      <c r="V165" s="424">
        <f t="shared" si="135"/>
        <v>129317.49152</v>
      </c>
      <c r="W165" s="431">
        <v>12</v>
      </c>
      <c r="X165" s="424">
        <f t="shared" si="130"/>
        <v>10776.457626666701</v>
      </c>
      <c r="Y165" s="427"/>
      <c r="Z165" s="424">
        <f t="shared" si="131"/>
        <v>10776.457626666701</v>
      </c>
      <c r="AA165" s="179">
        <v>10776.457626666701</v>
      </c>
      <c r="AB165" s="179">
        <f t="shared" si="134"/>
        <v>-3.2741809263825397E-11</v>
      </c>
      <c r="AC165" s="179"/>
      <c r="AD165" s="179"/>
      <c r="AE165" s="179"/>
    </row>
    <row r="166" spans="1:31" ht="18" x14ac:dyDescent="0.15">
      <c r="A166" s="498">
        <v>149</v>
      </c>
      <c r="B166" s="16" t="s">
        <v>341</v>
      </c>
      <c r="C166" s="424">
        <v>135590.73000000001</v>
      </c>
      <c r="D166" s="423">
        <v>12</v>
      </c>
      <c r="E166" s="424">
        <f t="shared" si="132"/>
        <v>1627088.76</v>
      </c>
      <c r="F166" s="424"/>
      <c r="G166" s="427"/>
      <c r="H166" s="427"/>
      <c r="I166" s="424">
        <f t="shared" si="133"/>
        <v>1627088.76</v>
      </c>
      <c r="J166" s="424">
        <v>200000</v>
      </c>
      <c r="K166" s="424">
        <v>0.2</v>
      </c>
      <c r="L166" s="424">
        <f t="shared" si="121"/>
        <v>325417.75199999998</v>
      </c>
      <c r="M166" s="424">
        <f t="shared" si="122"/>
        <v>525417.75199999998</v>
      </c>
      <c r="N166" s="424">
        <f t="shared" si="123"/>
        <v>525417.75199999998</v>
      </c>
      <c r="O166" s="424">
        <f t="shared" si="124"/>
        <v>1101671.0079999999</v>
      </c>
      <c r="P166" s="424">
        <f t="shared" si="125"/>
        <v>21000</v>
      </c>
      <c r="Q166" s="424">
        <f t="shared" si="126"/>
        <v>33000</v>
      </c>
      <c r="R166" s="424">
        <f t="shared" si="127"/>
        <v>75000</v>
      </c>
      <c r="S166" s="424">
        <f t="shared" si="128"/>
        <v>317.491520000028</v>
      </c>
      <c r="T166" s="424">
        <f t="shared" si="129"/>
        <v>0</v>
      </c>
      <c r="U166" s="424"/>
      <c r="V166" s="424">
        <f t="shared" si="135"/>
        <v>129317.49152</v>
      </c>
      <c r="W166" s="431">
        <v>12</v>
      </c>
      <c r="X166" s="424">
        <f t="shared" si="130"/>
        <v>10776.457626666701</v>
      </c>
      <c r="Y166" s="427"/>
      <c r="Z166" s="424">
        <f t="shared" si="131"/>
        <v>10776.457626666701</v>
      </c>
      <c r="AA166" s="179">
        <v>10776.457626666701</v>
      </c>
      <c r="AB166" s="179">
        <f t="shared" si="134"/>
        <v>-3.2741809263825397E-11</v>
      </c>
      <c r="AC166" s="179"/>
      <c r="AD166" s="179"/>
      <c r="AE166" s="179"/>
    </row>
    <row r="167" spans="1:31" ht="18" x14ac:dyDescent="0.15">
      <c r="A167" s="498">
        <v>150</v>
      </c>
      <c r="B167" s="16" t="s">
        <v>342</v>
      </c>
      <c r="C167" s="424">
        <v>138590.73000000001</v>
      </c>
      <c r="D167" s="423">
        <v>12</v>
      </c>
      <c r="E167" s="424">
        <f t="shared" si="132"/>
        <v>1663088.76</v>
      </c>
      <c r="F167" s="424"/>
      <c r="G167" s="427"/>
      <c r="H167" s="427"/>
      <c r="I167" s="424">
        <f t="shared" si="133"/>
        <v>1663088.76</v>
      </c>
      <c r="J167" s="424">
        <v>200000</v>
      </c>
      <c r="K167" s="424">
        <v>0.2</v>
      </c>
      <c r="L167" s="424">
        <f t="shared" si="121"/>
        <v>332617.75199999998</v>
      </c>
      <c r="M167" s="424">
        <f t="shared" si="122"/>
        <v>532617.75199999998</v>
      </c>
      <c r="N167" s="424">
        <f t="shared" si="123"/>
        <v>532617.75199999998</v>
      </c>
      <c r="O167" s="424">
        <f t="shared" si="124"/>
        <v>1130471.0079999999</v>
      </c>
      <c r="P167" s="424">
        <f t="shared" si="125"/>
        <v>21000</v>
      </c>
      <c r="Q167" s="424">
        <f t="shared" si="126"/>
        <v>33000</v>
      </c>
      <c r="R167" s="424">
        <f t="shared" si="127"/>
        <v>75000</v>
      </c>
      <c r="S167" s="424">
        <f t="shared" si="128"/>
        <v>5789.4915200000296</v>
      </c>
      <c r="T167" s="424">
        <f t="shared" si="129"/>
        <v>0</v>
      </c>
      <c r="U167" s="424"/>
      <c r="V167" s="424">
        <f t="shared" si="135"/>
        <v>134789.49152000001</v>
      </c>
      <c r="W167" s="431">
        <v>12</v>
      </c>
      <c r="X167" s="424">
        <f t="shared" si="130"/>
        <v>11232.457626666701</v>
      </c>
      <c r="Y167" s="427"/>
      <c r="Z167" s="424">
        <f t="shared" si="131"/>
        <v>11232.457626666701</v>
      </c>
      <c r="AA167" s="179">
        <v>11232.457626666701</v>
      </c>
      <c r="AB167" s="179">
        <f t="shared" si="134"/>
        <v>-3.0922819860279599E-11</v>
      </c>
      <c r="AC167" s="179"/>
      <c r="AD167" s="179"/>
      <c r="AE167" s="179"/>
    </row>
    <row r="168" spans="1:31" ht="31.5" x14ac:dyDescent="0.2">
      <c r="A168" s="498">
        <v>151</v>
      </c>
      <c r="B168" s="9" t="s">
        <v>343</v>
      </c>
      <c r="C168" s="424">
        <v>122104.99825</v>
      </c>
      <c r="D168" s="423">
        <v>12</v>
      </c>
      <c r="E168" s="424">
        <f t="shared" si="132"/>
        <v>1465259.9790000001</v>
      </c>
      <c r="F168" s="424"/>
      <c r="G168" s="427"/>
      <c r="H168" s="427"/>
      <c r="I168" s="424">
        <f t="shared" si="133"/>
        <v>1465259.9790000001</v>
      </c>
      <c r="J168" s="424">
        <v>200000</v>
      </c>
      <c r="K168" s="424">
        <v>0.2</v>
      </c>
      <c r="L168" s="424">
        <f t="shared" si="121"/>
        <v>293051.99579999998</v>
      </c>
      <c r="M168" s="424">
        <f t="shared" si="122"/>
        <v>493051.99579999998</v>
      </c>
      <c r="N168" s="424">
        <f t="shared" si="123"/>
        <v>493051.99579999998</v>
      </c>
      <c r="O168" s="424">
        <f t="shared" si="124"/>
        <v>972207.98320000002</v>
      </c>
      <c r="P168" s="424">
        <f t="shared" si="125"/>
        <v>21000</v>
      </c>
      <c r="Q168" s="424">
        <f t="shared" si="126"/>
        <v>33000</v>
      </c>
      <c r="R168" s="424">
        <f t="shared" si="127"/>
        <v>55831.197480000003</v>
      </c>
      <c r="S168" s="424">
        <f t="shared" si="128"/>
        <v>0</v>
      </c>
      <c r="T168" s="424">
        <f t="shared" si="129"/>
        <v>0</v>
      </c>
      <c r="U168" s="424"/>
      <c r="V168" s="424">
        <f t="shared" si="135"/>
        <v>109831.19748</v>
      </c>
      <c r="W168" s="431">
        <v>12</v>
      </c>
      <c r="X168" s="424">
        <f t="shared" si="130"/>
        <v>9152.5997900000002</v>
      </c>
      <c r="Y168" s="427"/>
      <c r="Z168" s="424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" x14ac:dyDescent="0.15">
      <c r="A169" s="498">
        <v>152</v>
      </c>
      <c r="B169" s="9" t="s">
        <v>346</v>
      </c>
      <c r="C169" s="424">
        <v>122104.99825</v>
      </c>
      <c r="D169" s="423">
        <v>12</v>
      </c>
      <c r="E169" s="424">
        <f t="shared" si="132"/>
        <v>1465259.9790000001</v>
      </c>
      <c r="F169" s="424"/>
      <c r="G169" s="427"/>
      <c r="H169" s="427"/>
      <c r="I169" s="424">
        <f t="shared" si="133"/>
        <v>1465259.9790000001</v>
      </c>
      <c r="J169" s="424">
        <v>200000</v>
      </c>
      <c r="K169" s="424">
        <v>0.2</v>
      </c>
      <c r="L169" s="424">
        <f t="shared" si="121"/>
        <v>293051.99579999998</v>
      </c>
      <c r="M169" s="424">
        <f t="shared" si="122"/>
        <v>493051.99579999998</v>
      </c>
      <c r="N169" s="424">
        <f t="shared" si="123"/>
        <v>493051.99579999998</v>
      </c>
      <c r="O169" s="424">
        <f t="shared" si="124"/>
        <v>972207.98320000002</v>
      </c>
      <c r="P169" s="424">
        <f t="shared" si="125"/>
        <v>21000</v>
      </c>
      <c r="Q169" s="424">
        <f t="shared" si="126"/>
        <v>33000</v>
      </c>
      <c r="R169" s="424">
        <f t="shared" si="127"/>
        <v>55831.197480000003</v>
      </c>
      <c r="S169" s="424">
        <f t="shared" si="128"/>
        <v>0</v>
      </c>
      <c r="T169" s="424">
        <f t="shared" si="129"/>
        <v>0</v>
      </c>
      <c r="U169" s="424"/>
      <c r="V169" s="424">
        <f t="shared" si="135"/>
        <v>109831.19748</v>
      </c>
      <c r="W169" s="431">
        <v>12</v>
      </c>
      <c r="X169" s="424">
        <f t="shared" si="130"/>
        <v>9152.5997900000002</v>
      </c>
      <c r="Y169" s="427"/>
      <c r="Z169" s="424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" x14ac:dyDescent="0.15">
      <c r="A170" s="498">
        <v>153</v>
      </c>
      <c r="B170" s="16" t="s">
        <v>347</v>
      </c>
      <c r="C170" s="424">
        <v>125035.03449999999</v>
      </c>
      <c r="D170" s="423">
        <v>12</v>
      </c>
      <c r="E170" s="424">
        <f t="shared" si="132"/>
        <v>1500420.4140000001</v>
      </c>
      <c r="F170" s="424"/>
      <c r="G170" s="427"/>
      <c r="H170" s="427"/>
      <c r="I170" s="424">
        <f t="shared" si="133"/>
        <v>1500420.4140000001</v>
      </c>
      <c r="J170" s="424">
        <v>200000</v>
      </c>
      <c r="K170" s="424">
        <v>0.2</v>
      </c>
      <c r="L170" s="424">
        <f t="shared" si="121"/>
        <v>300084.08279999997</v>
      </c>
      <c r="M170" s="424">
        <f t="shared" si="122"/>
        <v>500084.08279999997</v>
      </c>
      <c r="N170" s="424">
        <f t="shared" si="123"/>
        <v>500084.08279999997</v>
      </c>
      <c r="O170" s="424">
        <f t="shared" si="124"/>
        <v>1000336.3312</v>
      </c>
      <c r="P170" s="424">
        <f t="shared" si="125"/>
        <v>21000</v>
      </c>
      <c r="Q170" s="424">
        <f t="shared" si="126"/>
        <v>33000</v>
      </c>
      <c r="R170" s="424">
        <f t="shared" si="127"/>
        <v>60050.449679999998</v>
      </c>
      <c r="S170" s="424">
        <f t="shared" si="128"/>
        <v>0</v>
      </c>
      <c r="T170" s="424">
        <f t="shared" si="129"/>
        <v>0</v>
      </c>
      <c r="U170" s="424"/>
      <c r="V170" s="424">
        <f t="shared" si="135"/>
        <v>114050.44968000001</v>
      </c>
      <c r="W170" s="431">
        <v>12</v>
      </c>
      <c r="X170" s="424">
        <f t="shared" si="130"/>
        <v>9504.2041399999998</v>
      </c>
      <c r="Y170" s="427"/>
      <c r="Z170" s="424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 x14ac:dyDescent="0.15">
      <c r="A171" s="498">
        <v>154</v>
      </c>
      <c r="B171" s="9" t="s">
        <v>349</v>
      </c>
      <c r="C171" s="424">
        <v>81803.001000000004</v>
      </c>
      <c r="D171" s="423">
        <v>12</v>
      </c>
      <c r="E171" s="424">
        <f t="shared" si="132"/>
        <v>981636.01199999999</v>
      </c>
      <c r="F171" s="424"/>
      <c r="G171" s="427"/>
      <c r="H171" s="427"/>
      <c r="I171" s="424">
        <f t="shared" si="133"/>
        <v>981636.01199999999</v>
      </c>
      <c r="J171" s="424">
        <v>200000</v>
      </c>
      <c r="K171" s="424">
        <v>0.2</v>
      </c>
      <c r="L171" s="424">
        <f t="shared" si="121"/>
        <v>196327.20240000001</v>
      </c>
      <c r="M171" s="424">
        <f t="shared" si="122"/>
        <v>396327.20240000001</v>
      </c>
      <c r="N171" s="424">
        <f t="shared" si="123"/>
        <v>396327.20240000001</v>
      </c>
      <c r="O171" s="424">
        <f t="shared" si="124"/>
        <v>585308.80960000004</v>
      </c>
      <c r="P171" s="424">
        <f t="shared" si="125"/>
        <v>21000</v>
      </c>
      <c r="Q171" s="424">
        <f t="shared" si="126"/>
        <v>31383.969056000002</v>
      </c>
      <c r="R171" s="424">
        <f t="shared" si="127"/>
        <v>0</v>
      </c>
      <c r="S171" s="424">
        <f t="shared" si="128"/>
        <v>0</v>
      </c>
      <c r="T171" s="424">
        <f t="shared" si="129"/>
        <v>0</v>
      </c>
      <c r="U171" s="424"/>
      <c r="V171" s="424">
        <f t="shared" si="135"/>
        <v>52383.969056000002</v>
      </c>
      <c r="W171" s="431">
        <v>12</v>
      </c>
      <c r="X171" s="424">
        <f t="shared" si="130"/>
        <v>4365.3307546666701</v>
      </c>
      <c r="Y171" s="427"/>
      <c r="Z171" s="424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" x14ac:dyDescent="0.15">
      <c r="A172" s="498">
        <v>155</v>
      </c>
      <c r="B172" s="9" t="s">
        <v>352</v>
      </c>
      <c r="C172" s="424">
        <v>80237.012000000002</v>
      </c>
      <c r="D172" s="423">
        <v>12</v>
      </c>
      <c r="E172" s="424">
        <f t="shared" si="132"/>
        <v>962844.14399999997</v>
      </c>
      <c r="F172" s="424"/>
      <c r="G172" s="427"/>
      <c r="H172" s="427"/>
      <c r="I172" s="424">
        <f t="shared" si="133"/>
        <v>962844.14399999997</v>
      </c>
      <c r="J172" s="424">
        <v>200000</v>
      </c>
      <c r="K172" s="424">
        <v>0.2</v>
      </c>
      <c r="L172" s="424">
        <f t="shared" si="121"/>
        <v>192568.82879999999</v>
      </c>
      <c r="M172" s="424">
        <f t="shared" si="122"/>
        <v>392568.82880000002</v>
      </c>
      <c r="N172" s="424">
        <f t="shared" si="123"/>
        <v>392568.82880000002</v>
      </c>
      <c r="O172" s="424">
        <f t="shared" si="124"/>
        <v>570275.31519999995</v>
      </c>
      <c r="P172" s="424">
        <f t="shared" si="125"/>
        <v>21000</v>
      </c>
      <c r="Q172" s="424">
        <f t="shared" si="126"/>
        <v>29730.284672000002</v>
      </c>
      <c r="R172" s="424">
        <f t="shared" si="127"/>
        <v>0</v>
      </c>
      <c r="S172" s="424">
        <f t="shared" si="128"/>
        <v>0</v>
      </c>
      <c r="T172" s="424">
        <f t="shared" si="129"/>
        <v>0</v>
      </c>
      <c r="U172" s="424"/>
      <c r="V172" s="424">
        <f t="shared" si="135"/>
        <v>50730.284672000002</v>
      </c>
      <c r="W172" s="431">
        <v>12</v>
      </c>
      <c r="X172" s="424">
        <f t="shared" si="130"/>
        <v>4227.5237226666704</v>
      </c>
      <c r="Y172" s="427"/>
      <c r="Z172" s="424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4" customFormat="1" ht="18" x14ac:dyDescent="0.15">
      <c r="A173" s="502">
        <v>156</v>
      </c>
      <c r="B173" s="9" t="s">
        <v>355</v>
      </c>
      <c r="C173" s="424">
        <v>77237.012000000002</v>
      </c>
      <c r="D173" s="423">
        <v>12</v>
      </c>
      <c r="E173" s="424">
        <f t="shared" si="132"/>
        <v>926844.14399999997</v>
      </c>
      <c r="F173" s="424"/>
      <c r="G173" s="427"/>
      <c r="H173" s="427"/>
      <c r="I173" s="424">
        <f t="shared" si="133"/>
        <v>926844.14399999997</v>
      </c>
      <c r="J173" s="424">
        <v>200000</v>
      </c>
      <c r="K173" s="424">
        <v>0.2</v>
      </c>
      <c r="L173" s="424">
        <f t="shared" si="121"/>
        <v>185368.82879999999</v>
      </c>
      <c r="M173" s="424">
        <f t="shared" si="122"/>
        <v>385368.82880000002</v>
      </c>
      <c r="N173" s="424">
        <f t="shared" si="123"/>
        <v>385368.82880000002</v>
      </c>
      <c r="O173" s="424">
        <f t="shared" si="124"/>
        <v>541475.31519999995</v>
      </c>
      <c r="P173" s="424">
        <f t="shared" si="125"/>
        <v>21000</v>
      </c>
      <c r="Q173" s="424">
        <f t="shared" si="126"/>
        <v>26562.284672000002</v>
      </c>
      <c r="R173" s="424">
        <f t="shared" si="127"/>
        <v>0</v>
      </c>
      <c r="S173" s="424">
        <f t="shared" si="128"/>
        <v>0</v>
      </c>
      <c r="T173" s="424">
        <f t="shared" si="129"/>
        <v>0</v>
      </c>
      <c r="U173" s="424"/>
      <c r="V173" s="424">
        <f t="shared" si="135"/>
        <v>47562.284672000002</v>
      </c>
      <c r="W173" s="431">
        <v>12</v>
      </c>
      <c r="X173" s="424">
        <f t="shared" si="130"/>
        <v>3963.52372266667</v>
      </c>
      <c r="Y173" s="427"/>
      <c r="Z173" s="424">
        <f t="shared" si="131"/>
        <v>3963.52372266667</v>
      </c>
      <c r="AA173" s="179">
        <v>3963.52372266667</v>
      </c>
      <c r="AB173" s="179">
        <f t="shared" si="134"/>
        <v>0</v>
      </c>
      <c r="AC173" s="510"/>
      <c r="AD173" s="510"/>
      <c r="AE173" s="510"/>
    </row>
    <row r="174" spans="1:31" ht="18" x14ac:dyDescent="0.15">
      <c r="A174" s="498">
        <v>157</v>
      </c>
      <c r="B174" s="9" t="s">
        <v>356</v>
      </c>
      <c r="C174" s="424">
        <v>80237.012000000002</v>
      </c>
      <c r="D174" s="423">
        <v>12</v>
      </c>
      <c r="E174" s="424">
        <f t="shared" si="132"/>
        <v>962844.14399999997</v>
      </c>
      <c r="F174" s="424"/>
      <c r="G174" s="427"/>
      <c r="H174" s="427"/>
      <c r="I174" s="424">
        <f t="shared" si="133"/>
        <v>962844.14399999997</v>
      </c>
      <c r="J174" s="424">
        <v>200000</v>
      </c>
      <c r="K174" s="424">
        <v>0.2</v>
      </c>
      <c r="L174" s="424">
        <f t="shared" si="121"/>
        <v>192568.82879999999</v>
      </c>
      <c r="M174" s="424">
        <f t="shared" si="122"/>
        <v>392568.82880000002</v>
      </c>
      <c r="N174" s="424">
        <f t="shared" si="123"/>
        <v>392568.82880000002</v>
      </c>
      <c r="O174" s="424">
        <f t="shared" si="124"/>
        <v>570275.31519999995</v>
      </c>
      <c r="P174" s="424">
        <f t="shared" si="125"/>
        <v>21000</v>
      </c>
      <c r="Q174" s="424">
        <f t="shared" si="126"/>
        <v>29730.284672000002</v>
      </c>
      <c r="R174" s="424">
        <f t="shared" si="127"/>
        <v>0</v>
      </c>
      <c r="S174" s="424">
        <f t="shared" si="128"/>
        <v>0</v>
      </c>
      <c r="T174" s="424">
        <f t="shared" si="129"/>
        <v>0</v>
      </c>
      <c r="U174" s="424"/>
      <c r="V174" s="424">
        <f t="shared" si="135"/>
        <v>50730.284672000002</v>
      </c>
      <c r="W174" s="431">
        <v>12</v>
      </c>
      <c r="X174" s="424">
        <f t="shared" si="130"/>
        <v>4227.5237226666704</v>
      </c>
      <c r="Y174" s="427"/>
      <c r="Z174" s="424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" x14ac:dyDescent="0.15">
      <c r="A175" s="504"/>
      <c r="B175" s="9" t="s">
        <v>357</v>
      </c>
      <c r="C175" s="440">
        <v>77237.012000000002</v>
      </c>
      <c r="D175" s="423">
        <v>12</v>
      </c>
      <c r="E175" s="424">
        <f t="shared" si="132"/>
        <v>926844.14399999997</v>
      </c>
      <c r="F175" s="424"/>
      <c r="G175" s="427"/>
      <c r="H175" s="427"/>
      <c r="I175" s="424">
        <f t="shared" si="133"/>
        <v>926844.14399999997</v>
      </c>
      <c r="J175" s="424">
        <v>200000</v>
      </c>
      <c r="K175" s="424">
        <v>0.2</v>
      </c>
      <c r="L175" s="424">
        <f t="shared" si="121"/>
        <v>185368.82879999999</v>
      </c>
      <c r="M175" s="424">
        <f t="shared" si="122"/>
        <v>385368.82880000002</v>
      </c>
      <c r="N175" s="424">
        <f t="shared" si="123"/>
        <v>385368.82880000002</v>
      </c>
      <c r="O175" s="424">
        <f t="shared" si="124"/>
        <v>541475.31519999995</v>
      </c>
      <c r="P175" s="424">
        <f t="shared" si="125"/>
        <v>21000</v>
      </c>
      <c r="Q175" s="424">
        <f t="shared" si="126"/>
        <v>26562.284672000002</v>
      </c>
      <c r="R175" s="424">
        <f t="shared" si="127"/>
        <v>0</v>
      </c>
      <c r="S175" s="424">
        <f t="shared" si="128"/>
        <v>0</v>
      </c>
      <c r="T175" s="424">
        <f t="shared" si="129"/>
        <v>0</v>
      </c>
      <c r="U175" s="424"/>
      <c r="V175" s="424">
        <f t="shared" si="135"/>
        <v>47562.284672000002</v>
      </c>
      <c r="W175" s="431">
        <v>12</v>
      </c>
      <c r="X175" s="424">
        <f t="shared" si="130"/>
        <v>3963.52372266667</v>
      </c>
      <c r="Y175" s="427"/>
      <c r="Z175" s="424">
        <f t="shared" si="131"/>
        <v>3963.52372266667</v>
      </c>
      <c r="AA175" s="510">
        <v>3963.52372266667</v>
      </c>
      <c r="AB175" s="179">
        <f t="shared" si="134"/>
        <v>0</v>
      </c>
      <c r="AC175" s="179"/>
      <c r="AD175" s="179"/>
      <c r="AE175" s="179"/>
    </row>
    <row r="176" spans="1:31" ht="18" x14ac:dyDescent="0.15">
      <c r="A176" s="504"/>
      <c r="B176" s="9" t="s">
        <v>358</v>
      </c>
      <c r="C176" s="440">
        <v>80237.012000000002</v>
      </c>
      <c r="D176" s="423">
        <v>12</v>
      </c>
      <c r="E176" s="424">
        <f t="shared" si="132"/>
        <v>962844.14399999997</v>
      </c>
      <c r="F176" s="424"/>
      <c r="G176" s="427"/>
      <c r="H176" s="427"/>
      <c r="I176" s="424">
        <f t="shared" si="133"/>
        <v>962844.14399999997</v>
      </c>
      <c r="J176" s="424">
        <v>200000</v>
      </c>
      <c r="K176" s="424">
        <v>0.2</v>
      </c>
      <c r="L176" s="424">
        <f t="shared" si="121"/>
        <v>192568.82879999999</v>
      </c>
      <c r="M176" s="424">
        <f t="shared" si="122"/>
        <v>392568.82880000002</v>
      </c>
      <c r="N176" s="424">
        <f t="shared" si="123"/>
        <v>392568.82880000002</v>
      </c>
      <c r="O176" s="424">
        <f t="shared" si="124"/>
        <v>570275.31519999995</v>
      </c>
      <c r="P176" s="424">
        <f t="shared" si="125"/>
        <v>21000</v>
      </c>
      <c r="Q176" s="424">
        <f t="shared" si="126"/>
        <v>29730.284672000002</v>
      </c>
      <c r="R176" s="424">
        <f t="shared" si="127"/>
        <v>0</v>
      </c>
      <c r="S176" s="424">
        <f t="shared" si="128"/>
        <v>0</v>
      </c>
      <c r="T176" s="424">
        <f t="shared" si="129"/>
        <v>0</v>
      </c>
      <c r="U176" s="424"/>
      <c r="V176" s="424">
        <f t="shared" si="135"/>
        <v>50730.284672000002</v>
      </c>
      <c r="W176" s="431">
        <v>12</v>
      </c>
      <c r="X176" s="424">
        <f t="shared" si="130"/>
        <v>4227.5237226666704</v>
      </c>
      <c r="Y176" s="427"/>
      <c r="Z176" s="424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" x14ac:dyDescent="0.15">
      <c r="B177" s="16" t="s">
        <v>359</v>
      </c>
      <c r="C177" s="436">
        <v>77237.012000000002</v>
      </c>
      <c r="D177" s="423">
        <v>12</v>
      </c>
      <c r="E177" s="424">
        <f t="shared" si="132"/>
        <v>926844.14399999997</v>
      </c>
      <c r="F177" s="259"/>
      <c r="G177" s="259"/>
      <c r="H177" s="259"/>
      <c r="I177" s="424">
        <f t="shared" si="133"/>
        <v>926844.14399999997</v>
      </c>
      <c r="J177" s="424">
        <v>200000</v>
      </c>
      <c r="K177" s="424">
        <v>0.2</v>
      </c>
      <c r="L177" s="424">
        <f t="shared" si="121"/>
        <v>185368.82879999999</v>
      </c>
      <c r="M177" s="424">
        <f t="shared" si="122"/>
        <v>385368.82880000002</v>
      </c>
      <c r="N177" s="424">
        <f t="shared" si="123"/>
        <v>385368.82880000002</v>
      </c>
      <c r="O177" s="424">
        <f t="shared" si="124"/>
        <v>541475.31519999995</v>
      </c>
      <c r="P177" s="424">
        <f t="shared" si="125"/>
        <v>21000</v>
      </c>
      <c r="Q177" s="424">
        <f t="shared" si="126"/>
        <v>26562.284672000002</v>
      </c>
      <c r="R177" s="424">
        <f t="shared" si="127"/>
        <v>0</v>
      </c>
      <c r="S177" s="424">
        <f t="shared" si="128"/>
        <v>0</v>
      </c>
      <c r="T177" s="424">
        <f t="shared" si="129"/>
        <v>0</v>
      </c>
      <c r="U177" s="424"/>
      <c r="V177" s="424">
        <f t="shared" si="135"/>
        <v>47562.284672000002</v>
      </c>
      <c r="W177" s="431">
        <v>12</v>
      </c>
      <c r="X177" s="424">
        <f t="shared" si="130"/>
        <v>3963.52372266667</v>
      </c>
      <c r="Y177" s="259"/>
      <c r="Z177" s="424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" x14ac:dyDescent="0.15">
      <c r="B178" s="16" t="s">
        <v>360</v>
      </c>
      <c r="C178" s="436">
        <v>80237.012000000002</v>
      </c>
      <c r="D178" s="423">
        <v>12</v>
      </c>
      <c r="E178" s="424">
        <f t="shared" si="132"/>
        <v>962844.14399999997</v>
      </c>
      <c r="F178" s="259"/>
      <c r="G178" s="259"/>
      <c r="H178" s="259"/>
      <c r="I178" s="424">
        <f t="shared" si="133"/>
        <v>962844.14399999997</v>
      </c>
      <c r="J178" s="424">
        <v>200000</v>
      </c>
      <c r="K178" s="424">
        <v>0.2</v>
      </c>
      <c r="L178" s="424">
        <f t="shared" si="121"/>
        <v>192568.82879999999</v>
      </c>
      <c r="M178" s="424">
        <f t="shared" si="122"/>
        <v>392568.82880000002</v>
      </c>
      <c r="N178" s="424">
        <f t="shared" si="123"/>
        <v>392568.82880000002</v>
      </c>
      <c r="O178" s="424">
        <f t="shared" si="124"/>
        <v>570275.31519999995</v>
      </c>
      <c r="P178" s="424">
        <f t="shared" si="125"/>
        <v>21000</v>
      </c>
      <c r="Q178" s="424">
        <f t="shared" si="126"/>
        <v>29730.284672000002</v>
      </c>
      <c r="R178" s="424">
        <f t="shared" si="127"/>
        <v>0</v>
      </c>
      <c r="S178" s="424">
        <f t="shared" si="128"/>
        <v>0</v>
      </c>
      <c r="T178" s="424">
        <f t="shared" si="129"/>
        <v>0</v>
      </c>
      <c r="U178" s="259"/>
      <c r="V178" s="424">
        <f t="shared" si="135"/>
        <v>50730.284672000002</v>
      </c>
      <c r="W178" s="431">
        <v>12</v>
      </c>
      <c r="X178" s="424">
        <f t="shared" si="130"/>
        <v>4227.5237226666704</v>
      </c>
      <c r="Y178" s="259"/>
      <c r="Z178" s="424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" x14ac:dyDescent="0.15">
      <c r="B179" s="9" t="s">
        <v>493</v>
      </c>
      <c r="C179" s="436">
        <v>78671.023000000001</v>
      </c>
      <c r="D179" s="423">
        <v>12</v>
      </c>
      <c r="E179" s="424">
        <f t="shared" si="132"/>
        <v>944052.27599999995</v>
      </c>
      <c r="F179" s="259"/>
      <c r="G179" s="259"/>
      <c r="H179" s="259"/>
      <c r="I179" s="424">
        <f t="shared" si="133"/>
        <v>944052.27599999995</v>
      </c>
      <c r="J179" s="424">
        <v>200000</v>
      </c>
      <c r="K179" s="424">
        <v>0.2</v>
      </c>
      <c r="L179" s="424">
        <f t="shared" si="121"/>
        <v>188810.4552</v>
      </c>
      <c r="M179" s="424">
        <f t="shared" si="122"/>
        <v>388810.45520000003</v>
      </c>
      <c r="N179" s="424">
        <f t="shared" si="123"/>
        <v>388810.45520000003</v>
      </c>
      <c r="O179" s="424">
        <f t="shared" si="124"/>
        <v>555241.82079999999</v>
      </c>
      <c r="P179" s="424">
        <f t="shared" si="125"/>
        <v>21000</v>
      </c>
      <c r="Q179" s="424">
        <f t="shared" si="126"/>
        <v>28076.600288000001</v>
      </c>
      <c r="R179" s="424">
        <f t="shared" si="127"/>
        <v>0</v>
      </c>
      <c r="S179" s="424">
        <f t="shared" si="128"/>
        <v>0</v>
      </c>
      <c r="T179" s="424">
        <f t="shared" si="129"/>
        <v>0</v>
      </c>
      <c r="U179" s="259"/>
      <c r="V179" s="424">
        <f t="shared" si="135"/>
        <v>49076.600288000001</v>
      </c>
      <c r="W179" s="431">
        <v>12</v>
      </c>
      <c r="X179" s="424">
        <f t="shared" si="130"/>
        <v>4089.7166906666698</v>
      </c>
      <c r="Y179" s="259"/>
      <c r="Z179" s="424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" x14ac:dyDescent="0.15">
      <c r="B180" s="9" t="s">
        <v>361</v>
      </c>
      <c r="C180" s="436">
        <v>80237.012000000002</v>
      </c>
      <c r="D180" s="423">
        <v>12</v>
      </c>
      <c r="E180" s="424">
        <f t="shared" si="132"/>
        <v>962844.14399999997</v>
      </c>
      <c r="F180" s="259"/>
      <c r="G180" s="259"/>
      <c r="H180" s="259"/>
      <c r="I180" s="424">
        <f t="shared" si="133"/>
        <v>962844.14399999997</v>
      </c>
      <c r="J180" s="424">
        <v>200000</v>
      </c>
      <c r="K180" s="424">
        <v>0.2</v>
      </c>
      <c r="L180" s="424">
        <f t="shared" si="121"/>
        <v>192568.82879999999</v>
      </c>
      <c r="M180" s="424">
        <f t="shared" si="122"/>
        <v>392568.82880000002</v>
      </c>
      <c r="N180" s="424">
        <f t="shared" si="123"/>
        <v>392568.82880000002</v>
      </c>
      <c r="O180" s="424">
        <f t="shared" si="124"/>
        <v>570275.31519999995</v>
      </c>
      <c r="P180" s="424">
        <f t="shared" si="125"/>
        <v>21000</v>
      </c>
      <c r="Q180" s="424">
        <f t="shared" si="126"/>
        <v>29730.284672000002</v>
      </c>
      <c r="R180" s="424">
        <f t="shared" si="127"/>
        <v>0</v>
      </c>
      <c r="S180" s="424">
        <f t="shared" si="128"/>
        <v>0</v>
      </c>
      <c r="T180" s="424">
        <f t="shared" si="129"/>
        <v>0</v>
      </c>
      <c r="U180" s="259"/>
      <c r="V180" s="424">
        <f t="shared" si="135"/>
        <v>50730.284672000002</v>
      </c>
      <c r="W180" s="431">
        <v>12</v>
      </c>
      <c r="X180" s="424">
        <f t="shared" si="130"/>
        <v>4227.5237226666704</v>
      </c>
      <c r="Y180" s="259"/>
      <c r="Z180" s="424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" x14ac:dyDescent="0.15">
      <c r="B181" s="16" t="s">
        <v>362</v>
      </c>
      <c r="C181" s="436">
        <v>78671.023000000001</v>
      </c>
      <c r="D181" s="423">
        <v>12</v>
      </c>
      <c r="E181" s="424">
        <f t="shared" si="132"/>
        <v>944052.27599999995</v>
      </c>
      <c r="F181" s="259"/>
      <c r="G181" s="259"/>
      <c r="H181" s="259"/>
      <c r="I181" s="424">
        <f t="shared" si="133"/>
        <v>944052.27599999995</v>
      </c>
      <c r="J181" s="424">
        <v>200000</v>
      </c>
      <c r="K181" s="424">
        <v>0.2</v>
      </c>
      <c r="L181" s="424">
        <f t="shared" si="121"/>
        <v>188810.4552</v>
      </c>
      <c r="M181" s="424">
        <f t="shared" si="122"/>
        <v>388810.45520000003</v>
      </c>
      <c r="N181" s="424">
        <f t="shared" si="123"/>
        <v>388810.45520000003</v>
      </c>
      <c r="O181" s="424">
        <f t="shared" si="124"/>
        <v>555241.82079999999</v>
      </c>
      <c r="P181" s="424">
        <f t="shared" si="125"/>
        <v>21000</v>
      </c>
      <c r="Q181" s="424">
        <f t="shared" si="126"/>
        <v>28076.600288000001</v>
      </c>
      <c r="R181" s="424">
        <f t="shared" si="127"/>
        <v>0</v>
      </c>
      <c r="S181" s="424">
        <f t="shared" si="128"/>
        <v>0</v>
      </c>
      <c r="T181" s="424">
        <f t="shared" si="129"/>
        <v>0</v>
      </c>
      <c r="U181" s="259"/>
      <c r="V181" s="424">
        <f t="shared" si="135"/>
        <v>49076.600288000001</v>
      </c>
      <c r="W181" s="431">
        <v>12</v>
      </c>
      <c r="X181" s="424">
        <f t="shared" si="130"/>
        <v>4089.7166906666698</v>
      </c>
      <c r="Y181" s="259"/>
      <c r="Z181" s="424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" x14ac:dyDescent="0.15">
      <c r="B182" s="16" t="s">
        <v>367</v>
      </c>
      <c r="C182" s="436">
        <v>68675.997025000004</v>
      </c>
      <c r="D182" s="423">
        <v>12</v>
      </c>
      <c r="E182" s="424">
        <f t="shared" si="132"/>
        <v>824111.96429999999</v>
      </c>
      <c r="F182" s="259"/>
      <c r="G182" s="259"/>
      <c r="H182" s="259"/>
      <c r="I182" s="424">
        <f t="shared" si="133"/>
        <v>824111.96429999999</v>
      </c>
      <c r="J182" s="424">
        <v>200000</v>
      </c>
      <c r="K182" s="424">
        <v>0.2</v>
      </c>
      <c r="L182" s="424">
        <f t="shared" si="121"/>
        <v>164822.39285999999</v>
      </c>
      <c r="M182" s="424">
        <f t="shared" si="122"/>
        <v>364822.39286000002</v>
      </c>
      <c r="N182" s="424">
        <f t="shared" si="123"/>
        <v>364822.39286000002</v>
      </c>
      <c r="O182" s="424">
        <f t="shared" si="124"/>
        <v>459289.57144000003</v>
      </c>
      <c r="P182" s="424">
        <f t="shared" si="125"/>
        <v>21000</v>
      </c>
      <c r="Q182" s="424">
        <f t="shared" si="126"/>
        <v>17521.852858400001</v>
      </c>
      <c r="R182" s="424">
        <f t="shared" si="127"/>
        <v>0</v>
      </c>
      <c r="S182" s="424">
        <f t="shared" si="128"/>
        <v>0</v>
      </c>
      <c r="T182" s="424">
        <f t="shared" si="129"/>
        <v>0</v>
      </c>
      <c r="U182" s="259"/>
      <c r="V182" s="424">
        <f t="shared" si="135"/>
        <v>38521.852858400001</v>
      </c>
      <c r="W182" s="431">
        <v>12</v>
      </c>
      <c r="X182" s="424">
        <f t="shared" si="130"/>
        <v>3210.1544048666701</v>
      </c>
      <c r="Y182" s="259"/>
      <c r="Z182" s="424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" x14ac:dyDescent="0.15">
      <c r="B183" s="16" t="s">
        <v>369</v>
      </c>
      <c r="C183" s="436">
        <v>62980.079250000003</v>
      </c>
      <c r="D183" s="423">
        <v>12</v>
      </c>
      <c r="E183" s="424">
        <f t="shared" si="132"/>
        <v>755760.951</v>
      </c>
      <c r="F183" s="259"/>
      <c r="G183" s="259"/>
      <c r="H183" s="259"/>
      <c r="I183" s="424">
        <f t="shared" si="133"/>
        <v>755760.951</v>
      </c>
      <c r="J183" s="424">
        <v>200000</v>
      </c>
      <c r="K183" s="424">
        <v>0.2</v>
      </c>
      <c r="L183" s="424">
        <f t="shared" si="121"/>
        <v>151152.19020000001</v>
      </c>
      <c r="M183" s="424">
        <f t="shared" si="122"/>
        <v>351152.19020000001</v>
      </c>
      <c r="N183" s="424">
        <f t="shared" si="123"/>
        <v>351152.19020000001</v>
      </c>
      <c r="O183" s="424">
        <f t="shared" si="124"/>
        <v>404608.76079999999</v>
      </c>
      <c r="P183" s="424">
        <f t="shared" si="125"/>
        <v>21000</v>
      </c>
      <c r="Q183" s="424">
        <f t="shared" si="126"/>
        <v>11506.963688</v>
      </c>
      <c r="R183" s="424">
        <f t="shared" si="127"/>
        <v>0</v>
      </c>
      <c r="S183" s="424">
        <f t="shared" si="128"/>
        <v>0</v>
      </c>
      <c r="T183" s="424">
        <f t="shared" si="129"/>
        <v>0</v>
      </c>
      <c r="U183" s="259"/>
      <c r="V183" s="424">
        <f t="shared" si="135"/>
        <v>32506.963688</v>
      </c>
      <c r="W183" s="431">
        <v>12</v>
      </c>
      <c r="X183" s="424">
        <f t="shared" si="130"/>
        <v>2708.9136406666698</v>
      </c>
      <c r="Y183" s="259"/>
      <c r="Z183" s="424">
        <f t="shared" si="131"/>
        <v>2708.9136406666698</v>
      </c>
      <c r="AA183" s="179">
        <v>2708.9136406666698</v>
      </c>
      <c r="AB183" s="179">
        <f t="shared" si="134"/>
        <v>-3.6379788070917101E-12</v>
      </c>
    </row>
    <row r="184" spans="2:28" ht="18" x14ac:dyDescent="0.15">
      <c r="B184" s="16" t="s">
        <v>372</v>
      </c>
      <c r="C184" s="436">
        <v>62980.079250000003</v>
      </c>
      <c r="D184" s="423">
        <v>12</v>
      </c>
      <c r="E184" s="424">
        <f t="shared" si="132"/>
        <v>755760.951</v>
      </c>
      <c r="F184" s="259"/>
      <c r="G184" s="259"/>
      <c r="H184" s="259"/>
      <c r="I184" s="424">
        <f t="shared" si="133"/>
        <v>755760.951</v>
      </c>
      <c r="J184" s="424">
        <v>200000</v>
      </c>
      <c r="K184" s="424">
        <v>0.2</v>
      </c>
      <c r="L184" s="424">
        <f t="shared" si="121"/>
        <v>151152.19020000001</v>
      </c>
      <c r="M184" s="424">
        <f t="shared" si="122"/>
        <v>351152.19020000001</v>
      </c>
      <c r="N184" s="424">
        <f t="shared" si="123"/>
        <v>351152.19020000001</v>
      </c>
      <c r="O184" s="424">
        <f t="shared" si="124"/>
        <v>404608.76079999999</v>
      </c>
      <c r="P184" s="424">
        <f t="shared" si="125"/>
        <v>21000</v>
      </c>
      <c r="Q184" s="424">
        <f t="shared" si="126"/>
        <v>11506.963688</v>
      </c>
      <c r="R184" s="424">
        <f t="shared" si="127"/>
        <v>0</v>
      </c>
      <c r="S184" s="424">
        <f t="shared" si="128"/>
        <v>0</v>
      </c>
      <c r="T184" s="424">
        <f t="shared" si="129"/>
        <v>0</v>
      </c>
      <c r="U184" s="259"/>
      <c r="V184" s="424">
        <f t="shared" si="135"/>
        <v>32506.963688</v>
      </c>
      <c r="W184" s="431">
        <v>12</v>
      </c>
      <c r="X184" s="424">
        <f t="shared" si="130"/>
        <v>2708.9136406666698</v>
      </c>
      <c r="Y184" s="259"/>
      <c r="Z184" s="424">
        <f t="shared" si="131"/>
        <v>2708.9136406666698</v>
      </c>
      <c r="AA184" s="179">
        <v>2708.9136406666698</v>
      </c>
      <c r="AB184" s="179">
        <f t="shared" si="134"/>
        <v>-3.6379788070917101E-12</v>
      </c>
    </row>
    <row r="185" spans="2:28" ht="18" x14ac:dyDescent="0.15">
      <c r="B185" s="16" t="s">
        <v>373</v>
      </c>
      <c r="C185" s="436">
        <v>62980.079250000003</v>
      </c>
      <c r="D185" s="423">
        <v>12</v>
      </c>
      <c r="E185" s="424">
        <f t="shared" si="132"/>
        <v>755760.951</v>
      </c>
      <c r="F185" s="259"/>
      <c r="G185" s="259"/>
      <c r="H185" s="259"/>
      <c r="I185" s="424">
        <f t="shared" si="133"/>
        <v>755760.951</v>
      </c>
      <c r="J185" s="424">
        <v>200000</v>
      </c>
      <c r="K185" s="424">
        <v>0.2</v>
      </c>
      <c r="L185" s="424">
        <f t="shared" si="121"/>
        <v>151152.19020000001</v>
      </c>
      <c r="M185" s="424">
        <f t="shared" si="122"/>
        <v>351152.19020000001</v>
      </c>
      <c r="N185" s="424">
        <f t="shared" si="123"/>
        <v>351152.19020000001</v>
      </c>
      <c r="O185" s="424">
        <f t="shared" si="124"/>
        <v>404608.76079999999</v>
      </c>
      <c r="P185" s="424">
        <f t="shared" si="125"/>
        <v>21000</v>
      </c>
      <c r="Q185" s="424">
        <f t="shared" si="126"/>
        <v>11506.963688</v>
      </c>
      <c r="R185" s="424">
        <f t="shared" si="127"/>
        <v>0</v>
      </c>
      <c r="S185" s="424">
        <f t="shared" si="128"/>
        <v>0</v>
      </c>
      <c r="T185" s="424">
        <f t="shared" si="129"/>
        <v>0</v>
      </c>
      <c r="U185" s="259"/>
      <c r="V185" s="424">
        <f t="shared" si="135"/>
        <v>32506.963688</v>
      </c>
      <c r="W185" s="431">
        <v>12</v>
      </c>
      <c r="X185" s="424">
        <f t="shared" si="130"/>
        <v>2708.9136406666698</v>
      </c>
      <c r="Y185" s="259"/>
      <c r="Z185" s="424">
        <f t="shared" si="131"/>
        <v>2708.9136406666698</v>
      </c>
      <c r="AA185" s="179">
        <v>2708.9136406666698</v>
      </c>
      <c r="AB185" s="179">
        <f t="shared" si="134"/>
        <v>-3.6379788070917101E-12</v>
      </c>
    </row>
    <row r="186" spans="2:28" ht="18" x14ac:dyDescent="0.15">
      <c r="B186" s="16" t="s">
        <v>374</v>
      </c>
      <c r="C186" s="436">
        <v>72103.749500000005</v>
      </c>
      <c r="D186" s="423">
        <v>12</v>
      </c>
      <c r="E186" s="424">
        <f t="shared" si="132"/>
        <v>865244.99399999995</v>
      </c>
      <c r="F186" s="259"/>
      <c r="G186" s="259"/>
      <c r="H186" s="259"/>
      <c r="I186" s="424">
        <f t="shared" si="133"/>
        <v>865244.99399999995</v>
      </c>
      <c r="J186" s="424">
        <v>200000</v>
      </c>
      <c r="K186" s="424">
        <v>0.2</v>
      </c>
      <c r="L186" s="424">
        <f t="shared" si="121"/>
        <v>173048.9988</v>
      </c>
      <c r="M186" s="424">
        <f t="shared" si="122"/>
        <v>373048.9988</v>
      </c>
      <c r="N186" s="424">
        <f t="shared" si="123"/>
        <v>373048.9988</v>
      </c>
      <c r="O186" s="424">
        <f t="shared" si="124"/>
        <v>492195.9952</v>
      </c>
      <c r="P186" s="424">
        <f t="shared" si="125"/>
        <v>21000</v>
      </c>
      <c r="Q186" s="424">
        <f t="shared" si="126"/>
        <v>21141.559472000001</v>
      </c>
      <c r="R186" s="424">
        <f t="shared" si="127"/>
        <v>0</v>
      </c>
      <c r="S186" s="424">
        <f t="shared" si="128"/>
        <v>0</v>
      </c>
      <c r="T186" s="424">
        <f t="shared" si="129"/>
        <v>0</v>
      </c>
      <c r="U186" s="259"/>
      <c r="V186" s="424">
        <f t="shared" si="135"/>
        <v>42141.559472000001</v>
      </c>
      <c r="W186" s="431">
        <v>12</v>
      </c>
      <c r="X186" s="424">
        <f t="shared" si="130"/>
        <v>3511.7966226666699</v>
      </c>
      <c r="Y186" s="259"/>
      <c r="Z186" s="424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" x14ac:dyDescent="0.15">
      <c r="B187" s="16" t="s">
        <v>377</v>
      </c>
      <c r="C187" s="436">
        <v>72103.749500000005</v>
      </c>
      <c r="D187" s="423">
        <v>12</v>
      </c>
      <c r="E187" s="424">
        <f t="shared" si="132"/>
        <v>865244.99399999995</v>
      </c>
      <c r="F187" s="259"/>
      <c r="G187" s="259"/>
      <c r="H187" s="259"/>
      <c r="I187" s="424">
        <f t="shared" si="133"/>
        <v>865244.99399999995</v>
      </c>
      <c r="J187" s="424">
        <v>200000</v>
      </c>
      <c r="K187" s="424">
        <v>0.2</v>
      </c>
      <c r="L187" s="424">
        <f t="shared" si="121"/>
        <v>173048.9988</v>
      </c>
      <c r="M187" s="424">
        <f t="shared" si="122"/>
        <v>373048.9988</v>
      </c>
      <c r="N187" s="424">
        <f t="shared" si="123"/>
        <v>373048.9988</v>
      </c>
      <c r="O187" s="424">
        <f t="shared" si="124"/>
        <v>492195.9952</v>
      </c>
      <c r="P187" s="424">
        <f t="shared" si="125"/>
        <v>21000</v>
      </c>
      <c r="Q187" s="424">
        <f t="shared" si="126"/>
        <v>21141.559472000001</v>
      </c>
      <c r="R187" s="424">
        <f t="shared" si="127"/>
        <v>0</v>
      </c>
      <c r="S187" s="424">
        <f t="shared" si="128"/>
        <v>0</v>
      </c>
      <c r="T187" s="424">
        <f t="shared" si="129"/>
        <v>0</v>
      </c>
      <c r="U187" s="259"/>
      <c r="V187" s="424">
        <f t="shared" si="135"/>
        <v>42141.559472000001</v>
      </c>
      <c r="W187" s="431">
        <v>12</v>
      </c>
      <c r="X187" s="424">
        <f t="shared" si="130"/>
        <v>3511.7966226666699</v>
      </c>
      <c r="Y187" s="259"/>
      <c r="Z187" s="424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 x14ac:dyDescent="0.2">
      <c r="B188" s="6"/>
      <c r="C188" s="179"/>
      <c r="E188" s="501"/>
      <c r="W188" s="257" t="s">
        <v>813</v>
      </c>
      <c r="Z188" s="514">
        <f>SUM(Z6:Z187)</f>
        <v>7214215.7686455902</v>
      </c>
      <c r="AA188" s="515">
        <f>SUM(AA6:AA187)</f>
        <v>7445494.5793200796</v>
      </c>
      <c r="AB188" s="516">
        <f>AB77+AB90+AB97+AB107+AB61+AB33</f>
        <v>-231278.810674484</v>
      </c>
    </row>
    <row r="189" spans="2:28" ht="18" x14ac:dyDescent="0.2">
      <c r="B189" s="28"/>
      <c r="C189" s="179"/>
    </row>
    <row r="190" spans="2:28" ht="18" x14ac:dyDescent="0.2">
      <c r="B190" s="31"/>
      <c r="X190" s="257" t="s">
        <v>814</v>
      </c>
      <c r="AB190" s="517">
        <f>AB81+AB82+AB83+AB84+AB86+AB88+AB89+AB94+AB95+AB96+AB102+AB103+AB104+AB105+AB106</f>
        <v>-351613.55740448099</v>
      </c>
    </row>
    <row r="191" spans="2:28" ht="13.5" x14ac:dyDescent="0.15">
      <c r="X191" s="257" t="s">
        <v>815</v>
      </c>
      <c r="AB191" s="518">
        <f>AB87+AB85+AB74+AB61+AB21+AB19+AB18+AB16+AB15</f>
        <v>126852.23813</v>
      </c>
    </row>
    <row r="192" spans="2:28" ht="13.5" x14ac:dyDescent="0.15">
      <c r="X192" s="257" t="s">
        <v>816</v>
      </c>
      <c r="AB192" s="519">
        <f>SUM(AB190:AB191)</f>
        <v>-224761.31927448101</v>
      </c>
    </row>
    <row r="193" spans="24:28" ht="13.5" x14ac:dyDescent="0.15">
      <c r="X193" s="257" t="s">
        <v>817</v>
      </c>
      <c r="AB193" s="520">
        <f>-6517.49</f>
        <v>-6517.49</v>
      </c>
    </row>
    <row r="194" spans="24:28" ht="24.75" customHeight="1" x14ac:dyDescent="0.15">
      <c r="X194" s="257" t="s">
        <v>647</v>
      </c>
      <c r="AA194" s="179"/>
      <c r="AB194" s="521">
        <f>AB192+AB193</f>
        <v>-231278.809274481</v>
      </c>
    </row>
    <row r="196" spans="24:28" x14ac:dyDescent="0.15">
      <c r="AA196" s="370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0"/>
  <sheetViews>
    <sheetView workbookViewId="0">
      <selection activeCell="D20" sqref="D20"/>
    </sheetView>
  </sheetViews>
  <sheetFormatPr defaultColWidth="9.03515625" defaultRowHeight="12.75" x14ac:dyDescent="0.15"/>
  <cols>
    <col min="1" max="1" width="5.796875" customWidth="1"/>
    <col min="2" max="2" width="42.74609375" customWidth="1"/>
    <col min="3" max="3" width="18.0703125" customWidth="1"/>
    <col min="4" max="4" width="19.55078125" customWidth="1"/>
    <col min="5" max="5" width="14.83203125" customWidth="1"/>
    <col min="6" max="6" width="34.65625" customWidth="1"/>
  </cols>
  <sheetData>
    <row r="1" spans="1:6" ht="13.5" x14ac:dyDescent="0.15">
      <c r="A1" s="484"/>
      <c r="B1" s="484"/>
      <c r="C1" s="484"/>
      <c r="D1" s="484"/>
      <c r="E1" s="484"/>
    </row>
    <row r="2" spans="1:6" ht="48" x14ac:dyDescent="0.25">
      <c r="A2" s="485" t="s">
        <v>21</v>
      </c>
      <c r="B2" s="485" t="s">
        <v>501</v>
      </c>
      <c r="C2" s="486" t="s">
        <v>818</v>
      </c>
      <c r="D2" s="486" t="s">
        <v>819</v>
      </c>
      <c r="E2" s="486" t="s">
        <v>820</v>
      </c>
      <c r="F2" s="487"/>
    </row>
    <row r="3" spans="1:6" ht="18.75" x14ac:dyDescent="0.25">
      <c r="A3" s="485"/>
      <c r="B3" s="485"/>
      <c r="C3" s="486" t="s">
        <v>20</v>
      </c>
      <c r="D3" s="486" t="s">
        <v>20</v>
      </c>
      <c r="E3" s="486" t="s">
        <v>20</v>
      </c>
      <c r="F3" s="487"/>
    </row>
    <row r="4" spans="1:6" ht="18.75" x14ac:dyDescent="0.25">
      <c r="A4" s="488">
        <v>1</v>
      </c>
      <c r="B4" s="489" t="s">
        <v>188</v>
      </c>
      <c r="C4" s="490">
        <v>98996.103146666705</v>
      </c>
      <c r="D4" s="490">
        <v>79796.103146666603</v>
      </c>
      <c r="E4" s="490">
        <f>C4-D4</f>
        <v>19200.000000000098</v>
      </c>
      <c r="F4" s="487"/>
    </row>
    <row r="5" spans="1:6" ht="18.75" x14ac:dyDescent="0.25">
      <c r="A5" s="488">
        <v>2</v>
      </c>
      <c r="B5" s="489" t="s">
        <v>193</v>
      </c>
      <c r="C5" s="490">
        <v>79956.9391466667</v>
      </c>
      <c r="D5" s="490">
        <v>75574.677290666703</v>
      </c>
      <c r="E5" s="490">
        <f t="shared" ref="E5:E11" si="0">C5-D5</f>
        <v>4382.2618560000001</v>
      </c>
      <c r="F5" s="487"/>
    </row>
    <row r="6" spans="1:6" ht="18.75" x14ac:dyDescent="0.25">
      <c r="A6" s="488">
        <v>3</v>
      </c>
      <c r="B6" s="489" t="s">
        <v>194</v>
      </c>
      <c r="C6" s="490">
        <v>75574.677290666703</v>
      </c>
      <c r="D6" s="490">
        <v>50985.977546666698</v>
      </c>
      <c r="E6" s="490">
        <f t="shared" si="0"/>
        <v>24588.699744000001</v>
      </c>
      <c r="F6" s="487"/>
    </row>
    <row r="7" spans="1:6" ht="18.75" x14ac:dyDescent="0.25">
      <c r="A7" s="488">
        <v>4</v>
      </c>
      <c r="B7" s="489" t="s">
        <v>195</v>
      </c>
      <c r="C7" s="490">
        <v>50985.977546666698</v>
      </c>
      <c r="D7" s="490">
        <v>49548.776186666699</v>
      </c>
      <c r="E7" s="490">
        <f t="shared" si="0"/>
        <v>1437.20136</v>
      </c>
      <c r="F7" s="487"/>
    </row>
    <row r="8" spans="1:6" ht="18.75" x14ac:dyDescent="0.25">
      <c r="A8" s="488">
        <v>5</v>
      </c>
      <c r="B8" s="489" t="s">
        <v>198</v>
      </c>
      <c r="C8" s="490">
        <v>53384.053562666697</v>
      </c>
      <c r="D8" s="490">
        <v>41338.951098666701</v>
      </c>
      <c r="E8" s="490">
        <f t="shared" si="0"/>
        <v>12045.102464</v>
      </c>
      <c r="F8" s="487"/>
    </row>
    <row r="9" spans="1:6" ht="18.75" x14ac:dyDescent="0.25">
      <c r="A9" s="488">
        <v>6</v>
      </c>
      <c r="B9" s="489" t="s">
        <v>202</v>
      </c>
      <c r="C9" s="490">
        <v>45414.4562526667</v>
      </c>
      <c r="D9" s="490">
        <v>33825.986562666702</v>
      </c>
      <c r="E9" s="490">
        <f t="shared" si="0"/>
        <v>11588.46969</v>
      </c>
      <c r="F9" s="487"/>
    </row>
    <row r="10" spans="1:6" ht="18.75" x14ac:dyDescent="0.25">
      <c r="A10" s="488">
        <v>7</v>
      </c>
      <c r="B10" s="489" t="s">
        <v>204</v>
      </c>
      <c r="C10" s="490">
        <v>33825.986562666702</v>
      </c>
      <c r="D10" s="490">
        <v>29984.870925426701</v>
      </c>
      <c r="E10" s="490">
        <f t="shared" si="0"/>
        <v>3841.1156372400001</v>
      </c>
      <c r="F10" s="487"/>
    </row>
    <row r="11" spans="1:6" ht="18.75" x14ac:dyDescent="0.25">
      <c r="A11" s="488">
        <v>8</v>
      </c>
      <c r="B11" s="489" t="s">
        <v>211</v>
      </c>
      <c r="C11" s="491">
        <v>82627.951418666693</v>
      </c>
      <c r="D11" s="490">
        <v>43492.373376666699</v>
      </c>
      <c r="E11" s="490">
        <f t="shared" si="0"/>
        <v>39135.578042000001</v>
      </c>
      <c r="F11" s="487"/>
    </row>
    <row r="12" spans="1:6" ht="18.75" x14ac:dyDescent="0.25">
      <c r="A12" s="488">
        <v>9</v>
      </c>
      <c r="B12" s="489" t="s">
        <v>217</v>
      </c>
      <c r="C12" s="490">
        <v>43492.373376666699</v>
      </c>
      <c r="D12" s="490">
        <v>34968.882414666703</v>
      </c>
      <c r="E12" s="490">
        <f t="shared" ref="E12:E14" si="1">C12-D12</f>
        <v>8523.4909619999999</v>
      </c>
      <c r="F12" s="487"/>
    </row>
    <row r="13" spans="1:6" ht="18.75" x14ac:dyDescent="0.25">
      <c r="A13" s="488">
        <v>10</v>
      </c>
      <c r="B13" s="489" t="s">
        <v>219</v>
      </c>
      <c r="C13" s="490">
        <v>34968.882414666703</v>
      </c>
      <c r="D13" s="490">
        <v>27105.986562666702</v>
      </c>
      <c r="E13" s="490">
        <f t="shared" si="1"/>
        <v>7862.8958519999996</v>
      </c>
      <c r="F13" s="487"/>
    </row>
    <row r="14" spans="1:6" ht="18.75" x14ac:dyDescent="0.25">
      <c r="A14" s="488">
        <v>11</v>
      </c>
      <c r="B14" s="489" t="s">
        <v>226</v>
      </c>
      <c r="C14" s="490">
        <v>180180.378218667</v>
      </c>
      <c r="D14" s="490">
        <v>58814.673103466703</v>
      </c>
      <c r="E14" s="490">
        <f t="shared" si="1"/>
        <v>121365.70511520001</v>
      </c>
      <c r="F14" s="487"/>
    </row>
    <row r="15" spans="1:6" ht="18.75" x14ac:dyDescent="0.25">
      <c r="A15" s="488">
        <v>12</v>
      </c>
      <c r="B15" s="489" t="s">
        <v>228</v>
      </c>
      <c r="C15" s="490">
        <v>99907.951418666693</v>
      </c>
      <c r="D15" s="490">
        <v>58631.439944426696</v>
      </c>
      <c r="E15" s="490">
        <f t="shared" ref="E15:E18" si="2">C15-D15</f>
        <v>41276.511474239996</v>
      </c>
      <c r="F15" s="487"/>
    </row>
    <row r="16" spans="1:6" ht="18.75" x14ac:dyDescent="0.25">
      <c r="A16" s="488">
        <v>13</v>
      </c>
      <c r="B16" s="489" t="s">
        <v>230</v>
      </c>
      <c r="C16" s="490">
        <v>58941.101743466701</v>
      </c>
      <c r="D16" s="490">
        <v>31871.335203306699</v>
      </c>
      <c r="E16" s="490">
        <f t="shared" si="2"/>
        <v>27069.766540159999</v>
      </c>
      <c r="F16" s="487"/>
    </row>
    <row r="17" spans="1:6" ht="18.75" x14ac:dyDescent="0.25">
      <c r="A17" s="488">
        <v>14</v>
      </c>
      <c r="B17" s="489" t="s">
        <v>233</v>
      </c>
      <c r="C17" s="490">
        <v>58631.439944426696</v>
      </c>
      <c r="D17" s="490">
        <v>31221.145554666698</v>
      </c>
      <c r="E17" s="490">
        <f t="shared" si="2"/>
        <v>27410.294389760002</v>
      </c>
      <c r="F17" s="487"/>
    </row>
    <row r="18" spans="1:6" ht="18.75" x14ac:dyDescent="0.25">
      <c r="A18" s="488">
        <v>15</v>
      </c>
      <c r="B18" s="489" t="s">
        <v>234</v>
      </c>
      <c r="C18" s="490">
        <v>31871.335203306699</v>
      </c>
      <c r="D18" s="490">
        <v>29984.870925426701</v>
      </c>
      <c r="E18" s="490">
        <f t="shared" si="2"/>
        <v>1886.4642778800001</v>
      </c>
      <c r="F18" s="487"/>
    </row>
    <row r="19" spans="1:6" ht="18.75" x14ac:dyDescent="0.25">
      <c r="A19" s="489"/>
      <c r="B19" s="492" t="s">
        <v>111</v>
      </c>
      <c r="C19" s="492">
        <f>SUM(C4:C18)</f>
        <v>1028759.6072472</v>
      </c>
      <c r="D19" s="492">
        <f t="shared" ref="D19:E19" si="3">SUM(D4:D18)</f>
        <v>677146.04984272004</v>
      </c>
      <c r="E19" s="492">
        <f t="shared" si="3"/>
        <v>351613.55740448</v>
      </c>
      <c r="F19" s="487"/>
    </row>
    <row r="20" spans="1:6" ht="24.75" customHeight="1" x14ac:dyDescent="0.25">
      <c r="A20" s="493"/>
      <c r="B20" s="493"/>
      <c r="C20" s="493"/>
      <c r="D20" s="493"/>
      <c r="E20" s="493"/>
      <c r="F20" s="487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98"/>
  <sheetViews>
    <sheetView workbookViewId="0">
      <selection activeCell="O196" sqref="O196"/>
    </sheetView>
  </sheetViews>
  <sheetFormatPr defaultColWidth="9.16796875" defaultRowHeight="18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5" width="20.2265625" style="1" customWidth="1"/>
    <col min="6" max="6" width="17.93359375" style="1" customWidth="1"/>
    <col min="7" max="7" width="18.33984375" style="1" customWidth="1"/>
    <col min="8" max="8" width="18.0703125" style="1" customWidth="1"/>
    <col min="9" max="9" width="17.80078125" style="1" customWidth="1"/>
    <col min="10" max="12" width="19.95703125" style="1" customWidth="1"/>
    <col min="13" max="15" width="19.6875" style="1" customWidth="1"/>
    <col min="16" max="16" width="21.7109375" style="1" customWidth="1"/>
    <col min="17" max="16384" width="9.16796875" style="1"/>
  </cols>
  <sheetData>
    <row r="1" spans="1:16" ht="27" customHeight="1" x14ac:dyDescent="0.3">
      <c r="A1" s="967" t="s">
        <v>0</v>
      </c>
      <c r="B1" s="967"/>
      <c r="C1" s="967"/>
      <c r="D1" s="967"/>
      <c r="E1" s="967"/>
      <c r="F1" s="967"/>
      <c r="G1" s="183"/>
      <c r="H1" s="183"/>
      <c r="I1" s="183"/>
      <c r="J1" s="183"/>
      <c r="K1" s="183"/>
      <c r="L1" s="183"/>
    </row>
    <row r="2" spans="1:16" ht="33.75" customHeight="1" x14ac:dyDescent="0.3">
      <c r="A2" s="459" t="s">
        <v>821</v>
      </c>
      <c r="B2" s="460"/>
      <c r="C2" s="459"/>
      <c r="D2" s="459"/>
      <c r="E2" s="461"/>
      <c r="F2" s="461"/>
      <c r="G2" s="262"/>
      <c r="H2" s="262"/>
      <c r="I2" s="262"/>
      <c r="J2" s="262"/>
      <c r="K2" s="262"/>
      <c r="L2" s="262"/>
      <c r="M2" s="63"/>
      <c r="N2" s="63"/>
      <c r="O2" s="63"/>
    </row>
    <row r="3" spans="1:16" ht="9.75" customHeight="1" x14ac:dyDescent="0.2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748</v>
      </c>
      <c r="F4" s="184" t="s">
        <v>801</v>
      </c>
      <c r="G4" s="184" t="s">
        <v>802</v>
      </c>
      <c r="H4" s="184" t="s">
        <v>803</v>
      </c>
      <c r="I4" s="184" t="s">
        <v>8</v>
      </c>
      <c r="J4" s="462" t="s">
        <v>702</v>
      </c>
      <c r="K4" s="462" t="s">
        <v>804</v>
      </c>
      <c r="L4" s="462" t="s">
        <v>805</v>
      </c>
      <c r="M4" s="463" t="s">
        <v>806</v>
      </c>
      <c r="N4" s="463" t="s">
        <v>807</v>
      </c>
      <c r="O4" s="463" t="s">
        <v>808</v>
      </c>
    </row>
    <row r="5" spans="1:16" ht="17.25" customHeight="1" x14ac:dyDescent="0.2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4"/>
      <c r="K5" s="464"/>
      <c r="L5" s="464"/>
      <c r="M5" s="465" t="s">
        <v>20</v>
      </c>
      <c r="N5" s="465"/>
      <c r="O5" s="465"/>
    </row>
    <row r="6" spans="1:16" ht="20.100000000000001" customHeight="1" x14ac:dyDescent="0.2">
      <c r="A6" s="7" t="s">
        <v>21</v>
      </c>
      <c r="B6" s="6" t="s">
        <v>22</v>
      </c>
      <c r="C6" s="6"/>
      <c r="D6" s="6"/>
      <c r="E6" s="67"/>
      <c r="F6" s="19"/>
      <c r="G6" s="67"/>
      <c r="H6" s="67"/>
      <c r="I6" s="67"/>
      <c r="J6" s="464"/>
      <c r="K6" s="464"/>
      <c r="L6" s="464"/>
      <c r="M6" s="465"/>
      <c r="N6" s="465"/>
      <c r="O6" s="465"/>
    </row>
    <row r="7" spans="1:16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6">
        <f>E7+F7+G7+H7+I7</f>
        <v>1934986.1669999999</v>
      </c>
      <c r="K7" s="466">
        <v>1158849.8400000001</v>
      </c>
      <c r="L7" s="466">
        <f>J7-K7</f>
        <v>776136.32700000005</v>
      </c>
      <c r="M7" s="467">
        <v>350184.01073066698</v>
      </c>
      <c r="N7" s="467">
        <v>201165.83594666701</v>
      </c>
      <c r="O7" s="468">
        <f>M7-N7</f>
        <v>149018.174784</v>
      </c>
      <c r="P7" s="11"/>
    </row>
    <row r="8" spans="1:16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6">
        <f t="shared" ref="J8:J33" si="0">E8+F8+G8+H8+I8</f>
        <v>852373.16666666698</v>
      </c>
      <c r="K8" s="466">
        <v>541465.02474999998</v>
      </c>
      <c r="L8" s="466">
        <f t="shared" ref="L8:L33" si="1">J8-K8</f>
        <v>310908.14191666699</v>
      </c>
      <c r="M8" s="467">
        <v>130612.26282666701</v>
      </c>
      <c r="N8" s="467">
        <v>82627.951418666693</v>
      </c>
      <c r="O8" s="468">
        <f t="shared" ref="O8:O33" si="2">M8-N8</f>
        <v>47984.3114080003</v>
      </c>
      <c r="P8" s="11"/>
    </row>
    <row r="9" spans="1:16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6">
        <f t="shared" si="0"/>
        <v>1052373.16666667</v>
      </c>
      <c r="K9" s="466">
        <v>741465.02474999998</v>
      </c>
      <c r="L9" s="466">
        <f t="shared" si="1"/>
        <v>310908.14191666699</v>
      </c>
      <c r="M9" s="467">
        <v>180722.31466666699</v>
      </c>
      <c r="N9" s="467">
        <v>121027.951418667</v>
      </c>
      <c r="O9" s="468">
        <f t="shared" si="2"/>
        <v>59694.363248000001</v>
      </c>
      <c r="P9" s="11"/>
    </row>
    <row r="10" spans="1:16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70">
        <v>762373.16666666698</v>
      </c>
      <c r="F10" s="70"/>
      <c r="G10" s="186">
        <v>180000</v>
      </c>
      <c r="H10" s="186"/>
      <c r="I10" s="70">
        <v>0</v>
      </c>
      <c r="J10" s="466">
        <f t="shared" si="0"/>
        <v>942373.16666666698</v>
      </c>
      <c r="K10" s="466">
        <v>631465.02474999998</v>
      </c>
      <c r="L10" s="466">
        <f t="shared" si="1"/>
        <v>310908.14191666699</v>
      </c>
      <c r="M10" s="467">
        <v>147687.52761066699</v>
      </c>
      <c r="N10" s="467">
        <v>99703.216202666707</v>
      </c>
      <c r="O10" s="468">
        <f t="shared" si="2"/>
        <v>47984.3114080003</v>
      </c>
      <c r="P10" s="11"/>
    </row>
    <row r="11" spans="1:16" ht="20.100000000000001" customHeight="1" x14ac:dyDescent="0.2">
      <c r="A11" s="8">
        <v>5</v>
      </c>
      <c r="B11" s="12" t="s">
        <v>271</v>
      </c>
      <c r="C11" s="2" t="s">
        <v>792</v>
      </c>
      <c r="D11" s="8" t="s">
        <v>28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6">
        <f t="shared" si="0"/>
        <v>1002373.16666667</v>
      </c>
      <c r="K11" s="466">
        <v>691465.02474999998</v>
      </c>
      <c r="L11" s="466">
        <f t="shared" si="1"/>
        <v>310908.14191666699</v>
      </c>
      <c r="M11" s="467">
        <v>159207.52761066699</v>
      </c>
      <c r="N11" s="467">
        <v>111223.216202667</v>
      </c>
      <c r="O11" s="468">
        <f t="shared" si="2"/>
        <v>47984.311408000001</v>
      </c>
      <c r="P11" s="11"/>
    </row>
    <row r="12" spans="1:16" ht="20.100000000000001" customHeight="1" x14ac:dyDescent="0.2">
      <c r="A12" s="8">
        <v>6</v>
      </c>
      <c r="B12" s="16" t="s">
        <v>530</v>
      </c>
      <c r="C12" s="8" t="s">
        <v>531</v>
      </c>
      <c r="D12" s="8" t="s">
        <v>28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6">
        <f t="shared" si="0"/>
        <v>952373.16666666698</v>
      </c>
      <c r="K12" s="466">
        <v>641465.02474999998</v>
      </c>
      <c r="L12" s="466">
        <f t="shared" si="1"/>
        <v>310908.14191666699</v>
      </c>
      <c r="M12" s="467">
        <v>161522.31466666699</v>
      </c>
      <c r="N12" s="467">
        <v>101827.951418667</v>
      </c>
      <c r="O12" s="468">
        <f t="shared" si="2"/>
        <v>59694.363248000001</v>
      </c>
      <c r="P12" s="11"/>
    </row>
    <row r="13" spans="1:16" ht="20.100000000000001" customHeight="1" x14ac:dyDescent="0.2">
      <c r="A13" s="8">
        <v>7</v>
      </c>
      <c r="B13" s="9" t="s">
        <v>33</v>
      </c>
      <c r="C13" s="10" t="s">
        <v>532</v>
      </c>
      <c r="D13" s="13" t="s">
        <v>131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6">
        <f t="shared" si="0"/>
        <v>750675.58333333302</v>
      </c>
      <c r="K13" s="466">
        <v>497553.5025</v>
      </c>
      <c r="L13" s="466">
        <f t="shared" si="1"/>
        <v>253122.08083333299</v>
      </c>
      <c r="M13" s="467">
        <v>113101.965706667</v>
      </c>
      <c r="N13" s="467">
        <v>74036.103146666705</v>
      </c>
      <c r="O13" s="468">
        <f t="shared" si="2"/>
        <v>39065.8625600003</v>
      </c>
      <c r="P13" s="11"/>
    </row>
    <row r="14" spans="1:16" ht="20.100000000000001" customHeight="1" x14ac:dyDescent="0.2">
      <c r="A14" s="8">
        <v>8</v>
      </c>
      <c r="B14" s="9" t="s">
        <v>36</v>
      </c>
      <c r="C14" s="2" t="s">
        <v>37</v>
      </c>
      <c r="D14" s="8" t="s">
        <v>49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6">
        <f t="shared" si="0"/>
        <v>842118.08333333302</v>
      </c>
      <c r="K14" s="466">
        <v>604729.22199999995</v>
      </c>
      <c r="L14" s="466">
        <f t="shared" si="1"/>
        <v>237388.86133333301</v>
      </c>
      <c r="M14" s="467">
        <v>131263.10967466701</v>
      </c>
      <c r="N14" s="467">
        <v>94625.782058666693</v>
      </c>
      <c r="O14" s="468">
        <f t="shared" si="2"/>
        <v>36637.327616000301</v>
      </c>
      <c r="P14" s="11"/>
    </row>
    <row r="15" spans="1:16" ht="20.100000000000001" customHeight="1" x14ac:dyDescent="0.2">
      <c r="A15" s="8">
        <v>9</v>
      </c>
      <c r="B15" s="9" t="s">
        <v>39</v>
      </c>
      <c r="C15" s="2" t="s">
        <v>40</v>
      </c>
      <c r="D15" s="13" t="s">
        <v>41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6">
        <f t="shared" si="0"/>
        <v>554373.75</v>
      </c>
      <c r="K15" s="466">
        <v>343333.03525000002</v>
      </c>
      <c r="L15" s="466">
        <f t="shared" si="1"/>
        <v>211040.71475000001</v>
      </c>
      <c r="M15" s="467">
        <v>77666.445866666705</v>
      </c>
      <c r="N15" s="467">
        <v>44846.6165886667</v>
      </c>
      <c r="O15" s="468">
        <f t="shared" si="2"/>
        <v>32819.829277999997</v>
      </c>
      <c r="P15" s="11"/>
    </row>
    <row r="16" spans="1:16" ht="20.100000000000001" customHeight="1" x14ac:dyDescent="0.2">
      <c r="A16" s="8">
        <v>10</v>
      </c>
      <c r="B16" s="12" t="s">
        <v>42</v>
      </c>
      <c r="C16" s="15" t="s">
        <v>156</v>
      </c>
      <c r="D16" s="13" t="s">
        <v>176</v>
      </c>
      <c r="E16" s="70">
        <v>470498</v>
      </c>
      <c r="F16" s="70"/>
      <c r="G16" s="186">
        <v>140000</v>
      </c>
      <c r="H16" s="186"/>
      <c r="I16" s="70">
        <v>50000</v>
      </c>
      <c r="J16" s="466">
        <f t="shared" si="0"/>
        <v>660498</v>
      </c>
      <c r="K16" s="466">
        <v>463333.03525000002</v>
      </c>
      <c r="L16" s="466">
        <f t="shared" si="1"/>
        <v>197164.96475000001</v>
      </c>
      <c r="M16" s="469">
        <v>98255.4333866667</v>
      </c>
      <c r="N16" s="467">
        <v>67626.609434666694</v>
      </c>
      <c r="O16" s="468">
        <f t="shared" si="2"/>
        <v>30628.823951999999</v>
      </c>
      <c r="P16" s="11"/>
    </row>
    <row r="17" spans="1:16" ht="20.100000000000001" customHeight="1" x14ac:dyDescent="0.2">
      <c r="A17" s="8">
        <v>11</v>
      </c>
      <c r="B17" s="9" t="s">
        <v>44</v>
      </c>
      <c r="C17" s="2" t="s">
        <v>45</v>
      </c>
      <c r="D17" s="8" t="s">
        <v>197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6">
        <f t="shared" si="0"/>
        <v>732746.5</v>
      </c>
      <c r="K17" s="466">
        <v>547211.36750000005</v>
      </c>
      <c r="L17" s="466">
        <f t="shared" si="1"/>
        <v>185535.13250000001</v>
      </c>
      <c r="M17" s="467">
        <v>112553.408426667</v>
      </c>
      <c r="N17" s="467">
        <v>83731.249226666696</v>
      </c>
      <c r="O17" s="468">
        <f t="shared" si="2"/>
        <v>28822.1592000003</v>
      </c>
      <c r="P17" s="11"/>
    </row>
    <row r="18" spans="1:16" ht="20.100000000000001" customHeight="1" x14ac:dyDescent="0.2">
      <c r="A18" s="8">
        <v>12</v>
      </c>
      <c r="B18" s="9" t="s">
        <v>47</v>
      </c>
      <c r="C18" s="2" t="s">
        <v>533</v>
      </c>
      <c r="D18" s="8" t="s">
        <v>52</v>
      </c>
      <c r="E18" s="70">
        <v>441804.91666666698</v>
      </c>
      <c r="F18" s="70"/>
      <c r="G18" s="186"/>
      <c r="H18" s="186">
        <v>70000</v>
      </c>
      <c r="I18" s="70"/>
      <c r="J18" s="466">
        <f t="shared" si="0"/>
        <v>511804.91666666698</v>
      </c>
      <c r="K18" s="466">
        <v>326663.07750000001</v>
      </c>
      <c r="L18" s="466">
        <f t="shared" si="1"/>
        <v>185141.83916666699</v>
      </c>
      <c r="M18" s="467">
        <v>70147.087146666701</v>
      </c>
      <c r="N18" s="467">
        <v>42046.063686666697</v>
      </c>
      <c r="O18" s="468">
        <f t="shared" si="2"/>
        <v>28101.02346</v>
      </c>
    </row>
    <row r="19" spans="1:16" ht="20.100000000000001" customHeight="1" x14ac:dyDescent="0.2">
      <c r="A19" s="8">
        <v>13</v>
      </c>
      <c r="B19" s="9" t="s">
        <v>50</v>
      </c>
      <c r="C19" s="10" t="s">
        <v>51</v>
      </c>
      <c r="D19" s="13" t="s">
        <v>534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6">
        <f t="shared" si="0"/>
        <v>548915.91666666698</v>
      </c>
      <c r="K19" s="466">
        <v>369177.65375</v>
      </c>
      <c r="L19" s="466">
        <f t="shared" si="1"/>
        <v>179738.26291666701</v>
      </c>
      <c r="M19" s="467">
        <v>77470.374186666697</v>
      </c>
      <c r="N19" s="467">
        <v>49548.776186666699</v>
      </c>
      <c r="O19" s="468">
        <f t="shared" si="2"/>
        <v>27921.598000000002</v>
      </c>
      <c r="P19" s="11"/>
    </row>
    <row r="20" spans="1:16" ht="20.100000000000001" customHeight="1" x14ac:dyDescent="0.2">
      <c r="A20" s="8">
        <v>14</v>
      </c>
      <c r="B20" s="16" t="s">
        <v>53</v>
      </c>
      <c r="C20" s="2" t="s">
        <v>793</v>
      </c>
      <c r="D20" s="13" t="s">
        <v>535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6">
        <f t="shared" si="0"/>
        <v>636026.91666666698</v>
      </c>
      <c r="K20" s="466">
        <v>462001.06050000002</v>
      </c>
      <c r="L20" s="466">
        <f t="shared" si="1"/>
        <v>174025.85616666701</v>
      </c>
      <c r="M20" s="467">
        <v>94274.903466666699</v>
      </c>
      <c r="N20" s="467">
        <v>67370.870282666699</v>
      </c>
      <c r="O20" s="468">
        <f t="shared" si="2"/>
        <v>26904.033184</v>
      </c>
      <c r="P20" s="11"/>
    </row>
    <row r="21" spans="1:16" ht="18.75" customHeight="1" x14ac:dyDescent="0.2">
      <c r="A21" s="8">
        <v>15</v>
      </c>
      <c r="B21" s="9" t="s">
        <v>63</v>
      </c>
      <c r="C21" s="10" t="s">
        <v>64</v>
      </c>
      <c r="D21" s="13" t="s">
        <v>162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6">
        <f t="shared" si="0"/>
        <v>537895.16666666698</v>
      </c>
      <c r="K21" s="466">
        <v>384536.99849999999</v>
      </c>
      <c r="L21" s="466">
        <f t="shared" si="1"/>
        <v>153358.16816666699</v>
      </c>
      <c r="M21" s="467">
        <v>76138.068906666696</v>
      </c>
      <c r="N21" s="467">
        <v>52497.770378666602</v>
      </c>
      <c r="O21" s="468">
        <f t="shared" si="2"/>
        <v>23640.298528000101</v>
      </c>
      <c r="P21" s="11"/>
    </row>
    <row r="22" spans="1:16" ht="20.100000000000001" customHeight="1" x14ac:dyDescent="0.2">
      <c r="A22" s="8">
        <v>16</v>
      </c>
      <c r="B22" s="12" t="s">
        <v>66</v>
      </c>
      <c r="C22" s="15" t="s">
        <v>794</v>
      </c>
      <c r="D22" s="8" t="s">
        <v>137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6">
        <f t="shared" si="0"/>
        <v>553512.5</v>
      </c>
      <c r="K22" s="466">
        <v>400372.07500000001</v>
      </c>
      <c r="L22" s="466">
        <f t="shared" si="1"/>
        <v>153140.42499999999</v>
      </c>
      <c r="M22" s="467">
        <v>79511.114666666705</v>
      </c>
      <c r="N22" s="467">
        <v>55538.1050666667</v>
      </c>
      <c r="O22" s="468">
        <f t="shared" si="2"/>
        <v>23973.009600000001</v>
      </c>
      <c r="P22" s="11"/>
    </row>
    <row r="23" spans="1:16" ht="21.6" customHeight="1" x14ac:dyDescent="0.2">
      <c r="A23" s="8">
        <v>17</v>
      </c>
      <c r="B23" s="9" t="s">
        <v>69</v>
      </c>
      <c r="C23" s="15" t="s">
        <v>70</v>
      </c>
      <c r="D23" s="13" t="s">
        <v>137</v>
      </c>
      <c r="E23" s="70">
        <v>353512.5</v>
      </c>
      <c r="F23" s="70"/>
      <c r="G23" s="186">
        <v>110000</v>
      </c>
      <c r="H23" s="186"/>
      <c r="I23" s="70">
        <v>0</v>
      </c>
      <c r="J23" s="466">
        <f t="shared" si="0"/>
        <v>463512.5</v>
      </c>
      <c r="K23" s="466">
        <v>1015372.075</v>
      </c>
      <c r="L23" s="466">
        <f t="shared" si="1"/>
        <v>-551859.57499999995</v>
      </c>
      <c r="M23" s="467">
        <v>62231.114666666697</v>
      </c>
      <c r="N23" s="467">
        <v>40149.175266666702</v>
      </c>
      <c r="O23" s="468">
        <f t="shared" si="2"/>
        <v>22081.939399999999</v>
      </c>
      <c r="P23" s="11"/>
    </row>
    <row r="24" spans="1:16" ht="20.100000000000001" customHeight="1" x14ac:dyDescent="0.2">
      <c r="A24" s="8">
        <v>18</v>
      </c>
      <c r="B24" s="12" t="s">
        <v>71</v>
      </c>
      <c r="C24" s="15" t="s">
        <v>72</v>
      </c>
      <c r="D24" s="8" t="s">
        <v>73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6">
        <f t="shared" si="0"/>
        <v>453029.66666666698</v>
      </c>
      <c r="K24" s="466">
        <v>328602.07775</v>
      </c>
      <c r="L24" s="466">
        <f t="shared" si="1"/>
        <v>124427.58891666699</v>
      </c>
      <c r="M24" s="467">
        <v>61147.426986666702</v>
      </c>
      <c r="N24" s="467">
        <v>42371.815728666697</v>
      </c>
      <c r="O24" s="468">
        <f t="shared" si="2"/>
        <v>18775.611258000001</v>
      </c>
      <c r="P24" s="11"/>
    </row>
    <row r="25" spans="1:16" ht="18.75" customHeight="1" x14ac:dyDescent="0.2">
      <c r="A25" s="8">
        <v>19</v>
      </c>
      <c r="B25" s="2" t="s">
        <v>77</v>
      </c>
      <c r="C25" s="2" t="s">
        <v>78</v>
      </c>
      <c r="D25" s="8" t="s">
        <v>84</v>
      </c>
      <c r="E25" s="70">
        <v>270481.66666666698</v>
      </c>
      <c r="F25" s="70"/>
      <c r="G25" s="186"/>
      <c r="H25" s="186">
        <f>50000+10000</f>
        <v>60000</v>
      </c>
      <c r="I25" s="70"/>
      <c r="J25" s="466">
        <f t="shared" si="0"/>
        <v>330481.66666666698</v>
      </c>
      <c r="K25" s="466">
        <v>213508.01</v>
      </c>
      <c r="L25" s="466">
        <f t="shared" si="1"/>
        <v>116973.656666667</v>
      </c>
      <c r="M25" s="469">
        <v>39052.313066666698</v>
      </c>
      <c r="N25" s="467">
        <v>23036.012346666699</v>
      </c>
      <c r="O25" s="468">
        <f t="shared" si="2"/>
        <v>16016.300719999999</v>
      </c>
      <c r="P25" s="11"/>
    </row>
    <row r="26" spans="1:16" ht="18.75" customHeight="1" x14ac:dyDescent="0.2">
      <c r="A26" s="8">
        <v>20</v>
      </c>
      <c r="B26" s="16" t="s">
        <v>80</v>
      </c>
      <c r="C26" s="10" t="s">
        <v>78</v>
      </c>
      <c r="D26" s="13" t="s">
        <v>84</v>
      </c>
      <c r="E26" s="70">
        <v>270481.66666666698</v>
      </c>
      <c r="F26" s="70"/>
      <c r="G26" s="186"/>
      <c r="H26" s="186">
        <f>50000+10000</f>
        <v>60000</v>
      </c>
      <c r="I26" s="70"/>
      <c r="J26" s="466">
        <f t="shared" si="0"/>
        <v>330481.66666666698</v>
      </c>
      <c r="K26" s="466">
        <v>213508.01</v>
      </c>
      <c r="L26" s="466">
        <f t="shared" si="1"/>
        <v>116973.656666667</v>
      </c>
      <c r="M26" s="467">
        <v>39052.313066666698</v>
      </c>
      <c r="N26" s="467">
        <v>23036.012346666699</v>
      </c>
      <c r="O26" s="468">
        <f t="shared" si="2"/>
        <v>16016.300719999999</v>
      </c>
      <c r="P26" s="11"/>
    </row>
    <row r="27" spans="1:16" ht="20.100000000000001" customHeight="1" x14ac:dyDescent="0.2">
      <c r="A27" s="8">
        <v>21</v>
      </c>
      <c r="B27" s="9" t="s">
        <v>81</v>
      </c>
      <c r="C27" s="15" t="s">
        <v>67</v>
      </c>
      <c r="D27" s="8" t="s">
        <v>84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6">
        <f t="shared" si="0"/>
        <v>370481.66666666698</v>
      </c>
      <c r="K27" s="466">
        <v>253508.01</v>
      </c>
      <c r="L27" s="466">
        <f t="shared" si="1"/>
        <v>116973.656666667</v>
      </c>
      <c r="M27" s="467">
        <v>45772.313066666698</v>
      </c>
      <c r="N27" s="467">
        <v>29756.012346666699</v>
      </c>
      <c r="O27" s="468">
        <f t="shared" si="2"/>
        <v>16016.300719999999</v>
      </c>
      <c r="P27" s="11"/>
    </row>
    <row r="28" spans="1:16" ht="18.75" customHeight="1" x14ac:dyDescent="0.2">
      <c r="A28" s="8">
        <v>22</v>
      </c>
      <c r="B28" s="16" t="s">
        <v>82</v>
      </c>
      <c r="C28" s="10" t="s">
        <v>83</v>
      </c>
      <c r="D28" s="13" t="s">
        <v>87</v>
      </c>
      <c r="E28" s="70">
        <v>263165.33333333302</v>
      </c>
      <c r="F28" s="70"/>
      <c r="G28" s="186"/>
      <c r="H28" s="186">
        <f>60000</f>
        <v>60000</v>
      </c>
      <c r="I28" s="2"/>
      <c r="J28" s="466">
        <f t="shared" si="0"/>
        <v>323165.33333333302</v>
      </c>
      <c r="K28" s="466">
        <v>209356.04725</v>
      </c>
      <c r="L28" s="466">
        <f t="shared" si="1"/>
        <v>113809.28608333301</v>
      </c>
      <c r="M28" s="467">
        <v>37921.500586666698</v>
      </c>
      <c r="N28" s="467">
        <v>22338.4826046667</v>
      </c>
      <c r="O28" s="468">
        <f t="shared" si="2"/>
        <v>15583.017981999999</v>
      </c>
      <c r="P28" s="11"/>
    </row>
    <row r="29" spans="1:16" ht="18.75" customHeight="1" x14ac:dyDescent="0.2">
      <c r="A29" s="8">
        <v>23</v>
      </c>
      <c r="B29" s="16" t="s">
        <v>85</v>
      </c>
      <c r="C29" s="2" t="s">
        <v>86</v>
      </c>
      <c r="D29" s="8" t="s">
        <v>96</v>
      </c>
      <c r="E29" s="70">
        <v>255849</v>
      </c>
      <c r="F29" s="70"/>
      <c r="G29" s="186"/>
      <c r="H29" s="186">
        <f>60000</f>
        <v>60000</v>
      </c>
      <c r="I29" s="70"/>
      <c r="J29" s="466">
        <f t="shared" si="0"/>
        <v>315849</v>
      </c>
      <c r="K29" s="466">
        <v>205204.0845</v>
      </c>
      <c r="L29" s="466">
        <f t="shared" si="1"/>
        <v>110644.9155</v>
      </c>
      <c r="M29" s="467">
        <v>36790.688106666697</v>
      </c>
      <c r="N29" s="467">
        <v>21640.952862666702</v>
      </c>
      <c r="O29" s="468">
        <f t="shared" si="2"/>
        <v>15149.735244</v>
      </c>
      <c r="P29" s="11"/>
    </row>
    <row r="30" spans="1:16" ht="18.75" customHeight="1" x14ac:dyDescent="0.2">
      <c r="A30" s="8">
        <v>24</v>
      </c>
      <c r="B30" s="16" t="s">
        <v>88</v>
      </c>
      <c r="C30" s="2" t="s">
        <v>86</v>
      </c>
      <c r="D30" s="8" t="s">
        <v>96</v>
      </c>
      <c r="E30" s="70">
        <v>255849</v>
      </c>
      <c r="F30" s="70"/>
      <c r="G30" s="186"/>
      <c r="H30" s="186">
        <f>60000</f>
        <v>60000</v>
      </c>
      <c r="I30" s="70"/>
      <c r="J30" s="466">
        <f t="shared" si="0"/>
        <v>315849</v>
      </c>
      <c r="K30" s="466">
        <v>205204.0845</v>
      </c>
      <c r="L30" s="466">
        <f t="shared" si="1"/>
        <v>110644.9155</v>
      </c>
      <c r="M30" s="467">
        <v>36790.688106666697</v>
      </c>
      <c r="N30" s="467">
        <v>21640.952862666702</v>
      </c>
      <c r="O30" s="468">
        <f t="shared" si="2"/>
        <v>15149.735244</v>
      </c>
      <c r="P30" s="11"/>
    </row>
    <row r="31" spans="1:16" ht="18.75" customHeight="1" x14ac:dyDescent="0.2">
      <c r="A31" s="8">
        <v>25</v>
      </c>
      <c r="B31" s="16" t="s">
        <v>89</v>
      </c>
      <c r="C31" s="15" t="s">
        <v>90</v>
      </c>
      <c r="D31" s="13" t="s">
        <v>84</v>
      </c>
      <c r="E31" s="70">
        <v>270481.66666666698</v>
      </c>
      <c r="F31" s="70"/>
      <c r="G31" s="186"/>
      <c r="H31" s="186">
        <f>60000</f>
        <v>60000</v>
      </c>
      <c r="I31" s="70"/>
      <c r="J31" s="466">
        <f t="shared" si="0"/>
        <v>330481.66666666698</v>
      </c>
      <c r="K31" s="466">
        <v>209356.04725</v>
      </c>
      <c r="L31" s="466">
        <f t="shared" si="1"/>
        <v>121125.619416667</v>
      </c>
      <c r="M31" s="470">
        <v>39052.313066666698</v>
      </c>
      <c r="N31" s="470">
        <v>22338.4826046667</v>
      </c>
      <c r="O31" s="468">
        <f t="shared" si="2"/>
        <v>16713.830462000002</v>
      </c>
      <c r="P31" s="11"/>
    </row>
    <row r="32" spans="1:16" ht="18.75" customHeight="1" x14ac:dyDescent="0.2">
      <c r="A32" s="8">
        <v>26</v>
      </c>
      <c r="B32" s="16" t="s">
        <v>92</v>
      </c>
      <c r="C32" s="2" t="s">
        <v>93</v>
      </c>
      <c r="D32" s="8" t="s">
        <v>102</v>
      </c>
      <c r="E32" s="70">
        <v>230631.91666666701</v>
      </c>
      <c r="F32" s="70"/>
      <c r="G32" s="186"/>
      <c r="H32" s="186">
        <f>50000</f>
        <v>50000</v>
      </c>
      <c r="I32" s="70"/>
      <c r="J32" s="466">
        <f t="shared" si="0"/>
        <v>280631.91666666698</v>
      </c>
      <c r="K32" s="466">
        <v>180304.068</v>
      </c>
      <c r="L32" s="466">
        <f t="shared" si="1"/>
        <v>100327.84866666701</v>
      </c>
      <c r="M32" s="467">
        <v>31213.135706666701</v>
      </c>
      <c r="N32" s="467">
        <v>17572.885002666699</v>
      </c>
      <c r="O32" s="468">
        <f t="shared" si="2"/>
        <v>13640.250704</v>
      </c>
      <c r="P32" s="11"/>
    </row>
    <row r="33" spans="1:16" ht="18.75" customHeight="1" x14ac:dyDescent="0.2">
      <c r="A33" s="8">
        <v>27</v>
      </c>
      <c r="B33" s="16" t="s">
        <v>100</v>
      </c>
      <c r="C33" s="10" t="s">
        <v>101</v>
      </c>
      <c r="D33" s="13" t="s">
        <v>105</v>
      </c>
      <c r="E33" s="70">
        <v>224459.75</v>
      </c>
      <c r="F33" s="70"/>
      <c r="G33" s="186"/>
      <c r="H33" s="186">
        <v>50000</v>
      </c>
      <c r="I33" s="70"/>
      <c r="J33" s="466">
        <f t="shared" si="0"/>
        <v>274459.75</v>
      </c>
      <c r="K33" s="466">
        <v>173329.04949999999</v>
      </c>
      <c r="L33" s="466">
        <f t="shared" si="1"/>
        <v>101130.70050000001</v>
      </c>
      <c r="M33" s="467">
        <v>30259.165626666701</v>
      </c>
      <c r="N33" s="467">
        <v>16512.682190666699</v>
      </c>
      <c r="O33" s="468">
        <f t="shared" si="2"/>
        <v>13746.483436</v>
      </c>
      <c r="P33" s="11"/>
    </row>
    <row r="34" spans="1:16" ht="26.25" customHeight="1" x14ac:dyDescent="0.2">
      <c r="A34" s="8"/>
      <c r="B34" s="18" t="s">
        <v>111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889763.30677200202</v>
      </c>
      <c r="P34" s="11"/>
    </row>
    <row r="35" spans="1:16" ht="18.75" customHeight="1" x14ac:dyDescent="0.2">
      <c r="A35" s="8"/>
      <c r="B35" s="20"/>
      <c r="C35" s="2"/>
      <c r="D35" s="13"/>
      <c r="E35" s="187"/>
      <c r="F35" s="187"/>
      <c r="G35" s="186"/>
      <c r="H35" s="186"/>
      <c r="I35" s="187"/>
      <c r="J35" s="471"/>
      <c r="K35" s="471"/>
      <c r="L35" s="471"/>
      <c r="M35" s="472"/>
      <c r="N35" s="472"/>
      <c r="O35" s="472"/>
      <c r="P35" s="11"/>
    </row>
    <row r="36" spans="1:16" ht="18.75" customHeight="1" x14ac:dyDescent="0.2">
      <c r="A36" s="8"/>
      <c r="B36" s="18" t="s">
        <v>112</v>
      </c>
      <c r="C36" s="2"/>
      <c r="D36" s="13"/>
      <c r="E36" s="70"/>
      <c r="F36" s="70"/>
      <c r="G36" s="186"/>
      <c r="H36" s="186"/>
      <c r="I36" s="70"/>
      <c r="J36" s="466"/>
      <c r="K36" s="466"/>
      <c r="L36" s="466"/>
      <c r="M36" s="467"/>
      <c r="N36" s="467"/>
      <c r="O36" s="467"/>
      <c r="P36" s="11"/>
    </row>
    <row r="37" spans="1:16" ht="18.75" customHeight="1" x14ac:dyDescent="0.2">
      <c r="A37" s="8">
        <v>1</v>
      </c>
      <c r="B37" s="16" t="s">
        <v>113</v>
      </c>
      <c r="C37" s="2" t="s">
        <v>114</v>
      </c>
      <c r="D37" s="8" t="s">
        <v>115</v>
      </c>
      <c r="E37" s="70">
        <v>1435720</v>
      </c>
      <c r="F37" s="70"/>
      <c r="G37" s="186"/>
      <c r="H37" s="186">
        <f>100000</f>
        <v>100000</v>
      </c>
      <c r="I37" s="70"/>
      <c r="J37" s="466">
        <f>E37+F37+G37+H37+I37</f>
        <v>1535720</v>
      </c>
      <c r="K37" s="466">
        <v>950209.06350000005</v>
      </c>
      <c r="L37" s="466">
        <f>J37-K37</f>
        <v>585510.93649999995</v>
      </c>
      <c r="M37" s="468">
        <v>251472.247466667</v>
      </c>
      <c r="N37" s="467">
        <v>161106.806858667</v>
      </c>
      <c r="O37" s="468">
        <f>M37-N37</f>
        <v>90365.440608000004</v>
      </c>
      <c r="P37" s="11"/>
    </row>
    <row r="38" spans="1:16" ht="18.75" customHeight="1" x14ac:dyDescent="0.2">
      <c r="A38" s="8">
        <v>2</v>
      </c>
      <c r="B38" s="16" t="s">
        <v>116</v>
      </c>
      <c r="C38" s="2" t="s">
        <v>795</v>
      </c>
      <c r="D38" s="8" t="s">
        <v>73</v>
      </c>
      <c r="E38" s="70">
        <v>293029.66666666698</v>
      </c>
      <c r="F38" s="70"/>
      <c r="G38" s="186"/>
      <c r="H38" s="186">
        <f>60000</f>
        <v>60000</v>
      </c>
      <c r="I38" s="70"/>
      <c r="J38" s="466">
        <f t="shared" ref="J38:J39" si="8">E38+F38+G38+H38+I38</f>
        <v>353029.66666666698</v>
      </c>
      <c r="K38" s="466">
        <v>176816.1</v>
      </c>
      <c r="L38" s="466">
        <f t="shared" ref="L38:L39" si="9">J38-K38</f>
        <v>176213.566666667</v>
      </c>
      <c r="M38" s="468">
        <v>42537.331946666702</v>
      </c>
      <c r="N38" s="467">
        <v>17042.713866666702</v>
      </c>
      <c r="O38" s="468">
        <f>M38-N38</f>
        <v>25494.61808</v>
      </c>
      <c r="P38" s="11"/>
    </row>
    <row r="39" spans="1:16" ht="18.75" customHeight="1" x14ac:dyDescent="0.2">
      <c r="A39" s="8">
        <v>3</v>
      </c>
      <c r="B39" s="9" t="s">
        <v>118</v>
      </c>
      <c r="C39" s="10" t="s">
        <v>796</v>
      </c>
      <c r="D39" s="13" t="s">
        <v>76</v>
      </c>
      <c r="E39" s="70">
        <v>300965.58333333302</v>
      </c>
      <c r="F39" s="70"/>
      <c r="G39" s="186"/>
      <c r="H39" s="186">
        <f>50000+10000</f>
        <v>60000</v>
      </c>
      <c r="I39" s="70"/>
      <c r="J39" s="466">
        <f t="shared" si="8"/>
        <v>360965.58333333302</v>
      </c>
      <c r="K39" s="466">
        <v>233169.11749999999</v>
      </c>
      <c r="L39" s="466">
        <f t="shared" si="9"/>
        <v>127796.465833333</v>
      </c>
      <c r="M39" s="468">
        <v>43763.907226666699</v>
      </c>
      <c r="N39" s="467">
        <v>26339.0784066667</v>
      </c>
      <c r="O39" s="468">
        <f>M39-N39</f>
        <v>17424.828819999999</v>
      </c>
      <c r="P39" s="11"/>
    </row>
    <row r="40" spans="1:16" ht="19.5" customHeight="1" x14ac:dyDescent="0.2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 x14ac:dyDescent="0.2">
      <c r="A41" s="8"/>
      <c r="B41" s="12"/>
      <c r="C41" s="2"/>
      <c r="D41" s="8"/>
      <c r="E41" s="187"/>
      <c r="F41" s="187"/>
      <c r="G41" s="186"/>
      <c r="H41" s="186"/>
      <c r="I41" s="187"/>
      <c r="J41" s="471"/>
      <c r="K41" s="471"/>
      <c r="L41" s="471"/>
      <c r="M41" s="472"/>
      <c r="N41" s="472"/>
      <c r="O41" s="472"/>
      <c r="P41" s="11"/>
    </row>
    <row r="42" spans="1:16" ht="20.100000000000001" customHeight="1" x14ac:dyDescent="0.2">
      <c r="A42" s="8"/>
      <c r="B42" s="21" t="s">
        <v>125</v>
      </c>
      <c r="C42" s="3"/>
      <c r="D42" s="22"/>
      <c r="E42" s="187"/>
      <c r="F42" s="187"/>
      <c r="G42" s="186"/>
      <c r="H42" s="186"/>
      <c r="I42" s="70"/>
      <c r="J42" s="466"/>
      <c r="K42" s="466"/>
      <c r="L42" s="466"/>
      <c r="M42" s="467"/>
      <c r="N42" s="467"/>
      <c r="O42" s="467"/>
      <c r="P42" s="11"/>
    </row>
    <row r="43" spans="1:16" ht="20.100000000000001" customHeight="1" x14ac:dyDescent="0.2">
      <c r="A43" s="8">
        <v>1</v>
      </c>
      <c r="B43" s="9" t="s">
        <v>536</v>
      </c>
      <c r="C43" s="2" t="s">
        <v>537</v>
      </c>
      <c r="D43" s="8" t="s">
        <v>115</v>
      </c>
      <c r="E43" s="70">
        <v>1435720</v>
      </c>
      <c r="F43" s="70"/>
      <c r="G43" s="186">
        <f>200000</f>
        <v>200000</v>
      </c>
      <c r="H43" s="186"/>
      <c r="I43" s="70"/>
      <c r="J43" s="466">
        <f>E43+F43+G43+H43+I43</f>
        <v>1635720</v>
      </c>
      <c r="K43" s="466">
        <v>1050209.0634999999</v>
      </c>
      <c r="L43" s="466">
        <f>J43-K43</f>
        <v>585510.93649999995</v>
      </c>
      <c r="M43" s="468">
        <v>270672.24746666697</v>
      </c>
      <c r="N43" s="467">
        <v>180306.806858667</v>
      </c>
      <c r="O43" s="468">
        <f t="shared" ref="O43:O53" si="11">M43-N43</f>
        <v>90365.440608000004</v>
      </c>
      <c r="P43" s="11"/>
    </row>
    <row r="44" spans="1:16" ht="20.100000000000001" customHeight="1" x14ac:dyDescent="0.2">
      <c r="A44" s="8">
        <v>2</v>
      </c>
      <c r="B44" s="9" t="s">
        <v>538</v>
      </c>
      <c r="C44" s="2" t="s">
        <v>43</v>
      </c>
      <c r="D44" s="8" t="s">
        <v>131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6">
        <f t="shared" ref="J44:J53" si="12">E44+F44+G44+H44+I44</f>
        <v>780675.58333333302</v>
      </c>
      <c r="K44" s="466">
        <v>527553.50249999994</v>
      </c>
      <c r="L44" s="466">
        <f t="shared" ref="L44:L53" si="13">J44-K44</f>
        <v>253122.08083333299</v>
      </c>
      <c r="M44" s="468">
        <v>119022.801706667</v>
      </c>
      <c r="N44" s="467">
        <v>79956.9391466667</v>
      </c>
      <c r="O44" s="468">
        <f t="shared" si="11"/>
        <v>39065.8625600003</v>
      </c>
      <c r="P44" s="11"/>
    </row>
    <row r="45" spans="1:16" ht="20.100000000000001" customHeight="1" x14ac:dyDescent="0.2">
      <c r="A45" s="8">
        <v>3</v>
      </c>
      <c r="B45" s="9" t="s">
        <v>126</v>
      </c>
      <c r="C45" s="2" t="s">
        <v>127</v>
      </c>
      <c r="D45" s="8" t="s">
        <v>35</v>
      </c>
      <c r="E45" s="70">
        <v>739203.58333333302</v>
      </c>
      <c r="F45" s="70"/>
      <c r="G45" s="186">
        <f>180000</f>
        <v>180000</v>
      </c>
      <c r="H45" s="186"/>
      <c r="I45" s="70"/>
      <c r="J45" s="466">
        <f t="shared" si="12"/>
        <v>919203.58333333302</v>
      </c>
      <c r="K45" s="466">
        <v>617743.99575</v>
      </c>
      <c r="L45" s="466">
        <f t="shared" si="13"/>
        <v>301459.58758333302</v>
      </c>
      <c r="M45" s="468">
        <v>143799.58762666699</v>
      </c>
      <c r="N45" s="467">
        <v>97273.513850666699</v>
      </c>
      <c r="O45" s="468">
        <f t="shared" si="11"/>
        <v>46526.073776000303</v>
      </c>
      <c r="P45" s="11"/>
    </row>
    <row r="46" spans="1:16" ht="20.100000000000001" customHeight="1" x14ac:dyDescent="0.2">
      <c r="A46" s="8">
        <v>4</v>
      </c>
      <c r="B46" s="9" t="s">
        <v>129</v>
      </c>
      <c r="C46" s="2" t="s">
        <v>130</v>
      </c>
      <c r="D46" s="8" t="s">
        <v>131</v>
      </c>
      <c r="E46" s="70">
        <v>620675.58333333302</v>
      </c>
      <c r="F46" s="70"/>
      <c r="G46" s="186">
        <f>160000</f>
        <v>160000</v>
      </c>
      <c r="H46" s="186"/>
      <c r="I46" s="70"/>
      <c r="J46" s="466">
        <f t="shared" si="12"/>
        <v>780675.58333333302</v>
      </c>
      <c r="K46" s="466">
        <v>527553.50249999994</v>
      </c>
      <c r="L46" s="466">
        <f t="shared" si="13"/>
        <v>253122.08083333299</v>
      </c>
      <c r="M46" s="468">
        <v>119022.801706667</v>
      </c>
      <c r="N46" s="467">
        <v>79956.9391466667</v>
      </c>
      <c r="O46" s="468">
        <f t="shared" si="11"/>
        <v>39065.8625600003</v>
      </c>
      <c r="P46" s="11"/>
    </row>
    <row r="47" spans="1:16" ht="20.100000000000001" customHeight="1" x14ac:dyDescent="0.2">
      <c r="A47" s="8">
        <v>5</v>
      </c>
      <c r="B47" s="9" t="s">
        <v>132</v>
      </c>
      <c r="C47" s="2" t="s">
        <v>130</v>
      </c>
      <c r="D47" s="8" t="s">
        <v>131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6">
        <f t="shared" si="12"/>
        <v>780675.58333333302</v>
      </c>
      <c r="K47" s="466">
        <v>527553.50249999994</v>
      </c>
      <c r="L47" s="466">
        <f t="shared" si="13"/>
        <v>253122.08083333299</v>
      </c>
      <c r="M47" s="468">
        <v>118861.965706667</v>
      </c>
      <c r="N47" s="467">
        <v>79796.103146666603</v>
      </c>
      <c r="O47" s="468">
        <f t="shared" si="11"/>
        <v>39065.862560000402</v>
      </c>
      <c r="P47" s="11"/>
    </row>
    <row r="48" spans="1:16" ht="20.100000000000001" customHeight="1" x14ac:dyDescent="0.2">
      <c r="A48" s="8">
        <v>6</v>
      </c>
      <c r="B48" s="9" t="s">
        <v>133</v>
      </c>
      <c r="C48" s="2" t="s">
        <v>130</v>
      </c>
      <c r="D48" s="8" t="s">
        <v>49</v>
      </c>
      <c r="E48" s="70">
        <v>582118.08333333302</v>
      </c>
      <c r="F48" s="70"/>
      <c r="G48" s="186">
        <f>140000+20000</f>
        <v>160000</v>
      </c>
      <c r="H48" s="186"/>
      <c r="I48" s="70"/>
      <c r="J48" s="466">
        <f t="shared" si="12"/>
        <v>742118.08333333302</v>
      </c>
      <c r="K48" s="466">
        <v>504720.04700000002</v>
      </c>
      <c r="L48" s="466">
        <f t="shared" si="13"/>
        <v>237398.036333333</v>
      </c>
      <c r="M48" s="468">
        <v>112212.004906667</v>
      </c>
      <c r="N48" s="467">
        <v>75572.915690666705</v>
      </c>
      <c r="O48" s="468">
        <f t="shared" si="11"/>
        <v>36639.089216000299</v>
      </c>
      <c r="P48" s="11"/>
    </row>
    <row r="49" spans="1:16" ht="20.100000000000001" customHeight="1" x14ac:dyDescent="0.2">
      <c r="A49" s="8">
        <v>7</v>
      </c>
      <c r="B49" s="12" t="s">
        <v>134</v>
      </c>
      <c r="C49" s="2" t="s">
        <v>156</v>
      </c>
      <c r="D49" s="14" t="s">
        <v>176</v>
      </c>
      <c r="E49" s="70">
        <v>470498</v>
      </c>
      <c r="F49" s="70"/>
      <c r="G49" s="186">
        <f>140000</f>
        <v>140000</v>
      </c>
      <c r="H49" s="186"/>
      <c r="I49" s="70"/>
      <c r="J49" s="466">
        <f t="shared" si="12"/>
        <v>610498</v>
      </c>
      <c r="K49" s="466">
        <v>413333.03525000002</v>
      </c>
      <c r="L49" s="466">
        <f t="shared" si="13"/>
        <v>197164.96475000001</v>
      </c>
      <c r="M49" s="468">
        <v>88655.4333866667</v>
      </c>
      <c r="N49" s="467">
        <v>58026.609434666701</v>
      </c>
      <c r="O49" s="468">
        <f t="shared" si="11"/>
        <v>30628.823951999999</v>
      </c>
      <c r="P49" s="11"/>
    </row>
    <row r="50" spans="1:16" ht="20.100000000000001" customHeight="1" x14ac:dyDescent="0.2">
      <c r="A50" s="8">
        <v>8</v>
      </c>
      <c r="B50" s="9" t="s">
        <v>138</v>
      </c>
      <c r="C50" s="2" t="s">
        <v>139</v>
      </c>
      <c r="D50" s="8" t="s">
        <v>76</v>
      </c>
      <c r="E50" s="70">
        <v>300965.58333333302</v>
      </c>
      <c r="F50" s="70"/>
      <c r="G50" s="186">
        <v>100000</v>
      </c>
      <c r="H50" s="186"/>
      <c r="I50" s="70"/>
      <c r="J50" s="466">
        <f t="shared" si="12"/>
        <v>400965.58333333302</v>
      </c>
      <c r="K50" s="466">
        <v>273169.11749999999</v>
      </c>
      <c r="L50" s="466">
        <f t="shared" si="13"/>
        <v>127796.465833333</v>
      </c>
      <c r="M50" s="468">
        <v>51029.227306666697</v>
      </c>
      <c r="N50" s="467">
        <v>33059.078406666697</v>
      </c>
      <c r="O50" s="468">
        <f t="shared" si="11"/>
        <v>17970.1489</v>
      </c>
      <c r="P50" s="11"/>
    </row>
    <row r="51" spans="1:16" ht="20.100000000000001" customHeight="1" x14ac:dyDescent="0.2">
      <c r="A51" s="8">
        <v>9</v>
      </c>
      <c r="B51" s="9" t="s">
        <v>142</v>
      </c>
      <c r="C51" s="2" t="s">
        <v>139</v>
      </c>
      <c r="D51" s="8" t="s">
        <v>87</v>
      </c>
      <c r="E51" s="70">
        <v>263165.33333333302</v>
      </c>
      <c r="F51" s="70"/>
      <c r="G51" s="186">
        <f>100000</f>
        <v>100000</v>
      </c>
      <c r="H51" s="186"/>
      <c r="I51" s="70"/>
      <c r="J51" s="466">
        <f t="shared" si="12"/>
        <v>363165.33333333302</v>
      </c>
      <c r="K51" s="466">
        <v>249356.04725</v>
      </c>
      <c r="L51" s="466">
        <f t="shared" si="13"/>
        <v>113809.28608333301</v>
      </c>
      <c r="M51" s="468">
        <v>44641.500586666698</v>
      </c>
      <c r="N51" s="467">
        <v>29058.4826046667</v>
      </c>
      <c r="O51" s="468">
        <f t="shared" si="11"/>
        <v>15583.017981999999</v>
      </c>
      <c r="P51" s="11"/>
    </row>
    <row r="52" spans="1:16" ht="20.100000000000001" customHeight="1" x14ac:dyDescent="0.2">
      <c r="A52" s="8">
        <v>10</v>
      </c>
      <c r="B52" s="9" t="s">
        <v>539</v>
      </c>
      <c r="C52" s="2" t="s">
        <v>139</v>
      </c>
      <c r="D52" s="8" t="s">
        <v>87</v>
      </c>
      <c r="E52" s="70">
        <v>263165.33333333302</v>
      </c>
      <c r="F52" s="70"/>
      <c r="G52" s="186">
        <f>100000</f>
        <v>100000</v>
      </c>
      <c r="H52" s="186"/>
      <c r="I52" s="70"/>
      <c r="J52" s="466">
        <f t="shared" si="12"/>
        <v>363165.33333333302</v>
      </c>
      <c r="K52" s="466">
        <v>249356.04725</v>
      </c>
      <c r="L52" s="466">
        <f t="shared" si="13"/>
        <v>113809.28608333301</v>
      </c>
      <c r="M52" s="468">
        <v>44641.500586666698</v>
      </c>
      <c r="N52" s="467">
        <v>28360.952862666702</v>
      </c>
      <c r="O52" s="468">
        <f t="shared" si="11"/>
        <v>16280.547724</v>
      </c>
      <c r="P52" s="11"/>
    </row>
    <row r="53" spans="1:16" ht="20.100000000000001" customHeight="1" x14ac:dyDescent="0.2">
      <c r="A53" s="8">
        <v>11</v>
      </c>
      <c r="B53" s="9" t="s">
        <v>143</v>
      </c>
      <c r="C53" s="2" t="s">
        <v>139</v>
      </c>
      <c r="D53" s="8" t="s">
        <v>87</v>
      </c>
      <c r="E53" s="70">
        <v>263165.33333333302</v>
      </c>
      <c r="F53" s="70"/>
      <c r="G53" s="186">
        <f>100000</f>
        <v>100000</v>
      </c>
      <c r="H53" s="186"/>
      <c r="I53" s="70"/>
      <c r="J53" s="466">
        <f t="shared" si="12"/>
        <v>363165.33333333302</v>
      </c>
      <c r="K53" s="466">
        <v>249356.04725</v>
      </c>
      <c r="L53" s="466">
        <f t="shared" si="13"/>
        <v>113809.28608333301</v>
      </c>
      <c r="M53" s="468">
        <v>44641.500586666698</v>
      </c>
      <c r="N53" s="467">
        <v>29058.4826046667</v>
      </c>
      <c r="O53" s="468">
        <f t="shared" si="11"/>
        <v>15583.017981999999</v>
      </c>
      <c r="P53" s="11"/>
    </row>
    <row r="54" spans="1:16" ht="25.5" customHeight="1" x14ac:dyDescent="0.5">
      <c r="A54" s="8"/>
      <c r="B54" s="18" t="s">
        <v>111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1157200.5715733401</v>
      </c>
      <c r="N54" s="78">
        <v>770426.82375333295</v>
      </c>
      <c r="O54" s="78">
        <f t="shared" si="14"/>
        <v>386773.74782000203</v>
      </c>
      <c r="P54" s="11"/>
    </row>
    <row r="55" spans="1:16" ht="20.100000000000001" customHeight="1" x14ac:dyDescent="0.2">
      <c r="A55" s="8"/>
      <c r="B55" s="20"/>
      <c r="C55" s="19"/>
      <c r="D55" s="19"/>
      <c r="E55" s="122"/>
      <c r="F55" s="122"/>
      <c r="G55" s="186"/>
      <c r="H55" s="186"/>
      <c r="I55" s="122"/>
      <c r="J55" s="473"/>
      <c r="K55" s="473"/>
      <c r="L55" s="473"/>
      <c r="M55" s="474"/>
      <c r="N55" s="474"/>
      <c r="O55" s="474"/>
      <c r="P55" s="11"/>
    </row>
    <row r="56" spans="1:16" ht="20.100000000000001" customHeight="1" x14ac:dyDescent="0.2">
      <c r="A56" s="8"/>
      <c r="B56" s="18" t="s">
        <v>145</v>
      </c>
      <c r="C56" s="19"/>
      <c r="D56" s="19"/>
      <c r="E56" s="122"/>
      <c r="F56" s="122"/>
      <c r="G56" s="186"/>
      <c r="H56" s="186"/>
      <c r="I56" s="122"/>
      <c r="J56" s="473"/>
      <c r="K56" s="473"/>
      <c r="L56" s="473"/>
      <c r="M56" s="474"/>
      <c r="N56" s="474"/>
      <c r="O56" s="474"/>
      <c r="P56" s="11"/>
    </row>
    <row r="57" spans="1:16" ht="20.100000000000001" customHeight="1" x14ac:dyDescent="0.2">
      <c r="A57" s="8">
        <v>1</v>
      </c>
      <c r="B57" s="9" t="s">
        <v>540</v>
      </c>
      <c r="C57" s="10" t="s">
        <v>147</v>
      </c>
      <c r="D57" s="13" t="s">
        <v>115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6">
        <f>E57+F57+G57+H57+I57</f>
        <v>1635720</v>
      </c>
      <c r="K57" s="466">
        <v>1050209.0634999999</v>
      </c>
      <c r="L57" s="466">
        <f>J57-K57</f>
        <v>585510.93649999995</v>
      </c>
      <c r="M57" s="468">
        <v>270672.24746666697</v>
      </c>
      <c r="N57" s="469">
        <v>180306.806858667</v>
      </c>
      <c r="O57" s="468">
        <f>M57-N57</f>
        <v>90365.440608000004</v>
      </c>
      <c r="P57" s="11"/>
    </row>
    <row r="58" spans="1:16" ht="20.100000000000001" customHeight="1" x14ac:dyDescent="0.2">
      <c r="A58" s="8">
        <v>2</v>
      </c>
      <c r="B58" s="9" t="s">
        <v>148</v>
      </c>
      <c r="C58" s="10" t="s">
        <v>149</v>
      </c>
      <c r="D58" s="13" t="s">
        <v>150</v>
      </c>
      <c r="E58" s="70">
        <v>620675.58333333302</v>
      </c>
      <c r="F58" s="70"/>
      <c r="G58" s="186"/>
      <c r="H58" s="186">
        <v>80000</v>
      </c>
      <c r="I58" s="70"/>
      <c r="J58" s="466">
        <f>E58+F58+G58+H58+I58</f>
        <v>700675.58333333302</v>
      </c>
      <c r="K58" s="466">
        <v>447553.5025</v>
      </c>
      <c r="L58" s="466">
        <f>J58-K58</f>
        <v>253122.08083333299</v>
      </c>
      <c r="M58" s="468">
        <v>103662.801706667</v>
      </c>
      <c r="N58" s="469">
        <v>64596.9391466667</v>
      </c>
      <c r="O58" s="468">
        <f>M58-N58</f>
        <v>39065.8625600003</v>
      </c>
      <c r="P58" s="11"/>
    </row>
    <row r="59" spans="1:16" ht="20.100000000000001" customHeight="1" x14ac:dyDescent="0.5">
      <c r="A59" s="8"/>
      <c r="B59" s="18" t="s">
        <v>111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374335.04917333397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 x14ac:dyDescent="0.2">
      <c r="A60" s="8"/>
      <c r="B60" s="18"/>
      <c r="C60" s="19"/>
      <c r="D60" s="19"/>
      <c r="E60" s="122"/>
      <c r="F60" s="122"/>
      <c r="G60" s="186"/>
      <c r="H60" s="186"/>
      <c r="I60" s="122"/>
      <c r="J60" s="473"/>
      <c r="K60" s="473"/>
      <c r="L60" s="473"/>
      <c r="M60" s="474"/>
      <c r="N60" s="474"/>
      <c r="O60" s="474"/>
      <c r="P60" s="11"/>
    </row>
    <row r="61" spans="1:16" ht="20.100000000000001" customHeight="1" x14ac:dyDescent="0.2">
      <c r="A61" s="8"/>
      <c r="B61" s="18" t="s">
        <v>151</v>
      </c>
      <c r="C61" s="19"/>
      <c r="D61" s="19"/>
      <c r="E61" s="122"/>
      <c r="F61" s="122"/>
      <c r="G61" s="186"/>
      <c r="H61" s="186"/>
      <c r="I61" s="122"/>
      <c r="J61" s="473"/>
      <c r="K61" s="473"/>
      <c r="L61" s="473"/>
      <c r="M61" s="474"/>
      <c r="N61" s="474"/>
      <c r="O61" s="474"/>
      <c r="P61" s="11"/>
    </row>
    <row r="62" spans="1:16" ht="20.100000000000001" customHeight="1" x14ac:dyDescent="0.2">
      <c r="A62" s="8">
        <v>1</v>
      </c>
      <c r="B62" s="9" t="s">
        <v>541</v>
      </c>
      <c r="C62" s="15" t="s">
        <v>542</v>
      </c>
      <c r="D62" s="8" t="s">
        <v>115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6">
        <f>E62+F62+G62+H62+I62</f>
        <v>1635720</v>
      </c>
      <c r="K62" s="466">
        <v>1050209.0634999999</v>
      </c>
      <c r="L62" s="466">
        <f>J62-K62</f>
        <v>585510.93649999995</v>
      </c>
      <c r="M62" s="468">
        <v>292724.90666666703</v>
      </c>
      <c r="N62" s="467">
        <v>180306.806858667</v>
      </c>
      <c r="O62" s="468">
        <f t="shared" ref="O62:O71" si="16">M62-N62</f>
        <v>112418.099808</v>
      </c>
      <c r="P62" s="11"/>
    </row>
    <row r="63" spans="1:16" ht="20.100000000000001" customHeight="1" x14ac:dyDescent="0.2">
      <c r="A63" s="8">
        <v>2</v>
      </c>
      <c r="B63" s="313" t="s">
        <v>543</v>
      </c>
      <c r="C63" s="15" t="s">
        <v>544</v>
      </c>
      <c r="D63" s="13" t="s">
        <v>38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6">
        <f t="shared" ref="J63:J71" si="17">E63+F63+G63+H63+I63</f>
        <v>761396.83333333302</v>
      </c>
      <c r="K63" s="466">
        <v>516137.05</v>
      </c>
      <c r="L63" s="466">
        <f t="shared" ref="L63:L71" si="18">J63-K63</f>
        <v>245259.78333333301</v>
      </c>
      <c r="M63" s="468">
        <v>115617.40330666699</v>
      </c>
      <c r="N63" s="467">
        <v>77764.980266666695</v>
      </c>
      <c r="O63" s="468">
        <f t="shared" si="16"/>
        <v>37852.4230400003</v>
      </c>
      <c r="P63" s="11"/>
    </row>
    <row r="64" spans="1:16" ht="20.100000000000001" customHeight="1" x14ac:dyDescent="0.2">
      <c r="A64" s="8">
        <v>3</v>
      </c>
      <c r="B64" s="9" t="s">
        <v>155</v>
      </c>
      <c r="C64" s="2" t="s">
        <v>156</v>
      </c>
      <c r="D64" s="8" t="s">
        <v>197</v>
      </c>
      <c r="E64" s="70">
        <v>442746.5</v>
      </c>
      <c r="F64" s="70"/>
      <c r="G64" s="186">
        <v>140000</v>
      </c>
      <c r="H64" s="186"/>
      <c r="I64" s="70"/>
      <c r="J64" s="466">
        <f t="shared" si="17"/>
        <v>582746.5</v>
      </c>
      <c r="K64" s="466">
        <v>397211.36749999999</v>
      </c>
      <c r="L64" s="466">
        <f t="shared" si="18"/>
        <v>185535.13250000001</v>
      </c>
      <c r="M64" s="468">
        <v>83753.408426666603</v>
      </c>
      <c r="N64" s="467">
        <v>54931.249226666703</v>
      </c>
      <c r="O64" s="468">
        <f t="shared" si="16"/>
        <v>28822.1591999999</v>
      </c>
      <c r="P64" s="11"/>
    </row>
    <row r="65" spans="1:16" ht="20.100000000000001" customHeight="1" x14ac:dyDescent="0.2">
      <c r="A65" s="8">
        <v>4</v>
      </c>
      <c r="B65" s="16" t="s">
        <v>545</v>
      </c>
      <c r="C65" s="15" t="s">
        <v>158</v>
      </c>
      <c r="D65" s="13" t="s">
        <v>534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6">
        <f t="shared" si="17"/>
        <v>548915.91666666698</v>
      </c>
      <c r="K65" s="466">
        <v>369177.65375</v>
      </c>
      <c r="L65" s="466">
        <f t="shared" si="18"/>
        <v>179738.26291666701</v>
      </c>
      <c r="M65" s="468">
        <v>77470.374186666697</v>
      </c>
      <c r="N65" s="467">
        <v>49548.776186666699</v>
      </c>
      <c r="O65" s="468">
        <f t="shared" si="16"/>
        <v>27921.598000000002</v>
      </c>
      <c r="P65" s="11"/>
    </row>
    <row r="66" spans="1:16" ht="20.100000000000001" customHeight="1" x14ac:dyDescent="0.2">
      <c r="A66" s="8">
        <v>5</v>
      </c>
      <c r="B66" s="12" t="s">
        <v>546</v>
      </c>
      <c r="C66" s="15" t="s">
        <v>156</v>
      </c>
      <c r="D66" s="13" t="s">
        <v>41</v>
      </c>
      <c r="E66" s="70">
        <v>484373.75</v>
      </c>
      <c r="F66" s="70"/>
      <c r="G66" s="186">
        <f>140000</f>
        <v>140000</v>
      </c>
      <c r="H66" s="186"/>
      <c r="I66" s="70"/>
      <c r="J66" s="466">
        <f t="shared" si="17"/>
        <v>624373.75</v>
      </c>
      <c r="K66" s="466">
        <v>421394.00675</v>
      </c>
      <c r="L66" s="466">
        <f t="shared" si="18"/>
        <v>202979.74325</v>
      </c>
      <c r="M66" s="468">
        <v>91106.445866666705</v>
      </c>
      <c r="N66" s="467">
        <v>59574.315962666697</v>
      </c>
      <c r="O66" s="468">
        <f t="shared" si="16"/>
        <v>31532.129904000001</v>
      </c>
      <c r="P66" s="11"/>
    </row>
    <row r="67" spans="1:16" ht="20.100000000000001" customHeight="1" x14ac:dyDescent="0.2">
      <c r="A67" s="8">
        <v>7</v>
      </c>
      <c r="B67" s="9" t="s">
        <v>161</v>
      </c>
      <c r="C67" s="2" t="s">
        <v>139</v>
      </c>
      <c r="D67" s="8" t="s">
        <v>68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6">
        <f t="shared" si="17"/>
        <v>475703.83333333302</v>
      </c>
      <c r="K67" s="466">
        <v>322454.07400000002</v>
      </c>
      <c r="L67" s="466">
        <f t="shared" si="18"/>
        <v>153249.759333333</v>
      </c>
      <c r="M67" s="468">
        <v>64384.591786666701</v>
      </c>
      <c r="N67" s="467">
        <v>41338.951098666701</v>
      </c>
      <c r="O67" s="468">
        <f t="shared" si="16"/>
        <v>23045.640687999999</v>
      </c>
      <c r="P67" s="11"/>
    </row>
    <row r="68" spans="1:16" ht="20.100000000000001" customHeight="1" x14ac:dyDescent="0.2">
      <c r="A68" s="8">
        <v>8</v>
      </c>
      <c r="B68" s="9" t="s">
        <v>163</v>
      </c>
      <c r="C68" s="15" t="s">
        <v>70</v>
      </c>
      <c r="D68" s="8" t="s">
        <v>68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6">
        <f t="shared" si="17"/>
        <v>475703.83333333302</v>
      </c>
      <c r="K68" s="466">
        <v>322454.07400000002</v>
      </c>
      <c r="L68" s="466">
        <f t="shared" si="18"/>
        <v>153249.759333333</v>
      </c>
      <c r="M68" s="468">
        <v>64384.591786666701</v>
      </c>
      <c r="N68" s="467">
        <v>41338.951098666701</v>
      </c>
      <c r="O68" s="468">
        <f t="shared" si="16"/>
        <v>23045.640687999999</v>
      </c>
      <c r="P68" s="11"/>
    </row>
    <row r="69" spans="1:16" ht="20.100000000000001" customHeight="1" x14ac:dyDescent="0.2">
      <c r="A69" s="8">
        <v>9</v>
      </c>
      <c r="B69" s="9" t="s">
        <v>164</v>
      </c>
      <c r="C69" s="15" t="s">
        <v>70</v>
      </c>
      <c r="D69" s="8" t="s">
        <v>68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6">
        <f t="shared" si="17"/>
        <v>475703.83333333302</v>
      </c>
      <c r="K69" s="466">
        <v>322454.07400000002</v>
      </c>
      <c r="L69" s="466">
        <f t="shared" si="18"/>
        <v>153249.759333333</v>
      </c>
      <c r="M69" s="468">
        <v>64384.591786666701</v>
      </c>
      <c r="N69" s="467">
        <v>41338.951098666701</v>
      </c>
      <c r="O69" s="468">
        <f t="shared" si="16"/>
        <v>23045.640687999999</v>
      </c>
      <c r="P69" s="11"/>
    </row>
    <row r="70" spans="1:16" ht="20.100000000000001" customHeight="1" x14ac:dyDescent="0.2">
      <c r="A70" s="8">
        <v>10</v>
      </c>
      <c r="B70" s="9" t="s">
        <v>165</v>
      </c>
      <c r="C70" s="2" t="s">
        <v>166</v>
      </c>
      <c r="D70" s="8" t="s">
        <v>162</v>
      </c>
      <c r="E70" s="417">
        <v>377895.16666666698</v>
      </c>
      <c r="F70" s="70"/>
      <c r="G70" s="186">
        <f t="shared" si="20"/>
        <v>110000</v>
      </c>
      <c r="H70" s="186"/>
      <c r="I70" s="70"/>
      <c r="J70" s="466">
        <f t="shared" si="17"/>
        <v>487895.16666666698</v>
      </c>
      <c r="K70" s="466">
        <v>334536.99849999999</v>
      </c>
      <c r="L70" s="466">
        <f t="shared" si="18"/>
        <v>153358.16816666699</v>
      </c>
      <c r="M70" s="468">
        <v>66538.068906666696</v>
      </c>
      <c r="N70" s="467">
        <v>43368.882414666703</v>
      </c>
      <c r="O70" s="468">
        <f t="shared" si="16"/>
        <v>23169.186492000001</v>
      </c>
      <c r="P70" s="11"/>
    </row>
    <row r="71" spans="1:16" ht="21.6" customHeight="1" x14ac:dyDescent="0.2">
      <c r="A71" s="8">
        <v>11</v>
      </c>
      <c r="B71" s="9" t="s">
        <v>168</v>
      </c>
      <c r="C71" s="2" t="s">
        <v>139</v>
      </c>
      <c r="D71" s="8" t="s">
        <v>76</v>
      </c>
      <c r="E71" s="186">
        <v>300965.58333333302</v>
      </c>
      <c r="F71" s="70"/>
      <c r="G71" s="186">
        <v>100000</v>
      </c>
      <c r="H71" s="186"/>
      <c r="I71" s="70"/>
      <c r="J71" s="466">
        <f t="shared" si="17"/>
        <v>400965.58333333302</v>
      </c>
      <c r="K71" s="466">
        <v>277734.04700000002</v>
      </c>
      <c r="L71" s="466">
        <f t="shared" si="18"/>
        <v>123231.536333333</v>
      </c>
      <c r="M71" s="468">
        <v>51029.227306666697</v>
      </c>
      <c r="N71" s="467">
        <v>33825.986562666702</v>
      </c>
      <c r="O71" s="468">
        <f t="shared" si="16"/>
        <v>17203.240743999999</v>
      </c>
    </row>
    <row r="72" spans="1:16" ht="27" customHeight="1" x14ac:dyDescent="0.5">
      <c r="A72" s="8"/>
      <c r="B72" s="18" t="s">
        <v>111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 x14ac:dyDescent="0.2">
      <c r="A73" s="8"/>
      <c r="B73" s="20"/>
      <c r="C73" s="19"/>
      <c r="D73" s="19"/>
      <c r="E73" s="122"/>
      <c r="F73" s="122"/>
      <c r="G73" s="186"/>
      <c r="H73" s="186"/>
      <c r="I73" s="122"/>
      <c r="J73" s="473"/>
      <c r="K73" s="473"/>
      <c r="L73" s="473"/>
      <c r="M73" s="474"/>
      <c r="N73" s="474"/>
      <c r="O73" s="474"/>
      <c r="P73" s="11"/>
    </row>
    <row r="74" spans="1:16" ht="20.100000000000001" customHeight="1" x14ac:dyDescent="0.2">
      <c r="A74" s="8"/>
      <c r="B74" s="18" t="s">
        <v>169</v>
      </c>
      <c r="C74" s="19"/>
      <c r="D74" s="19"/>
      <c r="E74" s="122"/>
      <c r="F74" s="122"/>
      <c r="G74" s="186"/>
      <c r="H74" s="186"/>
      <c r="I74" s="122"/>
      <c r="J74" s="473"/>
      <c r="K74" s="473"/>
      <c r="L74" s="473"/>
      <c r="M74" s="474"/>
      <c r="N74" s="474"/>
      <c r="O74" s="474"/>
      <c r="P74" s="11"/>
    </row>
    <row r="75" spans="1:16" ht="20.100000000000001" customHeight="1" x14ac:dyDescent="0.2">
      <c r="A75" s="8">
        <v>1</v>
      </c>
      <c r="B75" s="9" t="s">
        <v>170</v>
      </c>
      <c r="C75" s="2" t="s">
        <v>171</v>
      </c>
      <c r="D75" s="8" t="s">
        <v>115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6">
        <f>E75+F75+G75+H75+I75</f>
        <v>1635720</v>
      </c>
      <c r="K75" s="466">
        <v>1050209.0634999999</v>
      </c>
      <c r="L75" s="466">
        <f>J75-K75</f>
        <v>585510.93649999995</v>
      </c>
      <c r="M75" s="468">
        <v>270672.24746666697</v>
      </c>
      <c r="N75" s="467">
        <v>180306.806858667</v>
      </c>
      <c r="O75" s="468">
        <f t="shared" ref="O75:O81" si="22">M75-N75</f>
        <v>90365.440608000004</v>
      </c>
      <c r="P75" s="11"/>
    </row>
    <row r="76" spans="1:16" ht="20.100000000000001" customHeight="1" x14ac:dyDescent="0.2">
      <c r="A76" s="8">
        <v>2</v>
      </c>
      <c r="B76" s="12" t="s">
        <v>547</v>
      </c>
      <c r="C76" s="2" t="s">
        <v>548</v>
      </c>
      <c r="D76" s="13" t="s">
        <v>549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6">
        <f t="shared" ref="J76:J81" si="23">E76+F76+G76+H76+I76</f>
        <v>761396.83333333302</v>
      </c>
      <c r="K76" s="466">
        <v>516137.05</v>
      </c>
      <c r="L76" s="466">
        <f t="shared" ref="L76:L81" si="24">J76-K76</f>
        <v>245259.78333333301</v>
      </c>
      <c r="M76" s="468">
        <v>124854.858666667</v>
      </c>
      <c r="N76" s="467">
        <v>77764.980266666695</v>
      </c>
      <c r="O76" s="468">
        <f t="shared" si="22"/>
        <v>47089.8784000003</v>
      </c>
      <c r="P76" s="11"/>
    </row>
    <row r="77" spans="1:16" ht="20.100000000000001" customHeight="1" x14ac:dyDescent="0.2">
      <c r="A77" s="8">
        <v>3</v>
      </c>
      <c r="B77" s="16" t="s">
        <v>550</v>
      </c>
      <c r="C77" s="10" t="s">
        <v>551</v>
      </c>
      <c r="D77" s="8" t="s">
        <v>150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6">
        <f t="shared" si="23"/>
        <v>700675.58333333302</v>
      </c>
      <c r="K77" s="466">
        <v>447553.5025</v>
      </c>
      <c r="L77" s="466">
        <f t="shared" si="24"/>
        <v>253122.08083333299</v>
      </c>
      <c r="M77" s="468">
        <v>113196.37866666701</v>
      </c>
      <c r="N77" s="467">
        <v>64596.9391466667</v>
      </c>
      <c r="O77" s="468">
        <f t="shared" si="22"/>
        <v>48599.439520000298</v>
      </c>
      <c r="P77" s="11"/>
    </row>
    <row r="78" spans="1:16" ht="20.100000000000001" customHeight="1" x14ac:dyDescent="0.2">
      <c r="A78" s="8">
        <v>4</v>
      </c>
      <c r="B78" s="9" t="s">
        <v>174</v>
      </c>
      <c r="C78" s="2" t="s">
        <v>175</v>
      </c>
      <c r="D78" s="13" t="s">
        <v>46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6">
        <f t="shared" si="23"/>
        <v>596622.25</v>
      </c>
      <c r="K78" s="466">
        <v>405272.06374999997</v>
      </c>
      <c r="L78" s="466">
        <f t="shared" si="24"/>
        <v>191350.18625</v>
      </c>
      <c r="M78" s="468">
        <v>86076.104186666693</v>
      </c>
      <c r="N78" s="467">
        <v>56350.586186666696</v>
      </c>
      <c r="O78" s="468">
        <f t="shared" si="22"/>
        <v>29725.518</v>
      </c>
      <c r="P78" s="11"/>
    </row>
    <row r="79" spans="1:16" ht="20.100000000000001" customHeight="1" x14ac:dyDescent="0.2">
      <c r="A79" s="8">
        <v>5</v>
      </c>
      <c r="B79" s="9" t="s">
        <v>181</v>
      </c>
      <c r="C79" s="2" t="s">
        <v>184</v>
      </c>
      <c r="D79" s="8" t="s">
        <v>119</v>
      </c>
      <c r="E79" s="70">
        <v>308901.5</v>
      </c>
      <c r="F79" s="70"/>
      <c r="G79" s="186">
        <f>100000</f>
        <v>100000</v>
      </c>
      <c r="H79" s="186"/>
      <c r="I79" s="70"/>
      <c r="J79" s="466">
        <f t="shared" si="23"/>
        <v>408901.5</v>
      </c>
      <c r="K79" s="466">
        <v>273169.11749999999</v>
      </c>
      <c r="L79" s="466">
        <f t="shared" si="24"/>
        <v>135732.38250000001</v>
      </c>
      <c r="M79" s="468">
        <v>52431.027626666699</v>
      </c>
      <c r="N79" s="467">
        <v>33059.078406666697</v>
      </c>
      <c r="O79" s="468">
        <f t="shared" si="22"/>
        <v>19371.949219999999</v>
      </c>
      <c r="P79" s="11"/>
    </row>
    <row r="80" spans="1:16" ht="20.100000000000001" customHeight="1" x14ac:dyDescent="0.2">
      <c r="A80" s="8">
        <v>6</v>
      </c>
      <c r="B80" s="9" t="s">
        <v>183</v>
      </c>
      <c r="C80" s="2" t="s">
        <v>184</v>
      </c>
      <c r="D80" s="8" t="s">
        <v>87</v>
      </c>
      <c r="E80" s="70">
        <v>263165.33333333302</v>
      </c>
      <c r="F80" s="70"/>
      <c r="G80" s="186">
        <v>100000</v>
      </c>
      <c r="H80" s="186"/>
      <c r="I80" s="70"/>
      <c r="J80" s="466">
        <f t="shared" si="23"/>
        <v>363165.33333333302</v>
      </c>
      <c r="K80" s="466">
        <v>249356.04725</v>
      </c>
      <c r="L80" s="466">
        <f t="shared" si="24"/>
        <v>113809.28608333301</v>
      </c>
      <c r="M80" s="468">
        <v>44641.500586666698</v>
      </c>
      <c r="N80" s="467">
        <v>29058.4826046667</v>
      </c>
      <c r="O80" s="468">
        <f t="shared" si="22"/>
        <v>15583.017981999999</v>
      </c>
      <c r="P80" s="11"/>
    </row>
    <row r="81" spans="1:16" ht="20.100000000000001" customHeight="1" x14ac:dyDescent="0.2">
      <c r="A81" s="8">
        <v>7</v>
      </c>
      <c r="B81" s="9" t="s">
        <v>185</v>
      </c>
      <c r="C81" s="2" t="s">
        <v>186</v>
      </c>
      <c r="D81" s="8" t="s">
        <v>105</v>
      </c>
      <c r="E81" s="70">
        <v>224459.75</v>
      </c>
      <c r="F81" s="70"/>
      <c r="G81" s="186">
        <v>100000</v>
      </c>
      <c r="H81" s="186">
        <v>0</v>
      </c>
      <c r="I81" s="70"/>
      <c r="J81" s="466">
        <f t="shared" si="23"/>
        <v>324459.75</v>
      </c>
      <c r="K81" s="466">
        <v>223717.28450000001</v>
      </c>
      <c r="L81" s="466">
        <f t="shared" si="24"/>
        <v>100742.46550000001</v>
      </c>
      <c r="M81" s="468">
        <v>38659.165626666698</v>
      </c>
      <c r="N81" s="467">
        <v>24751.170462666701</v>
      </c>
      <c r="O81" s="468">
        <f t="shared" si="22"/>
        <v>13907.995164</v>
      </c>
      <c r="P81" s="11"/>
    </row>
    <row r="82" spans="1:16" ht="20.100000000000001" customHeight="1" x14ac:dyDescent="0.5">
      <c r="A82" s="8"/>
      <c r="B82" s="18" t="s">
        <v>111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730531.282826668</v>
      </c>
      <c r="N82" s="78">
        <v>465888.043932667</v>
      </c>
      <c r="O82" s="78">
        <f t="shared" si="25"/>
        <v>264643.238894001</v>
      </c>
      <c r="P82" s="11"/>
    </row>
    <row r="83" spans="1:16" ht="20.100000000000001" customHeight="1" x14ac:dyDescent="0.2">
      <c r="A83" s="8"/>
      <c r="B83" s="18"/>
      <c r="C83" s="19"/>
      <c r="D83" s="19"/>
      <c r="E83" s="122"/>
      <c r="F83" s="122"/>
      <c r="G83" s="186"/>
      <c r="H83" s="186"/>
      <c r="I83" s="122"/>
      <c r="J83" s="473"/>
      <c r="K83" s="473"/>
      <c r="L83" s="473"/>
      <c r="M83" s="474"/>
      <c r="N83" s="474"/>
      <c r="O83" s="474"/>
      <c r="P83" s="11"/>
    </row>
    <row r="84" spans="1:16" ht="20.100000000000001" customHeight="1" x14ac:dyDescent="0.2">
      <c r="A84" s="8"/>
      <c r="B84" s="18" t="s">
        <v>187</v>
      </c>
      <c r="C84" s="23"/>
      <c r="D84" s="19"/>
      <c r="E84" s="122"/>
      <c r="F84" s="122"/>
      <c r="G84" s="186"/>
      <c r="H84" s="186"/>
      <c r="I84" s="122"/>
      <c r="J84" s="473"/>
      <c r="K84" s="473"/>
      <c r="L84" s="473"/>
      <c r="M84" s="474"/>
      <c r="N84" s="474"/>
      <c r="O84" s="474"/>
      <c r="P84" s="11"/>
    </row>
    <row r="85" spans="1:16" ht="20.100000000000001" customHeight="1" x14ac:dyDescent="0.2">
      <c r="A85" s="8">
        <v>1</v>
      </c>
      <c r="B85" s="9" t="s">
        <v>190</v>
      </c>
      <c r="C85" s="2" t="s">
        <v>130</v>
      </c>
      <c r="D85" s="8" t="s">
        <v>131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6">
        <f>E85+F85+G85+H85+I85</f>
        <v>880675.58333333302</v>
      </c>
      <c r="K85" s="466">
        <v>627553.50249999994</v>
      </c>
      <c r="L85" s="466">
        <f>J85-K85</f>
        <v>253122.08083333299</v>
      </c>
      <c r="M85" s="468">
        <v>138222.801706667</v>
      </c>
      <c r="N85" s="467">
        <v>99156.9391466667</v>
      </c>
      <c r="O85" s="468">
        <f t="shared" ref="O85:O94" si="26">M85-N85</f>
        <v>39065.8625600003</v>
      </c>
      <c r="P85" s="11"/>
    </row>
    <row r="86" spans="1:16" ht="20.100000000000001" customHeight="1" x14ac:dyDescent="0.2">
      <c r="A86" s="8">
        <v>2</v>
      </c>
      <c r="B86" s="9" t="s">
        <v>188</v>
      </c>
      <c r="C86" s="2" t="s">
        <v>130</v>
      </c>
      <c r="D86" s="8" t="s">
        <v>131</v>
      </c>
      <c r="E86" s="70">
        <v>620675.58333333302</v>
      </c>
      <c r="F86" s="70"/>
      <c r="G86" s="186">
        <f>160000</f>
        <v>160000</v>
      </c>
      <c r="H86" s="186"/>
      <c r="I86" s="70"/>
      <c r="J86" s="466">
        <f t="shared" ref="J86:J94" si="27">E86+F86+G86+H86+I86</f>
        <v>780675.58333333302</v>
      </c>
      <c r="K86" s="466">
        <v>527553.50249999994</v>
      </c>
      <c r="L86" s="466">
        <f t="shared" ref="L86:L94" si="28">J86-K86</f>
        <v>253122.08083333299</v>
      </c>
      <c r="M86" s="468">
        <v>118861.965706667</v>
      </c>
      <c r="N86" s="467">
        <v>79796.103146666603</v>
      </c>
      <c r="O86" s="468">
        <f t="shared" si="26"/>
        <v>39065.862560000402</v>
      </c>
      <c r="P86" s="11"/>
    </row>
    <row r="87" spans="1:16" ht="20.100000000000001" customHeight="1" x14ac:dyDescent="0.2">
      <c r="A87" s="8">
        <v>3</v>
      </c>
      <c r="B87" s="9" t="s">
        <v>193</v>
      </c>
      <c r="C87" s="2" t="s">
        <v>130</v>
      </c>
      <c r="D87" s="8" t="s">
        <v>49</v>
      </c>
      <c r="E87" s="70">
        <v>582118.08333333302</v>
      </c>
      <c r="F87" s="70"/>
      <c r="G87" s="186">
        <v>160000</v>
      </c>
      <c r="H87" s="186"/>
      <c r="I87" s="70"/>
      <c r="J87" s="466">
        <f t="shared" si="27"/>
        <v>742118.08333333302</v>
      </c>
      <c r="K87" s="466">
        <v>504729.22200000001</v>
      </c>
      <c r="L87" s="466">
        <f t="shared" si="28"/>
        <v>237388.86133333301</v>
      </c>
      <c r="M87" s="468">
        <v>112212.004906667</v>
      </c>
      <c r="N87" s="467">
        <v>75574.677290666703</v>
      </c>
      <c r="O87" s="468">
        <f t="shared" si="26"/>
        <v>36637.327616000301</v>
      </c>
      <c r="P87" s="11"/>
    </row>
    <row r="88" spans="1:16" ht="21.6" customHeight="1" x14ac:dyDescent="0.2">
      <c r="A88" s="8">
        <v>4</v>
      </c>
      <c r="B88" s="9" t="s">
        <v>194</v>
      </c>
      <c r="C88" s="2" t="s">
        <v>552</v>
      </c>
      <c r="D88" s="13" t="s">
        <v>52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6">
        <f t="shared" si="27"/>
        <v>561804.91666666698</v>
      </c>
      <c r="K88" s="466">
        <v>376663.07750000001</v>
      </c>
      <c r="L88" s="466">
        <f t="shared" si="28"/>
        <v>185141.83916666699</v>
      </c>
      <c r="M88" s="468">
        <v>79747.087146666701</v>
      </c>
      <c r="N88" s="467">
        <v>50985.977546666698</v>
      </c>
      <c r="O88" s="468">
        <f t="shared" si="26"/>
        <v>28761.1096</v>
      </c>
      <c r="P88" s="11"/>
    </row>
    <row r="89" spans="1:16" ht="21.6" customHeight="1" x14ac:dyDescent="0.2">
      <c r="A89" s="8">
        <v>5</v>
      </c>
      <c r="B89" s="9" t="s">
        <v>195</v>
      </c>
      <c r="C89" s="10" t="s">
        <v>158</v>
      </c>
      <c r="D89" s="13" t="s">
        <v>534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6">
        <f t="shared" si="27"/>
        <v>548915.91666666698</v>
      </c>
      <c r="K89" s="466">
        <v>369177.65375</v>
      </c>
      <c r="L89" s="466">
        <f t="shared" si="28"/>
        <v>179738.26291666701</v>
      </c>
      <c r="M89" s="468">
        <v>77470.374186666697</v>
      </c>
      <c r="N89" s="467">
        <v>49548.776186666699</v>
      </c>
      <c r="O89" s="468">
        <f t="shared" si="26"/>
        <v>27921.598000000002</v>
      </c>
      <c r="P89" s="11"/>
    </row>
    <row r="90" spans="1:16" ht="21.6" customHeight="1" x14ac:dyDescent="0.2">
      <c r="A90" s="8">
        <v>6</v>
      </c>
      <c r="B90" s="9" t="s">
        <v>196</v>
      </c>
      <c r="C90" s="10" t="s">
        <v>156</v>
      </c>
      <c r="D90" s="13" t="s">
        <v>229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6">
        <f t="shared" si="27"/>
        <v>568870.75</v>
      </c>
      <c r="K90" s="466">
        <v>389153.05674999999</v>
      </c>
      <c r="L90" s="466">
        <f t="shared" si="28"/>
        <v>179717.69325000001</v>
      </c>
      <c r="M90" s="468">
        <v>81302.3959466667</v>
      </c>
      <c r="N90" s="467">
        <v>53384.053562666697</v>
      </c>
      <c r="O90" s="468">
        <f t="shared" si="26"/>
        <v>27918.342384</v>
      </c>
      <c r="P90" s="11"/>
    </row>
    <row r="91" spans="1:16" ht="21.6" customHeight="1" x14ac:dyDescent="0.2">
      <c r="A91" s="8">
        <v>7</v>
      </c>
      <c r="B91" s="9" t="s">
        <v>198</v>
      </c>
      <c r="C91" s="15" t="s">
        <v>70</v>
      </c>
      <c r="D91" s="13" t="s">
        <v>68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6">
        <f t="shared" si="27"/>
        <v>475703.83333333302</v>
      </c>
      <c r="K91" s="466">
        <v>322454.07400000002</v>
      </c>
      <c r="L91" s="466">
        <f t="shared" si="28"/>
        <v>153249.759333333</v>
      </c>
      <c r="M91" s="468">
        <v>64384.591786666701</v>
      </c>
      <c r="N91" s="467">
        <v>41338.951098666701</v>
      </c>
      <c r="O91" s="468">
        <f t="shared" si="26"/>
        <v>23045.640687999999</v>
      </c>
      <c r="P91" s="11"/>
    </row>
    <row r="92" spans="1:16" ht="21.6" customHeight="1" x14ac:dyDescent="0.2">
      <c r="A92" s="8">
        <v>8</v>
      </c>
      <c r="B92" s="9" t="s">
        <v>199</v>
      </c>
      <c r="C92" s="15" t="s">
        <v>158</v>
      </c>
      <c r="D92" s="13" t="s">
        <v>159</v>
      </c>
      <c r="E92" s="70">
        <v>390248.91666666698</v>
      </c>
      <c r="F92" s="70"/>
      <c r="G92" s="186">
        <v>120000</v>
      </c>
      <c r="H92" s="186"/>
      <c r="I92" s="70">
        <v>0</v>
      </c>
      <c r="J92" s="466">
        <f t="shared" si="27"/>
        <v>510248.91666666698</v>
      </c>
      <c r="K92" s="466">
        <v>346713.03324999998</v>
      </c>
      <c r="L92" s="466">
        <f t="shared" si="28"/>
        <v>163535.883416667</v>
      </c>
      <c r="M92" s="468">
        <v>70529.475354666705</v>
      </c>
      <c r="N92" s="467">
        <v>45317.541294666698</v>
      </c>
      <c r="O92" s="468">
        <f t="shared" si="26"/>
        <v>25211.93406</v>
      </c>
      <c r="P92" s="11"/>
    </row>
    <row r="93" spans="1:16" ht="21.6" customHeight="1" x14ac:dyDescent="0.2">
      <c r="A93" s="8">
        <v>9</v>
      </c>
      <c r="B93" s="9" t="s">
        <v>202</v>
      </c>
      <c r="C93" s="2" t="s">
        <v>203</v>
      </c>
      <c r="D93" s="8" t="s">
        <v>76</v>
      </c>
      <c r="E93" s="186">
        <v>300965.58333333302</v>
      </c>
      <c r="F93" s="70"/>
      <c r="G93" s="186">
        <v>100000</v>
      </c>
      <c r="H93" s="186"/>
      <c r="I93" s="70"/>
      <c r="J93" s="466">
        <f t="shared" si="27"/>
        <v>400965.58333333302</v>
      </c>
      <c r="K93" s="466">
        <v>277734.04700000002</v>
      </c>
      <c r="L93" s="466">
        <f t="shared" si="28"/>
        <v>123231.536333333</v>
      </c>
      <c r="M93" s="468">
        <v>51029.227306666697</v>
      </c>
      <c r="N93" s="467">
        <v>33825.986562666702</v>
      </c>
      <c r="O93" s="468">
        <f t="shared" si="26"/>
        <v>17203.240743999999</v>
      </c>
      <c r="P93" s="11"/>
    </row>
    <row r="94" spans="1:16" ht="21.6" customHeight="1" x14ac:dyDescent="0.2">
      <c r="A94" s="8">
        <v>10</v>
      </c>
      <c r="B94" s="9" t="s">
        <v>204</v>
      </c>
      <c r="C94" s="15" t="s">
        <v>205</v>
      </c>
      <c r="D94" s="13" t="s">
        <v>102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6">
        <f t="shared" si="27"/>
        <v>330631.91666666698</v>
      </c>
      <c r="K94" s="466">
        <v>254870.26344499999</v>
      </c>
      <c r="L94" s="466">
        <f t="shared" si="28"/>
        <v>75761.653221667002</v>
      </c>
      <c r="M94" s="468">
        <v>39613.135706666697</v>
      </c>
      <c r="N94" s="467">
        <v>29984.870925426701</v>
      </c>
      <c r="O94" s="468">
        <f t="shared" si="26"/>
        <v>9628.2647812399991</v>
      </c>
      <c r="P94" s="11"/>
    </row>
    <row r="95" spans="1:16" ht="20.100000000000001" customHeight="1" x14ac:dyDescent="0.5">
      <c r="A95" s="8"/>
      <c r="B95" s="18" t="s">
        <v>111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833373.05975466804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 x14ac:dyDescent="0.2">
      <c r="A96" s="8"/>
      <c r="B96" s="20"/>
      <c r="C96" s="19"/>
      <c r="D96" s="19"/>
      <c r="E96" s="122"/>
      <c r="F96" s="122"/>
      <c r="G96" s="186"/>
      <c r="H96" s="186"/>
      <c r="I96" s="122"/>
      <c r="J96" s="473"/>
      <c r="K96" s="473"/>
      <c r="L96" s="473"/>
      <c r="M96" s="474"/>
      <c r="N96" s="474"/>
      <c r="O96" s="474"/>
      <c r="P96" s="11"/>
    </row>
    <row r="97" spans="1:16" ht="20.100000000000001" customHeight="1" x14ac:dyDescent="0.2">
      <c r="A97" s="8"/>
      <c r="B97" s="18" t="s">
        <v>207</v>
      </c>
      <c r="C97" s="19"/>
      <c r="D97" s="19"/>
      <c r="E97" s="122"/>
      <c r="F97" s="122"/>
      <c r="G97" s="186"/>
      <c r="H97" s="186"/>
      <c r="I97" s="122"/>
      <c r="J97" s="473"/>
      <c r="K97" s="473"/>
      <c r="L97" s="473"/>
      <c r="M97" s="474"/>
      <c r="N97" s="474"/>
      <c r="O97" s="474"/>
      <c r="P97" s="11"/>
    </row>
    <row r="98" spans="1:16" ht="20.100000000000001" customHeight="1" x14ac:dyDescent="0.2">
      <c r="A98" s="8">
        <v>1</v>
      </c>
      <c r="B98" s="12" t="s">
        <v>208</v>
      </c>
      <c r="C98" s="2" t="s">
        <v>209</v>
      </c>
      <c r="D98" s="14" t="s">
        <v>154</v>
      </c>
      <c r="E98" s="70">
        <v>762373.16666666698</v>
      </c>
      <c r="F98" s="70"/>
      <c r="G98" s="186"/>
      <c r="H98" s="186">
        <f>80000+10000</f>
        <v>90000</v>
      </c>
      <c r="I98" s="70"/>
      <c r="J98" s="466">
        <f>E98+F98+G98+H98+I98</f>
        <v>852373.16666666698</v>
      </c>
      <c r="K98" s="466">
        <v>541465.02474999998</v>
      </c>
      <c r="L98" s="466">
        <f>J98-K98</f>
        <v>310908.14191666699</v>
      </c>
      <c r="M98" s="476">
        <v>130407.52761066701</v>
      </c>
      <c r="N98" s="467">
        <v>82423.216202666707</v>
      </c>
      <c r="O98" s="476">
        <f>M98-N98</f>
        <v>47984.3114080003</v>
      </c>
      <c r="P98" s="11"/>
    </row>
    <row r="99" spans="1:16" ht="20.100000000000001" customHeight="1" x14ac:dyDescent="0.2">
      <c r="A99" s="8">
        <v>2</v>
      </c>
      <c r="B99" s="9" t="s">
        <v>211</v>
      </c>
      <c r="C99" s="2" t="s">
        <v>212</v>
      </c>
      <c r="D99" s="13" t="s">
        <v>46</v>
      </c>
      <c r="E99" s="70">
        <v>456622.25</v>
      </c>
      <c r="F99" s="70"/>
      <c r="G99" s="186"/>
      <c r="H99" s="186">
        <v>70000</v>
      </c>
      <c r="I99" s="70">
        <v>0</v>
      </c>
      <c r="J99" s="466">
        <f t="shared" ref="J99:J101" si="33">E99+F99+G99+H99+I99</f>
        <v>526622.25</v>
      </c>
      <c r="K99" s="466">
        <v>335272.06374999997</v>
      </c>
      <c r="L99" s="466">
        <f t="shared" ref="L99:L101" si="34">J99-K99</f>
        <v>191350.18625</v>
      </c>
      <c r="M99" s="476">
        <v>72764.420906666695</v>
      </c>
      <c r="N99" s="467">
        <v>43492.373376666699</v>
      </c>
      <c r="O99" s="476">
        <f>M99-N99</f>
        <v>29272.04753</v>
      </c>
      <c r="P99" s="11"/>
    </row>
    <row r="100" spans="1:16" ht="20.100000000000001" customHeight="1" x14ac:dyDescent="0.2">
      <c r="A100" s="8">
        <v>3</v>
      </c>
      <c r="B100" s="9" t="s">
        <v>217</v>
      </c>
      <c r="C100" s="2" t="s">
        <v>218</v>
      </c>
      <c r="D100" s="13" t="s">
        <v>162</v>
      </c>
      <c r="E100" s="70">
        <v>377895.16666666698</v>
      </c>
      <c r="F100" s="70"/>
      <c r="G100" s="186"/>
      <c r="H100" s="186">
        <f>60000</f>
        <v>60000</v>
      </c>
      <c r="I100" s="70"/>
      <c r="J100" s="466">
        <f t="shared" si="33"/>
        <v>437895.16666666698</v>
      </c>
      <c r="K100" s="466">
        <v>284536.99849999999</v>
      </c>
      <c r="L100" s="466">
        <f t="shared" si="34"/>
        <v>153358.16816666699</v>
      </c>
      <c r="M100" s="476">
        <v>56938.068906666696</v>
      </c>
      <c r="N100" s="467">
        <v>34968.882414666703</v>
      </c>
      <c r="O100" s="476">
        <f>M100-N100</f>
        <v>21969.186492000001</v>
      </c>
      <c r="P100" s="11"/>
    </row>
    <row r="101" spans="1:16" ht="20.100000000000001" customHeight="1" x14ac:dyDescent="0.2">
      <c r="A101" s="8">
        <v>4</v>
      </c>
      <c r="B101" s="9" t="s">
        <v>219</v>
      </c>
      <c r="C101" s="2" t="s">
        <v>220</v>
      </c>
      <c r="D101" s="13" t="s">
        <v>76</v>
      </c>
      <c r="E101" s="186">
        <v>300965.58333333302</v>
      </c>
      <c r="F101" s="70"/>
      <c r="G101" s="186"/>
      <c r="H101" s="186">
        <f>60000</f>
        <v>60000</v>
      </c>
      <c r="I101" s="70"/>
      <c r="J101" s="466">
        <f t="shared" si="33"/>
        <v>360965.58333333302</v>
      </c>
      <c r="K101" s="466">
        <v>237734.04699999999</v>
      </c>
      <c r="L101" s="466">
        <f t="shared" si="34"/>
        <v>123231.536333333</v>
      </c>
      <c r="M101" s="476">
        <v>43763.907226666699</v>
      </c>
      <c r="N101" s="467">
        <v>27105.986562666702</v>
      </c>
      <c r="O101" s="476">
        <f>M101-N101</f>
        <v>16657.920664000001</v>
      </c>
      <c r="P101" s="11"/>
    </row>
    <row r="102" spans="1:16" ht="20.100000000000001" customHeight="1" x14ac:dyDescent="0.5">
      <c r="A102" s="2"/>
      <c r="B102" s="18" t="s">
        <v>111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 x14ac:dyDescent="0.2">
      <c r="A103" s="2"/>
      <c r="B103" s="20"/>
      <c r="C103" s="19"/>
      <c r="D103" s="24"/>
      <c r="E103" s="122"/>
      <c r="F103" s="122"/>
      <c r="G103" s="186"/>
      <c r="H103" s="186"/>
      <c r="I103" s="122"/>
      <c r="J103" s="473"/>
      <c r="K103" s="473"/>
      <c r="L103" s="473"/>
      <c r="M103" s="474"/>
      <c r="N103" s="474"/>
      <c r="O103" s="474"/>
      <c r="P103" s="11"/>
    </row>
    <row r="104" spans="1:16" ht="20.100000000000001" customHeight="1" x14ac:dyDescent="0.2">
      <c r="A104" s="2"/>
      <c r="B104" s="18" t="s">
        <v>221</v>
      </c>
      <c r="C104" s="2"/>
      <c r="D104" s="2"/>
      <c r="E104" s="2"/>
      <c r="F104" s="2"/>
      <c r="G104" s="186"/>
      <c r="H104" s="186"/>
      <c r="I104" s="2"/>
      <c r="J104" s="477"/>
      <c r="K104" s="477"/>
      <c r="L104" s="477"/>
      <c r="M104" s="478"/>
      <c r="N104" s="478"/>
      <c r="O104" s="478"/>
      <c r="P104" s="11"/>
    </row>
    <row r="105" spans="1:16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6">
        <f>E105+F105+G105+H105+I105</f>
        <v>1635720</v>
      </c>
      <c r="K105" s="466">
        <v>1050209.0634999999</v>
      </c>
      <c r="L105" s="466">
        <f>J105-K105</f>
        <v>585510.93649999995</v>
      </c>
      <c r="M105" s="468">
        <v>270672.24746666697</v>
      </c>
      <c r="N105" s="467">
        <v>180306.806858667</v>
      </c>
      <c r="O105" s="468">
        <f t="shared" ref="O105:O111" si="36">M105-N105</f>
        <v>90365.440608000004</v>
      </c>
      <c r="P105" s="11"/>
    </row>
    <row r="106" spans="1:16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154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6">
        <f t="shared" ref="J106:J111" si="37">E106+F106+G106+H106+I106</f>
        <v>942373.16666666698</v>
      </c>
      <c r="K106" s="466">
        <v>631465.02474999998</v>
      </c>
      <c r="L106" s="466">
        <f t="shared" ref="L106:L111" si="38">J106-K106</f>
        <v>310908.14191666699</v>
      </c>
      <c r="M106" s="468">
        <v>147687.52761066699</v>
      </c>
      <c r="N106" s="467">
        <v>99703.216202666707</v>
      </c>
      <c r="O106" s="468">
        <f t="shared" si="36"/>
        <v>47984.3114080003</v>
      </c>
      <c r="P106" s="11"/>
    </row>
    <row r="107" spans="1:16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6">
        <f t="shared" si="37"/>
        <v>603237.85519166698</v>
      </c>
      <c r="K107" s="466">
        <v>418096.01602500002</v>
      </c>
      <c r="L107" s="466">
        <f t="shared" si="38"/>
        <v>185141.83916666699</v>
      </c>
      <c r="M107" s="468">
        <v>87575.782703466699</v>
      </c>
      <c r="N107" s="467">
        <v>58814.673103466703</v>
      </c>
      <c r="O107" s="468">
        <f t="shared" si="36"/>
        <v>28761.1096</v>
      </c>
      <c r="P107" s="11"/>
    </row>
    <row r="108" spans="1:16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52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6">
        <f t="shared" si="37"/>
        <v>601625.033321667</v>
      </c>
      <c r="K108" s="466">
        <v>416483.19415499998</v>
      </c>
      <c r="L108" s="466">
        <f t="shared" si="38"/>
        <v>185141.83916666699</v>
      </c>
      <c r="M108" s="468">
        <v>87392.5495444267</v>
      </c>
      <c r="N108" s="467">
        <v>58631.439944426696</v>
      </c>
      <c r="O108" s="468">
        <f t="shared" si="36"/>
        <v>28761.1096</v>
      </c>
      <c r="P108" s="11"/>
    </row>
    <row r="109" spans="1:16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553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6">
        <f t="shared" si="37"/>
        <v>374481.86414666701</v>
      </c>
      <c r="K109" s="466">
        <v>266099.21747999999</v>
      </c>
      <c r="L109" s="466">
        <f t="shared" si="38"/>
        <v>108382.646666667</v>
      </c>
      <c r="M109" s="468">
        <v>46740.264902826697</v>
      </c>
      <c r="N109" s="467">
        <v>31871.335203306699</v>
      </c>
      <c r="O109" s="468">
        <f t="shared" si="36"/>
        <v>14868.92969952</v>
      </c>
      <c r="P109" s="11"/>
    </row>
    <row r="110" spans="1:16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554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6">
        <f t="shared" si="37"/>
        <v>367926.02100000001</v>
      </c>
      <c r="K110" s="466">
        <v>262229.04100000003</v>
      </c>
      <c r="L110" s="466">
        <f t="shared" si="38"/>
        <v>105696.98</v>
      </c>
      <c r="M110" s="468">
        <v>45712.637394666701</v>
      </c>
      <c r="N110" s="467">
        <v>31221.145554666698</v>
      </c>
      <c r="O110" s="468">
        <f t="shared" si="36"/>
        <v>14491.491840000001</v>
      </c>
      <c r="P110" s="11"/>
    </row>
    <row r="111" spans="1:16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102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6">
        <f t="shared" si="37"/>
        <v>355198.112111667</v>
      </c>
      <c r="K111" s="466">
        <v>254870.26344499999</v>
      </c>
      <c r="L111" s="466">
        <f t="shared" si="38"/>
        <v>100327.84866666701</v>
      </c>
      <c r="M111" s="468">
        <v>43740.256541426701</v>
      </c>
      <c r="N111" s="467">
        <v>29984.870925426701</v>
      </c>
      <c r="O111" s="468">
        <f t="shared" si="36"/>
        <v>13755.385616</v>
      </c>
      <c r="P111" s="11"/>
    </row>
    <row r="112" spans="1:16" ht="25.5" customHeight="1" x14ac:dyDescent="0.5">
      <c r="A112" s="2"/>
      <c r="B112" s="18" t="s">
        <v>111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4880562.0524383401</v>
      </c>
      <c r="K112" s="189">
        <v>3299451.820355</v>
      </c>
      <c r="L112" s="189">
        <f t="shared" si="40"/>
        <v>1581110.2320833399</v>
      </c>
      <c r="M112" s="189">
        <f t="shared" si="40"/>
        <v>729521.26616414799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 x14ac:dyDescent="0.5">
      <c r="A113" s="2"/>
      <c r="B113" s="18"/>
      <c r="C113" s="19"/>
      <c r="D113" s="2"/>
      <c r="E113" s="189"/>
      <c r="F113" s="189"/>
      <c r="G113" s="475"/>
      <c r="H113" s="475"/>
      <c r="I113" s="189"/>
      <c r="J113" s="479"/>
      <c r="K113" s="479"/>
      <c r="L113" s="479"/>
      <c r="M113" s="480"/>
      <c r="N113" s="480"/>
      <c r="O113" s="480"/>
      <c r="P113" s="11"/>
    </row>
    <row r="114" spans="1:16" ht="20.100000000000001" customHeight="1" x14ac:dyDescent="0.2">
      <c r="A114" s="8"/>
      <c r="B114" s="18" t="s">
        <v>235</v>
      </c>
      <c r="C114" s="19"/>
      <c r="D114" s="19"/>
      <c r="E114" s="122"/>
      <c r="F114" s="122"/>
      <c r="G114" s="186"/>
      <c r="H114" s="186"/>
      <c r="I114" s="122"/>
      <c r="J114" s="473"/>
      <c r="K114" s="473"/>
      <c r="L114" s="473"/>
      <c r="M114" s="474"/>
      <c r="N114" s="474"/>
      <c r="O114" s="474"/>
      <c r="P114" s="11"/>
    </row>
    <row r="115" spans="1:16" ht="20.100000000000001" customHeight="1" x14ac:dyDescent="0.2">
      <c r="A115" s="8">
        <v>1</v>
      </c>
      <c r="B115" s="12" t="s">
        <v>152</v>
      </c>
      <c r="C115" s="2" t="s">
        <v>130</v>
      </c>
      <c r="D115" s="8" t="s">
        <v>38</v>
      </c>
      <c r="E115" s="70">
        <v>601396.83333333302</v>
      </c>
      <c r="F115" s="70"/>
      <c r="G115" s="186">
        <v>160000</v>
      </c>
      <c r="H115" s="186"/>
      <c r="I115" s="70">
        <v>0</v>
      </c>
      <c r="J115" s="466">
        <f>E115+F115+G115+H115+I115</f>
        <v>761396.83333333302</v>
      </c>
      <c r="K115" s="466">
        <v>516137.05</v>
      </c>
      <c r="L115" s="466">
        <f>J115-K115</f>
        <v>245259.78333333301</v>
      </c>
      <c r="M115" s="468">
        <v>115462.53994666701</v>
      </c>
      <c r="N115" s="467">
        <v>77610.116906666706</v>
      </c>
      <c r="O115" s="468">
        <f>M115-N115</f>
        <v>37852.4230400003</v>
      </c>
      <c r="P115" s="11"/>
    </row>
    <row r="116" spans="1:16" ht="18.75" customHeight="1" x14ac:dyDescent="0.2">
      <c r="A116" s="8">
        <v>2</v>
      </c>
      <c r="B116" s="9" t="s">
        <v>236</v>
      </c>
      <c r="C116" s="2" t="s">
        <v>237</v>
      </c>
      <c r="D116" s="13" t="s">
        <v>162</v>
      </c>
      <c r="E116" s="70">
        <v>377895.16666666698</v>
      </c>
      <c r="F116" s="70"/>
      <c r="G116" s="186">
        <v>110000</v>
      </c>
      <c r="H116" s="186">
        <v>0</v>
      </c>
      <c r="I116" s="70"/>
      <c r="J116" s="466">
        <f t="shared" ref="J116:J117" si="41">E116+F116+G116+H116+I116</f>
        <v>487895.16666666698</v>
      </c>
      <c r="K116" s="466">
        <v>334536.99849999999</v>
      </c>
      <c r="L116" s="466">
        <f t="shared" ref="L116:L117" si="42">J116-K116</f>
        <v>153358.16816666699</v>
      </c>
      <c r="M116" s="468">
        <v>66538.068906666696</v>
      </c>
      <c r="N116" s="467">
        <v>43368.882414666703</v>
      </c>
      <c r="O116" s="468">
        <f>M116-N116</f>
        <v>23169.186492000001</v>
      </c>
      <c r="P116" s="11"/>
    </row>
    <row r="117" spans="1:16" ht="20.100000000000001" customHeight="1" x14ac:dyDescent="0.2">
      <c r="A117" s="8">
        <v>3</v>
      </c>
      <c r="B117" s="9" t="s">
        <v>177</v>
      </c>
      <c r="C117" s="10" t="s">
        <v>555</v>
      </c>
      <c r="D117" s="13" t="s">
        <v>65</v>
      </c>
      <c r="E117" s="70">
        <v>390086.5</v>
      </c>
      <c r="F117" s="70"/>
      <c r="G117" s="186"/>
      <c r="H117" s="186">
        <f>60000</f>
        <v>60000</v>
      </c>
      <c r="I117" s="70"/>
      <c r="J117" s="466">
        <f t="shared" si="41"/>
        <v>450086.5</v>
      </c>
      <c r="K117" s="466">
        <v>286619.99875000003</v>
      </c>
      <c r="L117" s="466">
        <f t="shared" si="42"/>
        <v>163466.50125</v>
      </c>
      <c r="M117" s="468">
        <v>58980.834746666696</v>
      </c>
      <c r="N117" s="467">
        <v>35221.954086666701</v>
      </c>
      <c r="O117" s="468">
        <f>M117-N117</f>
        <v>23758.880659999999</v>
      </c>
      <c r="P117" s="11"/>
    </row>
    <row r="118" spans="1:16" ht="24.75" customHeight="1" x14ac:dyDescent="0.5">
      <c r="A118" s="2"/>
      <c r="B118" s="18" t="s">
        <v>111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84780.490192000303</v>
      </c>
      <c r="P118" s="11"/>
    </row>
    <row r="119" spans="1:16" ht="20.100000000000001" customHeight="1" x14ac:dyDescent="0.2">
      <c r="A119" s="2"/>
      <c r="B119" s="20"/>
      <c r="C119" s="8"/>
      <c r="D119" s="2"/>
      <c r="E119" s="190"/>
      <c r="F119" s="7"/>
      <c r="G119" s="186"/>
      <c r="H119" s="186"/>
      <c r="I119" s="190"/>
      <c r="J119" s="481"/>
      <c r="K119" s="481"/>
      <c r="L119" s="481"/>
      <c r="M119" s="482"/>
      <c r="N119" s="482"/>
      <c r="O119" s="482"/>
      <c r="P119" s="11"/>
    </row>
    <row r="120" spans="1:16" ht="20.100000000000001" customHeight="1" x14ac:dyDescent="0.2">
      <c r="A120" s="2"/>
      <c r="B120" s="18" t="s">
        <v>250</v>
      </c>
      <c r="C120" s="19"/>
      <c r="D120" s="19"/>
      <c r="E120" s="122"/>
      <c r="F120" s="122"/>
      <c r="G120" s="186"/>
      <c r="H120" s="186"/>
      <c r="I120" s="122"/>
      <c r="J120" s="473"/>
      <c r="K120" s="473"/>
      <c r="L120" s="473"/>
      <c r="M120" s="474"/>
      <c r="N120" s="474"/>
      <c r="O120" s="474"/>
      <c r="P120" s="11"/>
    </row>
    <row r="121" spans="1:16" ht="20.100000000000001" customHeight="1" x14ac:dyDescent="0.2">
      <c r="A121" s="2">
        <v>1</v>
      </c>
      <c r="B121" s="9" t="s">
        <v>251</v>
      </c>
      <c r="C121" s="10" t="s">
        <v>252</v>
      </c>
      <c r="D121" s="13" t="s">
        <v>115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6">
        <f>E121+F121+G121+H121+I121</f>
        <v>1635720</v>
      </c>
      <c r="K121" s="466">
        <v>1050209.0634999999</v>
      </c>
      <c r="L121" s="466">
        <f>J121-K121</f>
        <v>585510.93649999995</v>
      </c>
      <c r="M121" s="468">
        <v>270279.89537066699</v>
      </c>
      <c r="N121" s="467">
        <v>179914.45476266701</v>
      </c>
      <c r="O121" s="468">
        <f t="shared" ref="O121:O130" si="44">M121-N121</f>
        <v>90365.440608000004</v>
      </c>
      <c r="P121" s="11"/>
    </row>
    <row r="122" spans="1:16" ht="20.100000000000001" customHeight="1" x14ac:dyDescent="0.2">
      <c r="A122" s="2">
        <v>2</v>
      </c>
      <c r="B122" s="9" t="s">
        <v>253</v>
      </c>
      <c r="C122" s="10" t="s">
        <v>254</v>
      </c>
      <c r="D122" s="13" t="s">
        <v>35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6">
        <f t="shared" ref="J122:J130" si="45">E122+F122+G122+H122+I122</f>
        <v>929203.58333333302</v>
      </c>
      <c r="K122" s="466">
        <v>627743.99575</v>
      </c>
      <c r="L122" s="466">
        <f t="shared" ref="L122:L130" si="46">J122-K122</f>
        <v>301459.58758333302</v>
      </c>
      <c r="M122" s="468">
        <v>145522.03071466699</v>
      </c>
      <c r="N122" s="467">
        <v>98995.956938666699</v>
      </c>
      <c r="O122" s="468">
        <f t="shared" si="44"/>
        <v>46526.073776000303</v>
      </c>
      <c r="P122" s="11"/>
    </row>
    <row r="123" spans="1:16" ht="20.100000000000001" customHeight="1" x14ac:dyDescent="0.2">
      <c r="A123" s="2">
        <v>3</v>
      </c>
      <c r="B123" s="12" t="s">
        <v>255</v>
      </c>
      <c r="C123" s="10" t="s">
        <v>256</v>
      </c>
      <c r="D123" s="13" t="s">
        <v>131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6">
        <f t="shared" si="45"/>
        <v>830675.58333333302</v>
      </c>
      <c r="K123" s="466">
        <v>577553.50249999994</v>
      </c>
      <c r="L123" s="466">
        <f t="shared" si="46"/>
        <v>253122.08083333299</v>
      </c>
      <c r="M123" s="468">
        <v>128461.965706667</v>
      </c>
      <c r="N123" s="467">
        <v>89396.103146666603</v>
      </c>
      <c r="O123" s="468">
        <f t="shared" si="44"/>
        <v>39065.862560000402</v>
      </c>
      <c r="P123" s="11"/>
    </row>
    <row r="124" spans="1:16" ht="20.100000000000001" customHeight="1" x14ac:dyDescent="0.2">
      <c r="A124" s="2">
        <v>4</v>
      </c>
      <c r="B124" s="12" t="s">
        <v>556</v>
      </c>
      <c r="C124" s="10" t="s">
        <v>256</v>
      </c>
      <c r="D124" s="13" t="s">
        <v>49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6">
        <f t="shared" si="45"/>
        <v>662118.08333333302</v>
      </c>
      <c r="K124" s="466">
        <v>424729.22200000001</v>
      </c>
      <c r="L124" s="466">
        <f t="shared" si="46"/>
        <v>237388.86133333301</v>
      </c>
      <c r="M124" s="468">
        <v>105793.338666667</v>
      </c>
      <c r="N124" s="467">
        <v>60214.677290666703</v>
      </c>
      <c r="O124" s="468">
        <f t="shared" si="44"/>
        <v>45578.661376000302</v>
      </c>
      <c r="P124" s="11"/>
    </row>
    <row r="125" spans="1:16" ht="20.100000000000001" customHeight="1" x14ac:dyDescent="0.2">
      <c r="A125" s="2">
        <v>5</v>
      </c>
      <c r="B125" s="9" t="s">
        <v>257</v>
      </c>
      <c r="C125" s="10" t="s">
        <v>258</v>
      </c>
      <c r="D125" s="13" t="s">
        <v>176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6">
        <f t="shared" si="45"/>
        <v>540498</v>
      </c>
      <c r="K125" s="466">
        <v>343333.03525000002</v>
      </c>
      <c r="L125" s="466">
        <f t="shared" si="46"/>
        <v>197164.96475000001</v>
      </c>
      <c r="M125" s="468">
        <v>75215.4333866667</v>
      </c>
      <c r="N125" s="467">
        <v>44846.6165886667</v>
      </c>
      <c r="O125" s="468">
        <f t="shared" si="44"/>
        <v>30368.816798</v>
      </c>
      <c r="P125" s="11"/>
    </row>
    <row r="126" spans="1:16" ht="20.100000000000001" customHeight="1" x14ac:dyDescent="0.2">
      <c r="A126" s="2">
        <v>6</v>
      </c>
      <c r="B126" s="9" t="s">
        <v>259</v>
      </c>
      <c r="C126" s="10" t="s">
        <v>489</v>
      </c>
      <c r="D126" s="13" t="s">
        <v>197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6">
        <f t="shared" si="45"/>
        <v>512746.5</v>
      </c>
      <c r="K126" s="466">
        <v>327211.36749999999</v>
      </c>
      <c r="L126" s="466">
        <f t="shared" si="46"/>
        <v>185535.13250000001</v>
      </c>
      <c r="M126" s="468">
        <v>70189.308746666706</v>
      </c>
      <c r="N126" s="467">
        <v>42029.589186666701</v>
      </c>
      <c r="O126" s="468">
        <f t="shared" si="44"/>
        <v>28159.719560000001</v>
      </c>
      <c r="P126" s="11"/>
    </row>
    <row r="127" spans="1:16" ht="20.100000000000001" customHeight="1" x14ac:dyDescent="0.2">
      <c r="A127" s="2">
        <v>7</v>
      </c>
      <c r="B127" s="9" t="s">
        <v>260</v>
      </c>
      <c r="C127" s="10" t="s">
        <v>258</v>
      </c>
      <c r="D127" s="13" t="s">
        <v>46</v>
      </c>
      <c r="E127" s="70">
        <v>456622.25</v>
      </c>
      <c r="F127" s="70"/>
      <c r="G127" s="186"/>
      <c r="H127" s="186">
        <f t="shared" si="47"/>
        <v>70000</v>
      </c>
      <c r="I127" s="70"/>
      <c r="J127" s="466">
        <f t="shared" si="45"/>
        <v>526622.25</v>
      </c>
      <c r="K127" s="466">
        <v>335272.06374999997</v>
      </c>
      <c r="L127" s="466">
        <f t="shared" si="46"/>
        <v>191350.18625</v>
      </c>
      <c r="M127" s="468">
        <v>72636.104186666693</v>
      </c>
      <c r="N127" s="467">
        <v>43380.096246666697</v>
      </c>
      <c r="O127" s="468">
        <f t="shared" si="44"/>
        <v>29256.00794</v>
      </c>
      <c r="P127" s="11"/>
    </row>
    <row r="128" spans="1:16" ht="20.100000000000001" customHeight="1" x14ac:dyDescent="0.2">
      <c r="A128" s="2">
        <v>8</v>
      </c>
      <c r="B128" s="9" t="s">
        <v>263</v>
      </c>
      <c r="C128" s="10" t="s">
        <v>264</v>
      </c>
      <c r="D128" s="8" t="s">
        <v>84</v>
      </c>
      <c r="E128" s="70">
        <v>270481.66666666698</v>
      </c>
      <c r="F128" s="70"/>
      <c r="G128" s="186"/>
      <c r="H128" s="186">
        <f>60000</f>
        <v>60000</v>
      </c>
      <c r="I128" s="70"/>
      <c r="J128" s="466">
        <f t="shared" si="45"/>
        <v>330481.66666666698</v>
      </c>
      <c r="K128" s="466">
        <v>213508.01</v>
      </c>
      <c r="L128" s="466">
        <f t="shared" si="46"/>
        <v>116973.656666667</v>
      </c>
      <c r="M128" s="468">
        <v>39052.313066666698</v>
      </c>
      <c r="N128" s="467">
        <v>23036.012346666699</v>
      </c>
      <c r="O128" s="468">
        <f t="shared" si="44"/>
        <v>16016.300719999999</v>
      </c>
      <c r="P128" s="11"/>
    </row>
    <row r="129" spans="1:16" ht="20.100000000000001" customHeight="1" x14ac:dyDescent="0.2">
      <c r="A129" s="2">
        <v>9</v>
      </c>
      <c r="B129" s="16" t="s">
        <v>265</v>
      </c>
      <c r="C129" s="10" t="s">
        <v>266</v>
      </c>
      <c r="D129" s="13" t="s">
        <v>105</v>
      </c>
      <c r="E129" s="70">
        <v>224459.75</v>
      </c>
      <c r="F129" s="70"/>
      <c r="G129" s="186"/>
      <c r="H129" s="186">
        <f>50000</f>
        <v>50000</v>
      </c>
      <c r="I129" s="70"/>
      <c r="J129" s="466">
        <f t="shared" si="45"/>
        <v>274459.75</v>
      </c>
      <c r="K129" s="466">
        <v>176816.1</v>
      </c>
      <c r="L129" s="466">
        <f t="shared" si="46"/>
        <v>97643.65</v>
      </c>
      <c r="M129" s="468">
        <v>30259.165626666701</v>
      </c>
      <c r="N129" s="467">
        <v>17042.713866666702</v>
      </c>
      <c r="O129" s="468">
        <f t="shared" si="44"/>
        <v>13216.45176</v>
      </c>
      <c r="P129" s="11"/>
    </row>
    <row r="130" spans="1:16" ht="20.100000000000001" customHeight="1" x14ac:dyDescent="0.2">
      <c r="A130" s="2">
        <v>10</v>
      </c>
      <c r="B130" s="16" t="s">
        <v>267</v>
      </c>
      <c r="C130" s="10" t="s">
        <v>262</v>
      </c>
      <c r="D130" s="13" t="s">
        <v>105</v>
      </c>
      <c r="E130" s="70">
        <v>224459.75</v>
      </c>
      <c r="F130" s="70"/>
      <c r="G130" s="186"/>
      <c r="H130" s="186">
        <v>50000</v>
      </c>
      <c r="I130" s="70"/>
      <c r="J130" s="466">
        <f t="shared" si="45"/>
        <v>274459.75</v>
      </c>
      <c r="K130" s="466">
        <v>176816.1</v>
      </c>
      <c r="L130" s="466">
        <f t="shared" si="46"/>
        <v>97643.65</v>
      </c>
      <c r="M130" s="468">
        <v>30259.165626666701</v>
      </c>
      <c r="N130" s="467">
        <v>17042.713866666702</v>
      </c>
      <c r="O130" s="468">
        <f t="shared" si="44"/>
        <v>13216.45176</v>
      </c>
      <c r="P130" s="11"/>
    </row>
    <row r="131" spans="1:16" ht="28.5" customHeight="1" x14ac:dyDescent="0.2">
      <c r="A131" s="2"/>
      <c r="B131" s="18" t="s">
        <v>111</v>
      </c>
      <c r="C131" s="24" t="s">
        <v>490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967668.72109866794</v>
      </c>
      <c r="N131" s="122">
        <v>615898.93424066703</v>
      </c>
      <c r="O131" s="122">
        <f t="shared" si="48"/>
        <v>351769.78685800103</v>
      </c>
      <c r="P131" s="11"/>
    </row>
    <row r="132" spans="1:16" ht="20.100000000000001" customHeight="1" x14ac:dyDescent="0.2">
      <c r="A132" s="2"/>
      <c r="B132" s="20"/>
      <c r="C132" s="24"/>
      <c r="D132" s="13"/>
      <c r="E132" s="122"/>
      <c r="F132" s="122"/>
      <c r="G132" s="186"/>
      <c r="H132" s="186"/>
      <c r="I132" s="122"/>
      <c r="J132" s="473"/>
      <c r="K132" s="473"/>
      <c r="L132" s="473"/>
      <c r="M132" s="474"/>
      <c r="N132" s="474"/>
      <c r="O132" s="474"/>
      <c r="P132" s="11"/>
    </row>
    <row r="133" spans="1:16" ht="20.100000000000001" customHeight="1" x14ac:dyDescent="0.2">
      <c r="A133" s="2"/>
      <c r="B133" s="18" t="s">
        <v>270</v>
      </c>
      <c r="C133" s="10"/>
      <c r="D133" s="13"/>
      <c r="E133" s="70"/>
      <c r="F133" s="70"/>
      <c r="G133" s="186"/>
      <c r="H133" s="186"/>
      <c r="I133" s="70"/>
      <c r="J133" s="466"/>
      <c r="K133" s="466"/>
      <c r="L133" s="466"/>
      <c r="M133" s="467"/>
      <c r="N133" s="467"/>
      <c r="O133" s="467"/>
      <c r="P133" s="11"/>
    </row>
    <row r="134" spans="1:16" ht="20.100000000000001" customHeight="1" x14ac:dyDescent="0.2">
      <c r="A134" s="25">
        <v>1</v>
      </c>
      <c r="B134" s="9" t="s">
        <v>557</v>
      </c>
      <c r="C134" s="10" t="s">
        <v>558</v>
      </c>
      <c r="D134" s="13" t="s">
        <v>115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6">
        <f>E134+F134+G134+H134+I134</f>
        <v>1535720</v>
      </c>
      <c r="K134" s="466">
        <v>950209.06350000005</v>
      </c>
      <c r="L134" s="466">
        <f>J134-K134</f>
        <v>585510.93649999995</v>
      </c>
      <c r="M134" s="468">
        <v>251472.247466667</v>
      </c>
      <c r="N134" s="467">
        <v>161106.806858667</v>
      </c>
      <c r="O134" s="468">
        <f t="shared" ref="O134:O192" si="49">M134-N134</f>
        <v>90365.440608000004</v>
      </c>
      <c r="P134" s="11"/>
    </row>
    <row r="135" spans="1:16" ht="20.100000000000001" customHeight="1" x14ac:dyDescent="0.2">
      <c r="A135" s="25">
        <v>2</v>
      </c>
      <c r="B135" s="9" t="s">
        <v>559</v>
      </c>
      <c r="C135" s="10" t="s">
        <v>560</v>
      </c>
      <c r="D135" s="13" t="s">
        <v>154</v>
      </c>
      <c r="E135" s="70">
        <v>762373.16666666698</v>
      </c>
      <c r="F135" s="70"/>
      <c r="G135" s="186"/>
      <c r="H135" s="186">
        <v>90000</v>
      </c>
      <c r="I135" s="70"/>
      <c r="J135" s="466">
        <f t="shared" ref="J135:J192" si="50">E135+F135+G135+H135+I135</f>
        <v>852373.16666666698</v>
      </c>
      <c r="K135" s="466">
        <v>541465.02474999998</v>
      </c>
      <c r="L135" s="466">
        <f t="shared" ref="L135:L192" si="51">J135-K135</f>
        <v>310908.14191666699</v>
      </c>
      <c r="M135" s="468">
        <v>142322.31466666699</v>
      </c>
      <c r="N135" s="467">
        <v>82627.951418666693</v>
      </c>
      <c r="O135" s="468">
        <f t="shared" si="49"/>
        <v>59694.3632480003</v>
      </c>
      <c r="P135" s="11"/>
    </row>
    <row r="136" spans="1:16" ht="20.100000000000001" customHeight="1" x14ac:dyDescent="0.2">
      <c r="A136" s="25">
        <v>3</v>
      </c>
      <c r="B136" s="12" t="s">
        <v>274</v>
      </c>
      <c r="C136" s="2" t="s">
        <v>275</v>
      </c>
      <c r="D136" s="14" t="s">
        <v>154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6">
        <f t="shared" si="50"/>
        <v>902373.16666666698</v>
      </c>
      <c r="K136" s="466">
        <v>591465.02474999998</v>
      </c>
      <c r="L136" s="466">
        <f t="shared" si="51"/>
        <v>310908.14191666699</v>
      </c>
      <c r="M136" s="468">
        <v>140007.52761066699</v>
      </c>
      <c r="N136" s="467">
        <v>92023.216202666707</v>
      </c>
      <c r="O136" s="468">
        <f t="shared" si="49"/>
        <v>47984.3114080003</v>
      </c>
      <c r="P136" s="11"/>
    </row>
    <row r="137" spans="1:16" ht="20.100000000000001" customHeight="1" x14ac:dyDescent="0.2">
      <c r="A137" s="25">
        <v>4</v>
      </c>
      <c r="B137" s="9" t="s">
        <v>276</v>
      </c>
      <c r="C137" s="10" t="s">
        <v>561</v>
      </c>
      <c r="D137" s="13" t="s">
        <v>41</v>
      </c>
      <c r="E137" s="70">
        <v>484373.75</v>
      </c>
      <c r="F137" s="70"/>
      <c r="G137" s="186"/>
      <c r="H137" s="186">
        <v>70000</v>
      </c>
      <c r="I137" s="70"/>
      <c r="J137" s="466">
        <f t="shared" si="50"/>
        <v>554373.75</v>
      </c>
      <c r="K137" s="466">
        <v>351394.00675</v>
      </c>
      <c r="L137" s="466">
        <f t="shared" si="51"/>
        <v>202979.74325</v>
      </c>
      <c r="M137" s="468">
        <v>77529.694778666701</v>
      </c>
      <c r="N137" s="467">
        <v>46081.202598666699</v>
      </c>
      <c r="O137" s="468">
        <f t="shared" si="49"/>
        <v>31448.492180000001</v>
      </c>
      <c r="P137" s="11"/>
    </row>
    <row r="138" spans="1:16" ht="20.100000000000001" customHeight="1" x14ac:dyDescent="0.2">
      <c r="A138" s="25">
        <v>5</v>
      </c>
      <c r="B138" s="9" t="s">
        <v>278</v>
      </c>
      <c r="C138" s="2" t="s">
        <v>562</v>
      </c>
      <c r="D138" s="13" t="s">
        <v>41</v>
      </c>
      <c r="E138" s="70">
        <v>484373.75</v>
      </c>
      <c r="F138" s="70"/>
      <c r="G138" s="186"/>
      <c r="H138" s="186">
        <v>70000</v>
      </c>
      <c r="I138" s="70">
        <v>0</v>
      </c>
      <c r="J138" s="466">
        <f t="shared" si="50"/>
        <v>554373.75</v>
      </c>
      <c r="K138" s="466">
        <v>351394.00675</v>
      </c>
      <c r="L138" s="466">
        <f t="shared" si="51"/>
        <v>202979.74325</v>
      </c>
      <c r="M138" s="468">
        <v>77529.694778666701</v>
      </c>
      <c r="N138" s="467">
        <v>46081.202598666699</v>
      </c>
      <c r="O138" s="468">
        <f t="shared" si="49"/>
        <v>31448.492180000001</v>
      </c>
      <c r="P138" s="11"/>
    </row>
    <row r="139" spans="1:16" ht="20.100000000000001" customHeight="1" x14ac:dyDescent="0.2">
      <c r="A139" s="25">
        <v>6</v>
      </c>
      <c r="B139" s="9" t="s">
        <v>280</v>
      </c>
      <c r="C139" s="2" t="s">
        <v>562</v>
      </c>
      <c r="D139" s="13" t="s">
        <v>41</v>
      </c>
      <c r="E139" s="70">
        <v>484373.75</v>
      </c>
      <c r="F139" s="70"/>
      <c r="G139" s="186"/>
      <c r="H139" s="186">
        <v>70000</v>
      </c>
      <c r="I139" s="70">
        <v>0</v>
      </c>
      <c r="J139" s="466">
        <f t="shared" si="50"/>
        <v>554373.75</v>
      </c>
      <c r="K139" s="466">
        <v>351394.00675</v>
      </c>
      <c r="L139" s="466">
        <f t="shared" si="51"/>
        <v>202979.74325</v>
      </c>
      <c r="M139" s="468">
        <v>77529.694778666701</v>
      </c>
      <c r="N139" s="467">
        <v>46081.202598666699</v>
      </c>
      <c r="O139" s="468">
        <f t="shared" si="49"/>
        <v>31448.492180000001</v>
      </c>
      <c r="P139" s="11"/>
    </row>
    <row r="140" spans="1:16" ht="20.100000000000001" customHeight="1" x14ac:dyDescent="0.2">
      <c r="A140" s="25">
        <v>7</v>
      </c>
      <c r="B140" s="9" t="s">
        <v>213</v>
      </c>
      <c r="C140" s="10" t="s">
        <v>563</v>
      </c>
      <c r="D140" s="13" t="s">
        <v>65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6">
        <f t="shared" si="50"/>
        <v>450086.5</v>
      </c>
      <c r="K140" s="466">
        <v>286619.99875000003</v>
      </c>
      <c r="L140" s="466">
        <f t="shared" si="51"/>
        <v>163466.50125</v>
      </c>
      <c r="M140" s="468">
        <v>58980.834746666696</v>
      </c>
      <c r="N140" s="467">
        <v>35221.954086666701</v>
      </c>
      <c r="O140" s="468">
        <f t="shared" si="49"/>
        <v>23758.880659999999</v>
      </c>
      <c r="P140" s="11"/>
    </row>
    <row r="141" spans="1:16" ht="20.100000000000001" customHeight="1" x14ac:dyDescent="0.2">
      <c r="A141" s="25">
        <v>8</v>
      </c>
      <c r="B141" s="9" t="s">
        <v>281</v>
      </c>
      <c r="C141" s="10" t="s">
        <v>563</v>
      </c>
      <c r="D141" s="13" t="s">
        <v>65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6">
        <f t="shared" si="50"/>
        <v>450086.5</v>
      </c>
      <c r="K141" s="466">
        <v>286619.99875000003</v>
      </c>
      <c r="L141" s="466">
        <f t="shared" si="51"/>
        <v>163466.50125</v>
      </c>
      <c r="M141" s="468">
        <v>59091.5460266667</v>
      </c>
      <c r="N141" s="467">
        <v>35318.826456666699</v>
      </c>
      <c r="O141" s="468">
        <f t="shared" si="49"/>
        <v>23772.719570000001</v>
      </c>
      <c r="P141" s="11"/>
    </row>
    <row r="142" spans="1:16" ht="20.100000000000001" customHeight="1" x14ac:dyDescent="0.2">
      <c r="A142" s="25">
        <v>9</v>
      </c>
      <c r="B142" s="9" t="s">
        <v>282</v>
      </c>
      <c r="C142" s="2" t="s">
        <v>564</v>
      </c>
      <c r="D142" s="13" t="s">
        <v>65</v>
      </c>
      <c r="E142" s="70">
        <v>390086.5</v>
      </c>
      <c r="F142" s="70"/>
      <c r="G142" s="186"/>
      <c r="H142" s="186">
        <f t="shared" si="52"/>
        <v>60000</v>
      </c>
      <c r="I142" s="70"/>
      <c r="J142" s="466">
        <f t="shared" si="50"/>
        <v>450086.5</v>
      </c>
      <c r="K142" s="466">
        <v>286619.99875000003</v>
      </c>
      <c r="L142" s="466">
        <f t="shared" si="51"/>
        <v>163466.50125</v>
      </c>
      <c r="M142" s="468">
        <v>59091.5460266667</v>
      </c>
      <c r="N142" s="467">
        <v>35318.826456666699</v>
      </c>
      <c r="O142" s="468">
        <f t="shared" si="49"/>
        <v>23772.719570000001</v>
      </c>
      <c r="P142" s="11"/>
    </row>
    <row r="143" spans="1:16" ht="20.100000000000001" customHeight="1" x14ac:dyDescent="0.2">
      <c r="A143" s="25">
        <v>10</v>
      </c>
      <c r="B143" s="9" t="s">
        <v>284</v>
      </c>
      <c r="C143" s="10" t="s">
        <v>285</v>
      </c>
      <c r="D143" s="13" t="s">
        <v>162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6">
        <f t="shared" si="50"/>
        <v>437895.16666666698</v>
      </c>
      <c r="K143" s="466">
        <v>284536.99849999999</v>
      </c>
      <c r="L143" s="466">
        <f t="shared" si="51"/>
        <v>153358.16816666699</v>
      </c>
      <c r="M143" s="468">
        <v>56938.068906666696</v>
      </c>
      <c r="N143" s="467">
        <v>34968.882414666703</v>
      </c>
      <c r="O143" s="468">
        <f t="shared" si="49"/>
        <v>21969.186492000001</v>
      </c>
      <c r="P143" s="11"/>
    </row>
    <row r="144" spans="1:16" ht="20.100000000000001" customHeight="1" x14ac:dyDescent="0.2">
      <c r="A144" s="25">
        <v>11</v>
      </c>
      <c r="B144" s="9" t="s">
        <v>286</v>
      </c>
      <c r="C144" s="10" t="s">
        <v>287</v>
      </c>
      <c r="D144" s="13" t="s">
        <v>68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6">
        <f t="shared" si="50"/>
        <v>425703.83333333302</v>
      </c>
      <c r="K144" s="466">
        <v>272454.07400000002</v>
      </c>
      <c r="L144" s="466">
        <f t="shared" si="51"/>
        <v>153249.759333333</v>
      </c>
      <c r="M144" s="468">
        <v>54681.291562666702</v>
      </c>
      <c r="N144" s="467">
        <v>32848.563402666703</v>
      </c>
      <c r="O144" s="468">
        <f t="shared" si="49"/>
        <v>21832.728159999999</v>
      </c>
      <c r="P144" s="11"/>
    </row>
    <row r="145" spans="1:16" ht="20.100000000000001" customHeight="1" x14ac:dyDescent="0.2">
      <c r="A145" s="25">
        <v>12</v>
      </c>
      <c r="B145" s="9" t="s">
        <v>60</v>
      </c>
      <c r="C145" s="10" t="s">
        <v>565</v>
      </c>
      <c r="D145" s="13" t="s">
        <v>65</v>
      </c>
      <c r="E145" s="70">
        <v>390086.5</v>
      </c>
      <c r="F145" s="70"/>
      <c r="G145" s="186"/>
      <c r="H145" s="186">
        <f t="shared" si="52"/>
        <v>60000</v>
      </c>
      <c r="I145" s="70"/>
      <c r="J145" s="466">
        <f t="shared" si="50"/>
        <v>450086.5</v>
      </c>
      <c r="K145" s="466">
        <v>286619.99875000003</v>
      </c>
      <c r="L145" s="466">
        <f t="shared" si="51"/>
        <v>163466.50125</v>
      </c>
      <c r="M145" s="468">
        <v>58980.834746666696</v>
      </c>
      <c r="N145" s="467">
        <v>35221.954086666701</v>
      </c>
      <c r="O145" s="468">
        <f t="shared" si="49"/>
        <v>23758.880659999999</v>
      </c>
      <c r="P145" s="11"/>
    </row>
    <row r="146" spans="1:16" ht="20.100000000000001" customHeight="1" x14ac:dyDescent="0.2">
      <c r="A146" s="25">
        <v>13</v>
      </c>
      <c r="B146" s="16" t="s">
        <v>288</v>
      </c>
      <c r="C146" s="2" t="s">
        <v>289</v>
      </c>
      <c r="D146" s="13" t="s">
        <v>137</v>
      </c>
      <c r="E146" s="186">
        <v>353512.5</v>
      </c>
      <c r="F146" s="70"/>
      <c r="G146" s="186"/>
      <c r="H146" s="186">
        <v>60000</v>
      </c>
      <c r="I146" s="70"/>
      <c r="J146" s="466">
        <f t="shared" si="50"/>
        <v>413512.5</v>
      </c>
      <c r="K146" s="466">
        <v>265372.07500000001</v>
      </c>
      <c r="L146" s="466">
        <f t="shared" si="51"/>
        <v>148140.42499999999</v>
      </c>
      <c r="M146" s="468">
        <v>52631.114666666697</v>
      </c>
      <c r="N146" s="467">
        <v>31749.175266666702</v>
      </c>
      <c r="O146" s="468">
        <f t="shared" si="49"/>
        <v>20881.939399999999</v>
      </c>
      <c r="P146" s="11"/>
    </row>
    <row r="147" spans="1:16" ht="20.100000000000001" customHeight="1" x14ac:dyDescent="0.2">
      <c r="A147" s="25">
        <v>14</v>
      </c>
      <c r="B147" s="9" t="s">
        <v>290</v>
      </c>
      <c r="C147" s="2" t="s">
        <v>566</v>
      </c>
      <c r="D147" s="13" t="s">
        <v>119</v>
      </c>
      <c r="E147" s="186">
        <v>308901.5</v>
      </c>
      <c r="F147" s="70"/>
      <c r="G147" s="186"/>
      <c r="H147" s="186">
        <f>60000</f>
        <v>60000</v>
      </c>
      <c r="I147" s="70"/>
      <c r="J147" s="466">
        <f t="shared" si="50"/>
        <v>368901.5</v>
      </c>
      <c r="K147" s="466">
        <v>237734.04699999999</v>
      </c>
      <c r="L147" s="466">
        <f t="shared" si="51"/>
        <v>131167.45300000001</v>
      </c>
      <c r="M147" s="468">
        <v>44990.482506666704</v>
      </c>
      <c r="N147" s="467">
        <v>27105.986562666702</v>
      </c>
      <c r="O147" s="468">
        <f t="shared" si="49"/>
        <v>17884.495943999998</v>
      </c>
      <c r="P147" s="11"/>
    </row>
    <row r="148" spans="1:16" ht="20.100000000000001" customHeight="1" x14ac:dyDescent="0.2">
      <c r="A148" s="25">
        <v>15</v>
      </c>
      <c r="B148" s="9" t="s">
        <v>291</v>
      </c>
      <c r="C148" s="2" t="s">
        <v>566</v>
      </c>
      <c r="D148" s="13" t="s">
        <v>300</v>
      </c>
      <c r="E148" s="186">
        <v>316837.41666666698</v>
      </c>
      <c r="F148" s="70"/>
      <c r="G148" s="186"/>
      <c r="H148" s="186">
        <f>60000</f>
        <v>60000</v>
      </c>
      <c r="I148" s="70"/>
      <c r="J148" s="466">
        <f t="shared" si="50"/>
        <v>376837.41666666698</v>
      </c>
      <c r="K148" s="466">
        <v>242300.07750000001</v>
      </c>
      <c r="L148" s="466">
        <f t="shared" si="51"/>
        <v>134537.33916666699</v>
      </c>
      <c r="M148" s="468">
        <v>46138.184726666703</v>
      </c>
      <c r="N148" s="467">
        <v>27794.206626666699</v>
      </c>
      <c r="O148" s="468">
        <f t="shared" si="49"/>
        <v>18343.9781</v>
      </c>
      <c r="P148" s="11"/>
    </row>
    <row r="149" spans="1:16" ht="20.100000000000001" customHeight="1" x14ac:dyDescent="0.2">
      <c r="A149" s="25">
        <v>16</v>
      </c>
      <c r="B149" s="9" t="s">
        <v>293</v>
      </c>
      <c r="C149" s="2" t="s">
        <v>566</v>
      </c>
      <c r="D149" s="13" t="s">
        <v>300</v>
      </c>
      <c r="E149" s="186">
        <v>316837.41666666698</v>
      </c>
      <c r="F149" s="70"/>
      <c r="G149" s="186"/>
      <c r="H149" s="186">
        <f>60000</f>
        <v>60000</v>
      </c>
      <c r="I149" s="70"/>
      <c r="J149" s="466">
        <f t="shared" si="50"/>
        <v>376837.41666666698</v>
      </c>
      <c r="K149" s="466">
        <v>242300.07750000001</v>
      </c>
      <c r="L149" s="466">
        <f t="shared" si="51"/>
        <v>134537.33916666699</v>
      </c>
      <c r="M149" s="468">
        <v>46217.057786666701</v>
      </c>
      <c r="N149" s="467">
        <v>27873.079686666701</v>
      </c>
      <c r="O149" s="468">
        <f t="shared" si="49"/>
        <v>18343.9781</v>
      </c>
      <c r="P149" s="11"/>
    </row>
    <row r="150" spans="1:16" ht="20.100000000000001" customHeight="1" x14ac:dyDescent="0.2">
      <c r="A150" s="25">
        <v>17</v>
      </c>
      <c r="B150" s="9" t="s">
        <v>294</v>
      </c>
      <c r="C150" s="10" t="s">
        <v>295</v>
      </c>
      <c r="D150" s="13" t="s">
        <v>76</v>
      </c>
      <c r="E150" s="186">
        <v>300965.58333333302</v>
      </c>
      <c r="F150" s="70"/>
      <c r="G150" s="186"/>
      <c r="H150" s="186">
        <f>60000</f>
        <v>60000</v>
      </c>
      <c r="I150" s="70"/>
      <c r="J150" s="466">
        <f t="shared" si="50"/>
        <v>360965.58333333302</v>
      </c>
      <c r="K150" s="466">
        <v>237734.04699999999</v>
      </c>
      <c r="L150" s="466">
        <f t="shared" si="51"/>
        <v>123231.536333333</v>
      </c>
      <c r="M150" s="468">
        <v>43763.907226666699</v>
      </c>
      <c r="N150" s="467">
        <v>27105.986562666702</v>
      </c>
      <c r="O150" s="468">
        <f t="shared" si="49"/>
        <v>16657.920664000001</v>
      </c>
      <c r="P150" s="11"/>
    </row>
    <row r="151" spans="1:16" ht="20.100000000000001" customHeight="1" x14ac:dyDescent="0.2">
      <c r="A151" s="25">
        <v>18</v>
      </c>
      <c r="B151" s="9" t="s">
        <v>296</v>
      </c>
      <c r="C151" s="10" t="s">
        <v>297</v>
      </c>
      <c r="D151" s="8" t="s">
        <v>87</v>
      </c>
      <c r="E151" s="70">
        <v>263165.33333333302</v>
      </c>
      <c r="F151" s="70"/>
      <c r="G151" s="186"/>
      <c r="H151" s="186">
        <f>60000</f>
        <v>60000</v>
      </c>
      <c r="I151" s="70"/>
      <c r="J151" s="466">
        <f t="shared" si="50"/>
        <v>323165.33333333302</v>
      </c>
      <c r="K151" s="466">
        <v>209356.04725</v>
      </c>
      <c r="L151" s="466">
        <f t="shared" si="51"/>
        <v>113809.28608333301</v>
      </c>
      <c r="M151" s="468">
        <v>37921.500586666698</v>
      </c>
      <c r="N151" s="467">
        <v>22338.4826046667</v>
      </c>
      <c r="O151" s="468">
        <f t="shared" si="49"/>
        <v>15583.017981999999</v>
      </c>
      <c r="P151" s="11"/>
    </row>
    <row r="152" spans="1:16" ht="20.100000000000001" customHeight="1" x14ac:dyDescent="0.2">
      <c r="A152" s="25">
        <v>19</v>
      </c>
      <c r="B152" s="9" t="s">
        <v>298</v>
      </c>
      <c r="C152" s="10" t="s">
        <v>299</v>
      </c>
      <c r="D152" s="13" t="s">
        <v>119</v>
      </c>
      <c r="E152" s="186">
        <v>308901.5</v>
      </c>
      <c r="F152" s="70"/>
      <c r="G152" s="186"/>
      <c r="H152" s="186">
        <f>50000+10000</f>
        <v>60000</v>
      </c>
      <c r="I152" s="70"/>
      <c r="J152" s="466">
        <f t="shared" si="50"/>
        <v>368901.5</v>
      </c>
      <c r="K152" s="466">
        <v>237734.04699999999</v>
      </c>
      <c r="L152" s="466">
        <f t="shared" si="51"/>
        <v>131167.45300000001</v>
      </c>
      <c r="M152" s="468">
        <v>44990.482506666704</v>
      </c>
      <c r="N152" s="467">
        <v>27105.986562666702</v>
      </c>
      <c r="O152" s="468">
        <f t="shared" si="49"/>
        <v>17884.495943999998</v>
      </c>
      <c r="P152" s="11"/>
    </row>
    <row r="153" spans="1:16" ht="20.100000000000001" customHeight="1" x14ac:dyDescent="0.2">
      <c r="A153" s="25">
        <v>20</v>
      </c>
      <c r="B153" s="9" t="s">
        <v>301</v>
      </c>
      <c r="C153" s="10" t="s">
        <v>302</v>
      </c>
      <c r="D153" s="13" t="s">
        <v>84</v>
      </c>
      <c r="E153" s="186">
        <v>270481.66666666698</v>
      </c>
      <c r="F153" s="70"/>
      <c r="G153" s="186"/>
      <c r="H153" s="186">
        <f>50000+10000</f>
        <v>60000</v>
      </c>
      <c r="I153" s="70"/>
      <c r="J153" s="466">
        <f t="shared" si="50"/>
        <v>330481.66666666698</v>
      </c>
      <c r="K153" s="466">
        <v>213508.01</v>
      </c>
      <c r="L153" s="466">
        <f t="shared" si="51"/>
        <v>116973.656666667</v>
      </c>
      <c r="M153" s="468">
        <v>39052.313066666698</v>
      </c>
      <c r="N153" s="467">
        <v>23036.012346666699</v>
      </c>
      <c r="O153" s="468">
        <f t="shared" si="49"/>
        <v>16016.300719999999</v>
      </c>
      <c r="P153" s="11"/>
    </row>
    <row r="154" spans="1:16" ht="20.100000000000001" customHeight="1" x14ac:dyDescent="0.2">
      <c r="A154" s="25">
        <v>21</v>
      </c>
      <c r="B154" s="9" t="s">
        <v>303</v>
      </c>
      <c r="C154" s="10" t="s">
        <v>304</v>
      </c>
      <c r="D154" s="13" t="s">
        <v>119</v>
      </c>
      <c r="E154" s="186">
        <v>308901.5</v>
      </c>
      <c r="F154" s="70"/>
      <c r="G154" s="186"/>
      <c r="H154" s="186">
        <f>50000+10000</f>
        <v>60000</v>
      </c>
      <c r="I154" s="70"/>
      <c r="J154" s="466">
        <f t="shared" si="50"/>
        <v>368901.5</v>
      </c>
      <c r="K154" s="466">
        <v>237734.04699999999</v>
      </c>
      <c r="L154" s="466">
        <f t="shared" si="51"/>
        <v>131167.45300000001</v>
      </c>
      <c r="M154" s="468">
        <v>44913.699618666702</v>
      </c>
      <c r="N154" s="467">
        <v>27029.2036746667</v>
      </c>
      <c r="O154" s="468">
        <f t="shared" si="49"/>
        <v>17884.495943999998</v>
      </c>
      <c r="P154" s="11"/>
    </row>
    <row r="155" spans="1:16" ht="20.100000000000001" customHeight="1" x14ac:dyDescent="0.2">
      <c r="A155" s="25">
        <v>22</v>
      </c>
      <c r="B155" s="9" t="s">
        <v>305</v>
      </c>
      <c r="C155" s="10" t="s">
        <v>306</v>
      </c>
      <c r="D155" s="13" t="s">
        <v>84</v>
      </c>
      <c r="E155" s="186">
        <v>270481.66666666698</v>
      </c>
      <c r="F155" s="70"/>
      <c r="G155" s="186"/>
      <c r="H155" s="186">
        <f>50000+10000</f>
        <v>60000</v>
      </c>
      <c r="I155" s="70"/>
      <c r="J155" s="466">
        <f t="shared" si="50"/>
        <v>330481.66666666698</v>
      </c>
      <c r="K155" s="466">
        <v>209356.04725</v>
      </c>
      <c r="L155" s="466">
        <f t="shared" si="51"/>
        <v>121125.619416667</v>
      </c>
      <c r="M155" s="468">
        <v>39052.313066666698</v>
      </c>
      <c r="N155" s="467">
        <v>22338.4826046667</v>
      </c>
      <c r="O155" s="468">
        <f t="shared" si="49"/>
        <v>16713.830462000002</v>
      </c>
      <c r="P155" s="11"/>
    </row>
    <row r="156" spans="1:16" ht="20.100000000000001" customHeight="1" x14ac:dyDescent="0.2">
      <c r="A156" s="25">
        <v>23</v>
      </c>
      <c r="B156" s="16" t="s">
        <v>307</v>
      </c>
      <c r="C156" s="10" t="s">
        <v>308</v>
      </c>
      <c r="D156" s="13" t="s">
        <v>96</v>
      </c>
      <c r="E156" s="186">
        <v>255849</v>
      </c>
      <c r="F156" s="70"/>
      <c r="G156" s="186"/>
      <c r="H156" s="186">
        <f>60000</f>
        <v>60000</v>
      </c>
      <c r="I156" s="2"/>
      <c r="J156" s="466">
        <f t="shared" si="50"/>
        <v>315849</v>
      </c>
      <c r="K156" s="466">
        <v>205204.0845</v>
      </c>
      <c r="L156" s="466">
        <f t="shared" si="51"/>
        <v>110644.9155</v>
      </c>
      <c r="M156" s="468">
        <v>36790.688106666697</v>
      </c>
      <c r="N156" s="467">
        <v>21640.952862666702</v>
      </c>
      <c r="O156" s="468">
        <f t="shared" si="49"/>
        <v>15149.735244</v>
      </c>
      <c r="P156" s="11"/>
    </row>
    <row r="157" spans="1:16" ht="20.100000000000001" customHeight="1" x14ac:dyDescent="0.2">
      <c r="A157" s="25">
        <v>24</v>
      </c>
      <c r="B157" s="16" t="s">
        <v>312</v>
      </c>
      <c r="C157" s="10" t="s">
        <v>313</v>
      </c>
      <c r="D157" s="13" t="s">
        <v>105</v>
      </c>
      <c r="E157" s="70">
        <v>224459.75</v>
      </c>
      <c r="F157" s="70"/>
      <c r="G157" s="186"/>
      <c r="H157" s="186">
        <f>50000</f>
        <v>50000</v>
      </c>
      <c r="I157" s="70"/>
      <c r="J157" s="466">
        <f t="shared" si="50"/>
        <v>274459.75</v>
      </c>
      <c r="K157" s="466">
        <v>176816.1</v>
      </c>
      <c r="L157" s="466">
        <f t="shared" si="51"/>
        <v>97643.65</v>
      </c>
      <c r="M157" s="468">
        <v>30259.165626666701</v>
      </c>
      <c r="N157" s="467">
        <v>17042.713866666702</v>
      </c>
      <c r="O157" s="468">
        <f t="shared" si="49"/>
        <v>13216.45176</v>
      </c>
      <c r="P157" s="11"/>
    </row>
    <row r="158" spans="1:16" ht="20.100000000000001" customHeight="1" x14ac:dyDescent="0.2">
      <c r="A158" s="25">
        <v>25</v>
      </c>
      <c r="B158" s="16" t="s">
        <v>314</v>
      </c>
      <c r="C158" s="10" t="s">
        <v>315</v>
      </c>
      <c r="D158" s="13" t="s">
        <v>105</v>
      </c>
      <c r="E158" s="70">
        <v>224459.75</v>
      </c>
      <c r="F158" s="70"/>
      <c r="G158" s="186"/>
      <c r="H158" s="186">
        <f>50000</f>
        <v>50000</v>
      </c>
      <c r="I158" s="70"/>
      <c r="J158" s="466">
        <f t="shared" si="50"/>
        <v>274459.75</v>
      </c>
      <c r="K158" s="466">
        <v>176816.1</v>
      </c>
      <c r="L158" s="466">
        <f t="shared" si="51"/>
        <v>97643.65</v>
      </c>
      <c r="M158" s="468">
        <v>30259.165626666701</v>
      </c>
      <c r="N158" s="467">
        <v>17042.713866666702</v>
      </c>
      <c r="O158" s="468">
        <f t="shared" si="49"/>
        <v>13216.45176</v>
      </c>
      <c r="P158" s="11"/>
    </row>
    <row r="159" spans="1:16" ht="20.100000000000001" customHeight="1" x14ac:dyDescent="0.2">
      <c r="A159" s="25">
        <v>26</v>
      </c>
      <c r="B159" s="16" t="s">
        <v>316</v>
      </c>
      <c r="C159" s="10" t="s">
        <v>317</v>
      </c>
      <c r="D159" s="13" t="s">
        <v>105</v>
      </c>
      <c r="E159" s="70">
        <v>224459.75</v>
      </c>
      <c r="F159" s="70"/>
      <c r="G159" s="186"/>
      <c r="H159" s="186">
        <f>50000</f>
        <v>50000</v>
      </c>
      <c r="I159" s="70"/>
      <c r="J159" s="466">
        <f t="shared" si="50"/>
        <v>274459.75</v>
      </c>
      <c r="K159" s="466">
        <v>176816.1</v>
      </c>
      <c r="L159" s="466">
        <f t="shared" si="51"/>
        <v>97643.65</v>
      </c>
      <c r="M159" s="468">
        <v>30259.165626666701</v>
      </c>
      <c r="N159" s="467">
        <v>17042.713866666702</v>
      </c>
      <c r="O159" s="468">
        <f t="shared" si="49"/>
        <v>13216.45176</v>
      </c>
      <c r="P159" s="11"/>
    </row>
    <row r="160" spans="1:16" ht="20.100000000000001" customHeight="1" x14ac:dyDescent="0.2">
      <c r="A160" s="25">
        <v>27</v>
      </c>
      <c r="B160" s="16" t="s">
        <v>318</v>
      </c>
      <c r="C160" s="10" t="s">
        <v>319</v>
      </c>
      <c r="D160" s="13" t="s">
        <v>102</v>
      </c>
      <c r="E160" s="70">
        <v>230631.91666666701</v>
      </c>
      <c r="F160" s="70"/>
      <c r="G160" s="186"/>
      <c r="H160" s="186">
        <f>50000</f>
        <v>50000</v>
      </c>
      <c r="I160" s="70"/>
      <c r="J160" s="466">
        <f t="shared" si="50"/>
        <v>280631.91666666698</v>
      </c>
      <c r="K160" s="466">
        <v>180304.068</v>
      </c>
      <c r="L160" s="466">
        <f t="shared" si="51"/>
        <v>100327.84866666701</v>
      </c>
      <c r="M160" s="468">
        <v>31213.135706666701</v>
      </c>
      <c r="N160" s="467">
        <v>17572.885002666699</v>
      </c>
      <c r="O160" s="468">
        <f t="shared" si="49"/>
        <v>13640.250704</v>
      </c>
      <c r="P160" s="11"/>
    </row>
    <row r="161" spans="1:16" ht="20.100000000000001" customHeight="1" x14ac:dyDescent="0.2">
      <c r="A161" s="25">
        <v>28</v>
      </c>
      <c r="B161" s="16" t="s">
        <v>320</v>
      </c>
      <c r="C161" s="10" t="s">
        <v>315</v>
      </c>
      <c r="D161" s="13" t="s">
        <v>105</v>
      </c>
      <c r="E161" s="70">
        <v>224459.75</v>
      </c>
      <c r="F161" s="70"/>
      <c r="G161" s="186"/>
      <c r="H161" s="186">
        <f>50000</f>
        <v>50000</v>
      </c>
      <c r="I161" s="70"/>
      <c r="J161" s="466">
        <f t="shared" si="50"/>
        <v>274459.75</v>
      </c>
      <c r="K161" s="466">
        <v>176816.1</v>
      </c>
      <c r="L161" s="466">
        <f t="shared" si="51"/>
        <v>97643.65</v>
      </c>
      <c r="M161" s="468">
        <v>30259.165626666701</v>
      </c>
      <c r="N161" s="467">
        <v>17042.713866666702</v>
      </c>
      <c r="O161" s="468">
        <f t="shared" si="49"/>
        <v>13216.45176</v>
      </c>
      <c r="P161" s="11"/>
    </row>
    <row r="162" spans="1:16" ht="20.100000000000001" customHeight="1" x14ac:dyDescent="0.2">
      <c r="A162" s="25">
        <v>29</v>
      </c>
      <c r="B162" s="9" t="s">
        <v>329</v>
      </c>
      <c r="C162" s="10" t="s">
        <v>330</v>
      </c>
      <c r="D162" s="13" t="s">
        <v>337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6">
        <f t="shared" si="50"/>
        <v>202598.16666666701</v>
      </c>
      <c r="K162" s="466">
        <v>135590.73000000001</v>
      </c>
      <c r="L162" s="466">
        <f t="shared" si="51"/>
        <v>67007.436666666996</v>
      </c>
      <c r="M162" s="468">
        <v>18892.9833866667</v>
      </c>
      <c r="N162" s="467">
        <v>10739.3048</v>
      </c>
      <c r="O162" s="468">
        <f t="shared" si="49"/>
        <v>8153.6785866666996</v>
      </c>
      <c r="P162" s="11"/>
    </row>
    <row r="163" spans="1:16" ht="20.100000000000001" customHeight="1" x14ac:dyDescent="0.2">
      <c r="A163" s="25">
        <v>30</v>
      </c>
      <c r="B163" s="9" t="s">
        <v>332</v>
      </c>
      <c r="C163" s="10" t="s">
        <v>330</v>
      </c>
      <c r="D163" s="13" t="s">
        <v>337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6">
        <f t="shared" si="50"/>
        <v>205598.16666666701</v>
      </c>
      <c r="K163" s="466">
        <v>138590.73000000001</v>
      </c>
      <c r="L163" s="466">
        <f t="shared" si="51"/>
        <v>67007.436666666996</v>
      </c>
      <c r="M163" s="468">
        <v>19441.199306666698</v>
      </c>
      <c r="N163" s="467">
        <v>11232.457626666701</v>
      </c>
      <c r="O163" s="468">
        <f t="shared" si="49"/>
        <v>8208.7416799999992</v>
      </c>
      <c r="P163" s="11"/>
    </row>
    <row r="164" spans="1:16" ht="20.100000000000001" customHeight="1" x14ac:dyDescent="0.2">
      <c r="A164" s="25">
        <v>31</v>
      </c>
      <c r="B164" s="9" t="s">
        <v>333</v>
      </c>
      <c r="C164" s="10" t="s">
        <v>330</v>
      </c>
      <c r="D164" s="13" t="s">
        <v>337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6">
        <f t="shared" si="50"/>
        <v>202598.16666666701</v>
      </c>
      <c r="K164" s="466">
        <v>135590.73000000001</v>
      </c>
      <c r="L164" s="466">
        <f t="shared" si="51"/>
        <v>67007.436666666996</v>
      </c>
      <c r="M164" s="468">
        <v>18937.199306666698</v>
      </c>
      <c r="N164" s="467">
        <v>10776.457626666701</v>
      </c>
      <c r="O164" s="468">
        <f t="shared" si="49"/>
        <v>8160.7416800000001</v>
      </c>
      <c r="P164" s="11"/>
    </row>
    <row r="165" spans="1:16" ht="20.100000000000001" customHeight="1" x14ac:dyDescent="0.2">
      <c r="A165" s="25">
        <v>32</v>
      </c>
      <c r="B165" s="9" t="s">
        <v>334</v>
      </c>
      <c r="C165" s="10" t="s">
        <v>330</v>
      </c>
      <c r="D165" s="13" t="s">
        <v>337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6">
        <f t="shared" si="50"/>
        <v>202598.16666666701</v>
      </c>
      <c r="K165" s="466">
        <v>135590.73000000001</v>
      </c>
      <c r="L165" s="466">
        <f t="shared" si="51"/>
        <v>67007.436666666996</v>
      </c>
      <c r="M165" s="468">
        <v>18892.9833866667</v>
      </c>
      <c r="N165" s="467">
        <v>10739.3048</v>
      </c>
      <c r="O165" s="468">
        <f t="shared" si="49"/>
        <v>8153.6785866666996</v>
      </c>
      <c r="P165" s="11"/>
    </row>
    <row r="166" spans="1:16" ht="20.100000000000001" customHeight="1" x14ac:dyDescent="0.2">
      <c r="A166" s="25">
        <v>33</v>
      </c>
      <c r="B166" s="9" t="s">
        <v>335</v>
      </c>
      <c r="C166" s="10" t="s">
        <v>330</v>
      </c>
      <c r="D166" s="13" t="s">
        <v>337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6">
        <f t="shared" si="50"/>
        <v>202598.16666666701</v>
      </c>
      <c r="K166" s="466">
        <v>135590.73000000001</v>
      </c>
      <c r="L166" s="466">
        <f t="shared" si="51"/>
        <v>67007.436666666996</v>
      </c>
      <c r="M166" s="468">
        <v>18937.199306666698</v>
      </c>
      <c r="N166" s="467">
        <v>10776.457626666701</v>
      </c>
      <c r="O166" s="468">
        <f t="shared" si="49"/>
        <v>8160.7416800000001</v>
      </c>
      <c r="P166" s="11"/>
    </row>
    <row r="167" spans="1:16" ht="20.100000000000001" customHeight="1" x14ac:dyDescent="0.2">
      <c r="A167" s="25">
        <v>34</v>
      </c>
      <c r="B167" s="9" t="s">
        <v>336</v>
      </c>
      <c r="C167" s="10" t="s">
        <v>330</v>
      </c>
      <c r="D167" s="13" t="s">
        <v>348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6">
        <f t="shared" si="50"/>
        <v>200336.83333333299</v>
      </c>
      <c r="K167" s="466">
        <v>138590.73000000001</v>
      </c>
      <c r="L167" s="466">
        <f t="shared" si="51"/>
        <v>61746.103333332998</v>
      </c>
      <c r="M167" s="468">
        <v>18631.689439999998</v>
      </c>
      <c r="N167" s="467">
        <v>11232.457626666701</v>
      </c>
      <c r="O167" s="468">
        <f t="shared" si="49"/>
        <v>7399.2318133333001</v>
      </c>
      <c r="P167" s="11"/>
    </row>
    <row r="168" spans="1:16" ht="20.100000000000001" customHeight="1" x14ac:dyDescent="0.2">
      <c r="A168" s="25">
        <v>35</v>
      </c>
      <c r="B168" s="9" t="s">
        <v>338</v>
      </c>
      <c r="C168" s="10" t="s">
        <v>330</v>
      </c>
      <c r="D168" s="13" t="s">
        <v>348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6">
        <f t="shared" si="50"/>
        <v>197336.83333333299</v>
      </c>
      <c r="K168" s="466">
        <v>135590.73000000001</v>
      </c>
      <c r="L168" s="466">
        <f t="shared" si="51"/>
        <v>61746.103333332998</v>
      </c>
      <c r="M168" s="468">
        <v>18175.689439999998</v>
      </c>
      <c r="N168" s="467">
        <v>10776.457626666701</v>
      </c>
      <c r="O168" s="468">
        <f t="shared" si="49"/>
        <v>7399.2318133333001</v>
      </c>
      <c r="P168" s="11"/>
    </row>
    <row r="169" spans="1:16" ht="20.100000000000001" customHeight="1" x14ac:dyDescent="0.2">
      <c r="A169" s="25">
        <v>36</v>
      </c>
      <c r="B169" s="12" t="s">
        <v>339</v>
      </c>
      <c r="C169" s="10" t="s">
        <v>330</v>
      </c>
      <c r="D169" s="13" t="s">
        <v>348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6">
        <f t="shared" si="50"/>
        <v>200336.83333333299</v>
      </c>
      <c r="K169" s="466">
        <v>138590.73000000001</v>
      </c>
      <c r="L169" s="466">
        <f t="shared" si="51"/>
        <v>61746.103333332998</v>
      </c>
      <c r="M169" s="468">
        <v>18631.689439999998</v>
      </c>
      <c r="N169" s="467">
        <v>11232.457626666701</v>
      </c>
      <c r="O169" s="468">
        <f t="shared" si="49"/>
        <v>7399.2318133333001</v>
      </c>
      <c r="P169" s="11"/>
    </row>
    <row r="170" spans="1:16" ht="20.100000000000001" customHeight="1" x14ac:dyDescent="0.2">
      <c r="A170" s="25">
        <v>37</v>
      </c>
      <c r="B170" s="9" t="s">
        <v>340</v>
      </c>
      <c r="C170" s="10" t="s">
        <v>330</v>
      </c>
      <c r="D170" s="13" t="s">
        <v>348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6">
        <f t="shared" si="50"/>
        <v>197336.83333333299</v>
      </c>
      <c r="K170" s="466">
        <v>135590.73000000001</v>
      </c>
      <c r="L170" s="466">
        <f t="shared" si="51"/>
        <v>61746.103333332998</v>
      </c>
      <c r="M170" s="468">
        <v>18175.689439999998</v>
      </c>
      <c r="N170" s="467">
        <v>10776.457626666701</v>
      </c>
      <c r="O170" s="468">
        <f t="shared" si="49"/>
        <v>7399.2318133333001</v>
      </c>
      <c r="P170" s="11"/>
    </row>
    <row r="171" spans="1:16" ht="20.100000000000001" customHeight="1" x14ac:dyDescent="0.2">
      <c r="A171" s="25">
        <v>38</v>
      </c>
      <c r="B171" s="16" t="s">
        <v>341</v>
      </c>
      <c r="C171" s="10" t="s">
        <v>330</v>
      </c>
      <c r="D171" s="13" t="s">
        <v>348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6">
        <f t="shared" si="50"/>
        <v>197336.83333333299</v>
      </c>
      <c r="K171" s="466">
        <v>135590.73000000001</v>
      </c>
      <c r="L171" s="466">
        <f t="shared" si="51"/>
        <v>61746.103333332998</v>
      </c>
      <c r="M171" s="468">
        <v>18175.689439999998</v>
      </c>
      <c r="N171" s="467">
        <v>10776.457626666701</v>
      </c>
      <c r="O171" s="468">
        <f t="shared" si="49"/>
        <v>7399.2318133333001</v>
      </c>
      <c r="P171" s="11"/>
    </row>
    <row r="172" spans="1:16" ht="20.100000000000001" customHeight="1" x14ac:dyDescent="0.2">
      <c r="A172" s="25">
        <v>39</v>
      </c>
      <c r="B172" s="16" t="s">
        <v>342</v>
      </c>
      <c r="C172" s="10" t="s">
        <v>330</v>
      </c>
      <c r="D172" s="13" t="s">
        <v>348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6">
        <f t="shared" si="50"/>
        <v>200336.83333333299</v>
      </c>
      <c r="K172" s="466">
        <v>138590.73000000001</v>
      </c>
      <c r="L172" s="466">
        <f t="shared" si="51"/>
        <v>61746.103333332998</v>
      </c>
      <c r="M172" s="468">
        <v>18631.689439999998</v>
      </c>
      <c r="N172" s="467">
        <v>11232.457626666701</v>
      </c>
      <c r="O172" s="468">
        <f t="shared" si="49"/>
        <v>7399.2318133333001</v>
      </c>
      <c r="P172" s="11"/>
    </row>
    <row r="173" spans="1:16" ht="20.100000000000001" customHeight="1" x14ac:dyDescent="0.2">
      <c r="A173" s="25">
        <v>40</v>
      </c>
      <c r="B173" s="9" t="s">
        <v>343</v>
      </c>
      <c r="C173" s="10" t="s">
        <v>344</v>
      </c>
      <c r="D173" s="13" t="s">
        <v>351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6">
        <f t="shared" si="50"/>
        <v>189814.16666666701</v>
      </c>
      <c r="K173" s="466">
        <v>122104.99825</v>
      </c>
      <c r="L173" s="466">
        <f t="shared" si="51"/>
        <v>67709.168416667002</v>
      </c>
      <c r="M173" s="468">
        <v>17160.199733333298</v>
      </c>
      <c r="N173" s="467">
        <v>9152.5997900000002</v>
      </c>
      <c r="O173" s="468">
        <f t="shared" si="49"/>
        <v>8007.5999433333</v>
      </c>
      <c r="P173" s="11"/>
    </row>
    <row r="174" spans="1:16" ht="20.100000000000001" customHeight="1" x14ac:dyDescent="0.2">
      <c r="A174" s="25">
        <v>41</v>
      </c>
      <c r="B174" s="9" t="s">
        <v>346</v>
      </c>
      <c r="C174" s="10" t="s">
        <v>344</v>
      </c>
      <c r="D174" s="13" t="s">
        <v>351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6">
        <f t="shared" si="50"/>
        <v>189814.16666666701</v>
      </c>
      <c r="K174" s="466">
        <v>122104.99825</v>
      </c>
      <c r="L174" s="466">
        <f t="shared" si="51"/>
        <v>67709.168416667002</v>
      </c>
      <c r="M174" s="468">
        <v>17160.199733333298</v>
      </c>
      <c r="N174" s="467">
        <v>9152.5997900000002</v>
      </c>
      <c r="O174" s="468">
        <f t="shared" si="49"/>
        <v>8007.5999433333</v>
      </c>
      <c r="P174" s="11"/>
    </row>
    <row r="175" spans="1:16" ht="20.100000000000001" customHeight="1" x14ac:dyDescent="0.2">
      <c r="A175" s="25">
        <v>42</v>
      </c>
      <c r="B175" s="16" t="s">
        <v>347</v>
      </c>
      <c r="C175" s="10" t="s">
        <v>344</v>
      </c>
      <c r="D175" s="13" t="s">
        <v>345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6">
        <f t="shared" si="50"/>
        <v>195075.5</v>
      </c>
      <c r="K175" s="466">
        <v>125035.03449999999</v>
      </c>
      <c r="L175" s="466">
        <f t="shared" si="51"/>
        <v>70040.465500000006</v>
      </c>
      <c r="M175" s="468">
        <v>17895.944586666701</v>
      </c>
      <c r="N175" s="467">
        <v>9504.2041399999998</v>
      </c>
      <c r="O175" s="468">
        <f t="shared" si="49"/>
        <v>8391.7404466666994</v>
      </c>
      <c r="P175" s="11"/>
    </row>
    <row r="176" spans="1:16" ht="20.100000000000001" customHeight="1" x14ac:dyDescent="0.2">
      <c r="A176" s="25">
        <v>43</v>
      </c>
      <c r="B176" s="9" t="s">
        <v>349</v>
      </c>
      <c r="C176" s="10" t="s">
        <v>350</v>
      </c>
      <c r="D176" s="13" t="s">
        <v>354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6">
        <f t="shared" si="50"/>
        <v>121145.75</v>
      </c>
      <c r="K176" s="466">
        <v>81803.001000000004</v>
      </c>
      <c r="L176" s="466">
        <f t="shared" si="51"/>
        <v>39342.749000000003</v>
      </c>
      <c r="M176" s="468">
        <v>8133.6908000000003</v>
      </c>
      <c r="N176" s="467">
        <v>4365.3307546666701</v>
      </c>
      <c r="O176" s="468">
        <f t="shared" si="49"/>
        <v>3768.3600453333302</v>
      </c>
      <c r="P176" s="11"/>
    </row>
    <row r="177" spans="1:16" ht="20.100000000000001" customHeight="1" x14ac:dyDescent="0.2">
      <c r="A177" s="25">
        <v>44</v>
      </c>
      <c r="B177" s="9" t="s">
        <v>352</v>
      </c>
      <c r="C177" s="10" t="s">
        <v>353</v>
      </c>
      <c r="D177" s="13" t="s">
        <v>364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6">
        <f t="shared" si="50"/>
        <v>118598</v>
      </c>
      <c r="K177" s="466">
        <v>80237.012000000002</v>
      </c>
      <c r="L177" s="466">
        <f t="shared" si="51"/>
        <v>38360.987999999998</v>
      </c>
      <c r="M177" s="468">
        <v>7852.4192000000003</v>
      </c>
      <c r="N177" s="467">
        <v>4227.5237226666704</v>
      </c>
      <c r="O177" s="468">
        <f t="shared" si="49"/>
        <v>3624.8954773333298</v>
      </c>
      <c r="P177" s="11"/>
    </row>
    <row r="178" spans="1:16" ht="20.100000000000001" customHeight="1" x14ac:dyDescent="0.2">
      <c r="A178" s="25">
        <v>45</v>
      </c>
      <c r="B178" s="9" t="s">
        <v>355</v>
      </c>
      <c r="C178" s="10" t="s">
        <v>353</v>
      </c>
      <c r="D178" s="13" t="s">
        <v>364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6">
        <f t="shared" si="50"/>
        <v>115598</v>
      </c>
      <c r="K178" s="466">
        <v>77237.012000000002</v>
      </c>
      <c r="L178" s="466">
        <f t="shared" si="51"/>
        <v>38360.987999999998</v>
      </c>
      <c r="M178" s="468">
        <v>7492.4192000000003</v>
      </c>
      <c r="N178" s="467">
        <v>3963.52372266667</v>
      </c>
      <c r="O178" s="468">
        <f t="shared" si="49"/>
        <v>3528.8954773333298</v>
      </c>
      <c r="P178" s="11"/>
    </row>
    <row r="179" spans="1:16" ht="20.100000000000001" customHeight="1" x14ac:dyDescent="0.2">
      <c r="A179" s="25">
        <v>46</v>
      </c>
      <c r="B179" s="9" t="s">
        <v>356</v>
      </c>
      <c r="C179" s="10" t="s">
        <v>353</v>
      </c>
      <c r="D179" s="13" t="s">
        <v>364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6">
        <f t="shared" si="50"/>
        <v>118598</v>
      </c>
      <c r="K179" s="466">
        <v>80237.012000000002</v>
      </c>
      <c r="L179" s="466">
        <f t="shared" si="51"/>
        <v>38360.987999999998</v>
      </c>
      <c r="M179" s="468">
        <v>7852.4192000000003</v>
      </c>
      <c r="N179" s="467">
        <v>4227.5237226666704</v>
      </c>
      <c r="O179" s="468">
        <f t="shared" si="49"/>
        <v>3624.8954773333298</v>
      </c>
      <c r="P179" s="11"/>
    </row>
    <row r="180" spans="1:16" ht="20.100000000000001" customHeight="1" x14ac:dyDescent="0.2">
      <c r="A180" s="25">
        <v>47</v>
      </c>
      <c r="B180" s="9" t="s">
        <v>357</v>
      </c>
      <c r="C180" s="10" t="s">
        <v>353</v>
      </c>
      <c r="D180" s="13" t="s">
        <v>364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6">
        <f t="shared" si="50"/>
        <v>115598</v>
      </c>
      <c r="K180" s="466">
        <v>77237.012000000002</v>
      </c>
      <c r="L180" s="466">
        <f t="shared" si="51"/>
        <v>38360.987999999998</v>
      </c>
      <c r="M180" s="468">
        <v>7492.4192000000003</v>
      </c>
      <c r="N180" s="467">
        <v>3963.52372266667</v>
      </c>
      <c r="O180" s="468">
        <f t="shared" si="49"/>
        <v>3528.8954773333298</v>
      </c>
      <c r="P180" s="11"/>
    </row>
    <row r="181" spans="1:16" ht="20.100000000000001" customHeight="1" x14ac:dyDescent="0.2">
      <c r="A181" s="25">
        <v>48</v>
      </c>
      <c r="B181" s="9" t="s">
        <v>358</v>
      </c>
      <c r="C181" s="10" t="s">
        <v>353</v>
      </c>
      <c r="D181" s="13" t="s">
        <v>364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6">
        <f t="shared" si="50"/>
        <v>118598</v>
      </c>
      <c r="K181" s="466">
        <v>80237.012000000002</v>
      </c>
      <c r="L181" s="466">
        <f t="shared" si="51"/>
        <v>38360.987999999998</v>
      </c>
      <c r="M181" s="468">
        <v>7852.4192000000003</v>
      </c>
      <c r="N181" s="467">
        <v>4227.5237226666704</v>
      </c>
      <c r="O181" s="468">
        <f t="shared" si="49"/>
        <v>3624.8954773333298</v>
      </c>
      <c r="P181" s="11"/>
    </row>
    <row r="182" spans="1:16" ht="20.100000000000001" customHeight="1" x14ac:dyDescent="0.2">
      <c r="A182" s="25">
        <v>49</v>
      </c>
      <c r="B182" s="16" t="s">
        <v>359</v>
      </c>
      <c r="C182" s="10" t="s">
        <v>353</v>
      </c>
      <c r="D182" s="13" t="s">
        <v>364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6">
        <f t="shared" si="50"/>
        <v>115598</v>
      </c>
      <c r="K182" s="466">
        <v>77237.012000000002</v>
      </c>
      <c r="L182" s="466">
        <f t="shared" si="51"/>
        <v>38360.987999999998</v>
      </c>
      <c r="M182" s="468">
        <v>7492.4192000000003</v>
      </c>
      <c r="N182" s="467">
        <v>3963.52372266667</v>
      </c>
      <c r="O182" s="468">
        <f t="shared" si="49"/>
        <v>3528.8954773333298</v>
      </c>
      <c r="P182" s="11"/>
    </row>
    <row r="183" spans="1:16" ht="20.100000000000001" customHeight="1" x14ac:dyDescent="0.2">
      <c r="A183" s="25">
        <v>50</v>
      </c>
      <c r="B183" s="16" t="s">
        <v>360</v>
      </c>
      <c r="C183" s="10" t="s">
        <v>353</v>
      </c>
      <c r="D183" s="13" t="s">
        <v>364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6">
        <f t="shared" si="50"/>
        <v>118598</v>
      </c>
      <c r="K183" s="466">
        <v>80237.012000000002</v>
      </c>
      <c r="L183" s="466">
        <f t="shared" si="51"/>
        <v>38360.987999999998</v>
      </c>
      <c r="M183" s="468">
        <v>7852.4192000000003</v>
      </c>
      <c r="N183" s="467">
        <v>4227.5237226666704</v>
      </c>
      <c r="O183" s="468">
        <f t="shared" si="49"/>
        <v>3624.8954773333298</v>
      </c>
      <c r="P183" s="11"/>
    </row>
    <row r="184" spans="1:16" ht="20.100000000000001" customHeight="1" x14ac:dyDescent="0.2">
      <c r="A184" s="25">
        <v>51</v>
      </c>
      <c r="B184" s="9" t="s">
        <v>493</v>
      </c>
      <c r="C184" s="10" t="s">
        <v>350</v>
      </c>
      <c r="D184" s="13" t="s">
        <v>364</v>
      </c>
      <c r="E184" s="70">
        <v>91598</v>
      </c>
      <c r="F184" s="186"/>
      <c r="G184" s="186"/>
      <c r="H184" s="186">
        <v>20000</v>
      </c>
      <c r="I184" s="70">
        <v>7000</v>
      </c>
      <c r="J184" s="466">
        <f t="shared" si="50"/>
        <v>118598</v>
      </c>
      <c r="K184" s="466">
        <v>78671.023000000001</v>
      </c>
      <c r="L184" s="466">
        <f t="shared" si="51"/>
        <v>39926.976999999999</v>
      </c>
      <c r="M184" s="468">
        <v>7852.4192000000003</v>
      </c>
      <c r="N184" s="467">
        <v>4089.7166906666698</v>
      </c>
      <c r="O184" s="468">
        <f t="shared" si="49"/>
        <v>3762.70250933333</v>
      </c>
      <c r="P184" s="11"/>
    </row>
    <row r="185" spans="1:16" ht="20.100000000000001" customHeight="1" x14ac:dyDescent="0.2">
      <c r="A185" s="25">
        <v>52</v>
      </c>
      <c r="B185" s="9" t="s">
        <v>361</v>
      </c>
      <c r="C185" s="10" t="s">
        <v>350</v>
      </c>
      <c r="D185" s="13" t="s">
        <v>364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6">
        <f t="shared" si="50"/>
        <v>118598</v>
      </c>
      <c r="K185" s="466">
        <v>80237.012000000002</v>
      </c>
      <c r="L185" s="466">
        <f t="shared" si="51"/>
        <v>38360.987999999998</v>
      </c>
      <c r="M185" s="468">
        <v>7852.4192000000003</v>
      </c>
      <c r="N185" s="467">
        <v>4227.5237226666704</v>
      </c>
      <c r="O185" s="468">
        <f t="shared" si="49"/>
        <v>3624.8954773333298</v>
      </c>
      <c r="P185" s="11"/>
    </row>
    <row r="186" spans="1:16" ht="20.100000000000001" customHeight="1" x14ac:dyDescent="0.2">
      <c r="A186" s="25">
        <v>53</v>
      </c>
      <c r="B186" s="16" t="s">
        <v>362</v>
      </c>
      <c r="C186" s="10" t="s">
        <v>363</v>
      </c>
      <c r="D186" s="13" t="s">
        <v>376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6">
        <f t="shared" si="50"/>
        <v>116050.25</v>
      </c>
      <c r="K186" s="466">
        <v>78671.023000000001</v>
      </c>
      <c r="L186" s="466">
        <f t="shared" si="51"/>
        <v>37379.226999999999</v>
      </c>
      <c r="M186" s="468">
        <v>7571.1476000000002</v>
      </c>
      <c r="N186" s="467">
        <v>4089.7166906666698</v>
      </c>
      <c r="O186" s="468">
        <f t="shared" si="49"/>
        <v>3481.43090933333</v>
      </c>
      <c r="P186" s="11"/>
    </row>
    <row r="187" spans="1:16" ht="20.100000000000001" customHeight="1" x14ac:dyDescent="0.2">
      <c r="A187" s="25">
        <v>54</v>
      </c>
      <c r="B187" s="16" t="s">
        <v>367</v>
      </c>
      <c r="C187" s="10" t="s">
        <v>353</v>
      </c>
      <c r="D187" s="13" t="s">
        <v>567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6">
        <f t="shared" si="50"/>
        <v>102926.91666666701</v>
      </c>
      <c r="K187" s="466">
        <v>68675.997025000004</v>
      </c>
      <c r="L187" s="466">
        <f t="shared" si="51"/>
        <v>34250.919641666696</v>
      </c>
      <c r="M187" s="468">
        <v>6074.3316000000004</v>
      </c>
      <c r="N187" s="467">
        <v>3210.1544048666701</v>
      </c>
      <c r="O187" s="468">
        <f t="shared" si="49"/>
        <v>2864.1771951333299</v>
      </c>
      <c r="P187" s="11"/>
    </row>
    <row r="188" spans="1:16" ht="20.100000000000001" customHeight="1" x14ac:dyDescent="0.2">
      <c r="A188" s="25">
        <v>55</v>
      </c>
      <c r="B188" s="16" t="s">
        <v>369</v>
      </c>
      <c r="C188" s="10" t="s">
        <v>370</v>
      </c>
      <c r="D188" s="13" t="s">
        <v>568</v>
      </c>
      <c r="E188" s="70">
        <v>76540.75</v>
      </c>
      <c r="F188" s="102"/>
      <c r="G188" s="2"/>
      <c r="H188" s="102">
        <v>15000</v>
      </c>
      <c r="I188" s="102">
        <v>4000</v>
      </c>
      <c r="J188" s="466">
        <f t="shared" si="50"/>
        <v>95540.75</v>
      </c>
      <c r="K188" s="466">
        <v>62980.079250000003</v>
      </c>
      <c r="L188" s="466">
        <f t="shared" si="51"/>
        <v>32560.670750000001</v>
      </c>
      <c r="M188" s="468">
        <v>5230.0987999999998</v>
      </c>
      <c r="N188" s="467">
        <v>2708.9136406666698</v>
      </c>
      <c r="O188" s="468">
        <f t="shared" si="49"/>
        <v>2521.1851593333299</v>
      </c>
      <c r="P188" s="11"/>
    </row>
    <row r="189" spans="1:16" ht="20.100000000000001" customHeight="1" x14ac:dyDescent="0.2">
      <c r="A189" s="25">
        <v>56</v>
      </c>
      <c r="B189" s="16" t="s">
        <v>372</v>
      </c>
      <c r="C189" s="10" t="s">
        <v>370</v>
      </c>
      <c r="D189" s="13" t="s">
        <v>568</v>
      </c>
      <c r="E189" s="70">
        <v>76540.75</v>
      </c>
      <c r="F189" s="102"/>
      <c r="G189" s="2"/>
      <c r="H189" s="102">
        <v>15000</v>
      </c>
      <c r="I189" s="102">
        <v>4000</v>
      </c>
      <c r="J189" s="466">
        <f t="shared" si="50"/>
        <v>95540.75</v>
      </c>
      <c r="K189" s="466">
        <v>62980.079250000003</v>
      </c>
      <c r="L189" s="466">
        <f t="shared" si="51"/>
        <v>32560.670750000001</v>
      </c>
      <c r="M189" s="468">
        <v>5230.0987999999998</v>
      </c>
      <c r="N189" s="467">
        <v>2708.9136406666698</v>
      </c>
      <c r="O189" s="468">
        <f t="shared" si="49"/>
        <v>2521.1851593333299</v>
      </c>
      <c r="P189" s="11"/>
    </row>
    <row r="190" spans="1:16" ht="20.100000000000001" customHeight="1" x14ac:dyDescent="0.2">
      <c r="A190" s="25">
        <v>57</v>
      </c>
      <c r="B190" s="16" t="s">
        <v>373</v>
      </c>
      <c r="C190" s="10" t="s">
        <v>370</v>
      </c>
      <c r="D190" s="13" t="s">
        <v>568</v>
      </c>
      <c r="E190" s="70">
        <v>76540.75</v>
      </c>
      <c r="F190" s="102"/>
      <c r="G190" s="2"/>
      <c r="H190" s="102">
        <v>15000</v>
      </c>
      <c r="I190" s="102">
        <v>4000</v>
      </c>
      <c r="J190" s="466">
        <f t="shared" si="50"/>
        <v>95540.75</v>
      </c>
      <c r="K190" s="466">
        <v>62980.079250000003</v>
      </c>
      <c r="L190" s="466">
        <f t="shared" si="51"/>
        <v>32560.670750000001</v>
      </c>
      <c r="M190" s="468">
        <v>5230.0987999999998</v>
      </c>
      <c r="N190" s="467">
        <v>2708.9136406666698</v>
      </c>
      <c r="O190" s="468">
        <f t="shared" si="49"/>
        <v>2521.1851593333299</v>
      </c>
      <c r="P190" s="11"/>
    </row>
    <row r="191" spans="1:16" ht="20.100000000000001" customHeight="1" x14ac:dyDescent="0.2">
      <c r="A191" s="25">
        <v>58</v>
      </c>
      <c r="B191" s="16" t="s">
        <v>374</v>
      </c>
      <c r="C191" s="10" t="s">
        <v>375</v>
      </c>
      <c r="D191" s="13" t="s">
        <v>366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6">
        <f t="shared" si="50"/>
        <v>108502.5</v>
      </c>
      <c r="K191" s="466">
        <v>72103.749500000005</v>
      </c>
      <c r="L191" s="466">
        <f t="shared" si="51"/>
        <v>36398.750500000002</v>
      </c>
      <c r="M191" s="468">
        <v>6689.8760000000002</v>
      </c>
      <c r="N191" s="467">
        <v>3511.7966226666699</v>
      </c>
      <c r="O191" s="468">
        <f t="shared" si="49"/>
        <v>3178.0793773333298</v>
      </c>
      <c r="P191" s="11"/>
    </row>
    <row r="192" spans="1:16" ht="20.100000000000001" customHeight="1" x14ac:dyDescent="0.2">
      <c r="A192" s="25">
        <v>59</v>
      </c>
      <c r="B192" s="16" t="s">
        <v>377</v>
      </c>
      <c r="C192" s="10" t="s">
        <v>375</v>
      </c>
      <c r="D192" s="13" t="s">
        <v>366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6">
        <f t="shared" si="50"/>
        <v>108502.5</v>
      </c>
      <c r="K192" s="466">
        <v>72103.749500000005</v>
      </c>
      <c r="L192" s="466">
        <f t="shared" si="51"/>
        <v>36398.750500000002</v>
      </c>
      <c r="M192" s="468">
        <v>6689.8760000000002</v>
      </c>
      <c r="N192" s="467">
        <v>3511.7966226666699</v>
      </c>
      <c r="O192" s="468">
        <f t="shared" si="49"/>
        <v>3178.0793773333298</v>
      </c>
      <c r="P192" s="11"/>
    </row>
    <row r="193" spans="1:16" ht="20.100000000000001" customHeight="1" x14ac:dyDescent="0.5">
      <c r="A193" s="25"/>
      <c r="B193" s="6" t="s">
        <v>111</v>
      </c>
      <c r="C193" s="26" t="s">
        <v>569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855252.41530113399</v>
      </c>
      <c r="P193" s="11"/>
    </row>
    <row r="194" spans="1:16" ht="30.75" customHeight="1" x14ac:dyDescent="0.2">
      <c r="A194" s="2"/>
      <c r="B194" s="28" t="s">
        <v>379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3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3">
        <f t="shared" si="57"/>
        <v>4073085.3632239001</v>
      </c>
      <c r="P194" s="11"/>
    </row>
    <row r="195" spans="1:16" ht="20.100000000000001" customHeight="1" x14ac:dyDescent="0.2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 x14ac:dyDescent="0.2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 x14ac:dyDescent="0.2">
      <c r="J197" s="33"/>
      <c r="K197" s="33"/>
      <c r="M197" s="33">
        <f>M194-M196</f>
        <v>-15359.999999994399</v>
      </c>
    </row>
    <row r="198" spans="1:16" ht="20.100000000000001" customHeight="1" x14ac:dyDescent="0.2">
      <c r="J198" s="33"/>
    </row>
  </sheetData>
  <mergeCells count="1">
    <mergeCell ref="A1:F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E191"/>
  <sheetViews>
    <sheetView topLeftCell="Q64" workbookViewId="0">
      <selection activeCell="W69" sqref="W69"/>
    </sheetView>
  </sheetViews>
  <sheetFormatPr defaultColWidth="9.16796875" defaultRowHeight="12.75" x14ac:dyDescent="0.15"/>
  <cols>
    <col min="1" max="1" width="6.875" style="259" customWidth="1"/>
    <col min="2" max="2" width="39.10546875" style="259" customWidth="1"/>
    <col min="3" max="3" width="16.85546875" style="259" customWidth="1"/>
    <col min="4" max="4" width="6.7421875" style="259" customWidth="1"/>
    <col min="5" max="5" width="13.078125" style="259" customWidth="1"/>
    <col min="6" max="6" width="11.19140625" style="259" customWidth="1"/>
    <col min="7" max="7" width="14.42578125" style="259" customWidth="1"/>
    <col min="8" max="8" width="5.796875" style="259" customWidth="1"/>
    <col min="9" max="9" width="12.80859375" style="259" customWidth="1"/>
    <col min="10" max="10" width="11.59375" style="259" customWidth="1"/>
    <col min="11" max="11" width="6.875" style="259" customWidth="1"/>
    <col min="12" max="12" width="10.78515625" style="259" customWidth="1"/>
    <col min="13" max="13" width="12.5390625" style="259" customWidth="1"/>
    <col min="14" max="14" width="11.0546875" style="259" customWidth="1"/>
    <col min="15" max="15" width="12.13671875" style="259" customWidth="1"/>
    <col min="16" max="16" width="15.37109375" style="259" customWidth="1"/>
    <col min="17" max="17" width="16.5859375" style="259" customWidth="1"/>
    <col min="18" max="18" width="9.84375" style="259" customWidth="1"/>
    <col min="19" max="19" width="10.515625" style="259" customWidth="1"/>
    <col min="20" max="20" width="11.59375" style="259" customWidth="1"/>
    <col min="21" max="21" width="12.40625" style="259" customWidth="1"/>
    <col min="22" max="22" width="14.5625" style="259" customWidth="1"/>
    <col min="23" max="23" width="9.57421875" style="259" customWidth="1"/>
    <col min="24" max="24" width="15.1015625" style="259" customWidth="1"/>
    <col min="25" max="25" width="9.03515625" style="259" customWidth="1"/>
    <col min="26" max="26" width="14.15625" style="259" customWidth="1"/>
    <col min="27" max="27" width="16.31640625" style="259" customWidth="1"/>
    <col min="28" max="28" width="14.6953125" style="259" customWidth="1"/>
    <col min="29" max="29" width="27.375" style="259" customWidth="1"/>
    <col min="30" max="16384" width="9.16796875" style="259"/>
  </cols>
  <sheetData>
    <row r="1" spans="1:31" ht="13.5" hidden="1" x14ac:dyDescent="0.15">
      <c r="A1" s="950" t="s">
        <v>0</v>
      </c>
      <c r="B1" s="950"/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  <c r="X1" s="950"/>
      <c r="Y1" s="950"/>
      <c r="Z1" s="432"/>
    </row>
    <row r="2" spans="1:31" ht="13.5" hidden="1" x14ac:dyDescent="0.15">
      <c r="A2" s="951" t="s">
        <v>498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  <c r="U2" s="951"/>
      <c r="V2" s="951"/>
      <c r="W2" s="951"/>
      <c r="X2" s="951"/>
      <c r="Y2" s="951"/>
      <c r="Z2" s="432"/>
    </row>
    <row r="3" spans="1:31" ht="13.5" hidden="1" x14ac:dyDescent="0.15">
      <c r="A3" s="952" t="s">
        <v>499</v>
      </c>
      <c r="B3" s="950"/>
      <c r="C3" s="950"/>
      <c r="D3" s="950"/>
      <c r="E3" s="950"/>
      <c r="F3" s="950"/>
      <c r="G3" s="950"/>
      <c r="H3" s="950"/>
      <c r="I3" s="950"/>
      <c r="J3" s="950"/>
      <c r="K3" s="950"/>
      <c r="L3" s="950"/>
      <c r="M3" s="950"/>
      <c r="N3" s="950"/>
      <c r="O3" s="950"/>
      <c r="P3" s="950"/>
      <c r="Q3" s="950"/>
      <c r="R3" s="950"/>
      <c r="S3" s="950"/>
      <c r="T3" s="950"/>
      <c r="U3" s="950"/>
      <c r="V3" s="950"/>
      <c r="W3" s="950"/>
      <c r="X3" s="950"/>
      <c r="Y3" s="950"/>
      <c r="Z3" s="432"/>
    </row>
    <row r="4" spans="1:31" ht="83.25" customHeight="1" x14ac:dyDescent="0.15">
      <c r="A4" s="418" t="s">
        <v>500</v>
      </c>
      <c r="B4" s="419" t="s">
        <v>501</v>
      </c>
      <c r="C4" s="420" t="s">
        <v>502</v>
      </c>
      <c r="D4" s="419" t="s">
        <v>503</v>
      </c>
      <c r="E4" s="420" t="s">
        <v>504</v>
      </c>
      <c r="F4" s="420" t="s">
        <v>505</v>
      </c>
      <c r="G4" s="420" t="s">
        <v>506</v>
      </c>
      <c r="H4" s="420" t="s">
        <v>507</v>
      </c>
      <c r="I4" s="420" t="s">
        <v>508</v>
      </c>
      <c r="J4" s="420"/>
      <c r="K4" s="420"/>
      <c r="L4" s="420"/>
      <c r="M4" s="420" t="s">
        <v>509</v>
      </c>
      <c r="N4" s="420" t="s">
        <v>510</v>
      </c>
      <c r="O4" s="420" t="s">
        <v>511</v>
      </c>
      <c r="P4" s="420" t="s">
        <v>512</v>
      </c>
      <c r="Q4" s="420" t="s">
        <v>513</v>
      </c>
      <c r="R4" s="420" t="s">
        <v>514</v>
      </c>
      <c r="S4" s="420" t="s">
        <v>515</v>
      </c>
      <c r="T4" s="420" t="s">
        <v>516</v>
      </c>
      <c r="U4" s="420" t="s">
        <v>517</v>
      </c>
      <c r="V4" s="420" t="s">
        <v>518</v>
      </c>
      <c r="W4" s="420"/>
      <c r="X4" s="420" t="s">
        <v>519</v>
      </c>
      <c r="Y4" s="420" t="s">
        <v>520</v>
      </c>
      <c r="Z4" s="433" t="s">
        <v>521</v>
      </c>
      <c r="AA4" s="434"/>
      <c r="AB4" s="434" t="s">
        <v>648</v>
      </c>
    </row>
    <row r="5" spans="1:31" ht="18" x14ac:dyDescent="0.2">
      <c r="A5" s="421">
        <v>1</v>
      </c>
      <c r="B5" s="6" t="s">
        <v>22</v>
      </c>
      <c r="C5" s="422"/>
      <c r="D5" s="423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4"/>
      <c r="P5" s="424"/>
      <c r="Q5" s="424"/>
      <c r="R5" s="424"/>
      <c r="S5" s="424"/>
      <c r="T5" s="424"/>
      <c r="U5" s="424"/>
      <c r="V5" s="424"/>
      <c r="W5" s="431"/>
      <c r="X5" s="424"/>
      <c r="Y5" s="424"/>
      <c r="Z5" s="435"/>
      <c r="AA5" s="436"/>
      <c r="AB5" s="436"/>
      <c r="AC5" s="436"/>
      <c r="AD5" s="436"/>
      <c r="AE5" s="436"/>
    </row>
    <row r="6" spans="1:31" ht="31.5" x14ac:dyDescent="0.2">
      <c r="A6" s="421">
        <v>3</v>
      </c>
      <c r="B6" s="9" t="s">
        <v>23</v>
      </c>
      <c r="C6" s="422">
        <v>1934986.1669999999</v>
      </c>
      <c r="D6" s="423">
        <v>12</v>
      </c>
      <c r="E6" s="424">
        <f>C6*D6</f>
        <v>23219834.004000001</v>
      </c>
      <c r="F6" s="424"/>
      <c r="G6" s="424"/>
      <c r="H6" s="424"/>
      <c r="I6" s="424">
        <f t="shared" ref="I6:I32" si="0">E6-F6-G6-H6</f>
        <v>23219834.004000001</v>
      </c>
      <c r="J6" s="424">
        <v>200000</v>
      </c>
      <c r="K6" s="424">
        <v>0.2</v>
      </c>
      <c r="L6" s="424">
        <f t="shared" ref="L6:L75" si="1">I6*K6</f>
        <v>4643966.8008000003</v>
      </c>
      <c r="M6" s="424">
        <f t="shared" ref="M6:M75" si="2">J6+L6</f>
        <v>4843966.8008000003</v>
      </c>
      <c r="N6" s="424">
        <f t="shared" ref="N6:N32" si="3">F6+G6+H6+M6</f>
        <v>4843966.8008000003</v>
      </c>
      <c r="O6" s="424">
        <f t="shared" ref="O6:O32" si="4">E6-N6</f>
        <v>18375867.203200001</v>
      </c>
      <c r="P6" s="424">
        <f t="shared" ref="P6:P75" si="5">IF(O6&lt;300000,0.07*O6,21000)</f>
        <v>21000</v>
      </c>
      <c r="Q6" s="424">
        <f t="shared" ref="Q6:Q75" si="6">IF((O6-300000)&lt;0,0,IF((O6-300000)&lt;300000,0.11*(O6-300000),33000))</f>
        <v>33000</v>
      </c>
      <c r="R6" s="424">
        <f t="shared" ref="R6:R75" si="7">IF((O6-600000)&lt;0,0,IF((O6-600000)&lt;500000,0.15*(O6-600000),75000))</f>
        <v>75000</v>
      </c>
      <c r="S6" s="424">
        <f t="shared" ref="S6:S75" si="8">IF((O6-1100000)&lt;0,0,IF((O6-1100000)&lt;500000,0.19*(O6-1100000),95000))</f>
        <v>95000</v>
      </c>
      <c r="T6" s="424">
        <f t="shared" ref="T6:T75" si="9">IF((O6-1600000)&lt;0,0,IF((O6-1600000)&lt;1600000,0.21*(O6-1600000),336000))</f>
        <v>336000</v>
      </c>
      <c r="U6" s="424">
        <f t="shared" ref="U6:U73" si="10">24%*(O6-3200000)</f>
        <v>3642208.1287679998</v>
      </c>
      <c r="V6" s="424">
        <f t="shared" ref="V6:V75" si="11">P6+Q6+R6+S6+T6+U6</f>
        <v>4202208.1287679998</v>
      </c>
      <c r="W6" s="431">
        <v>12</v>
      </c>
      <c r="X6" s="424">
        <f t="shared" ref="X6:X75" si="12">V6/W6</f>
        <v>350184.01073066698</v>
      </c>
      <c r="Y6" s="424"/>
      <c r="Z6" s="435">
        <f t="shared" ref="Z6:Z75" si="13">X6</f>
        <v>350184.01073066698</v>
      </c>
      <c r="AA6" s="436">
        <v>201165.83594666701</v>
      </c>
      <c r="AB6" s="436">
        <f>Z6-AA6</f>
        <v>149018.174784</v>
      </c>
      <c r="AC6" s="436"/>
      <c r="AD6" s="436"/>
      <c r="AE6" s="436"/>
    </row>
    <row r="7" spans="1:31" ht="18" x14ac:dyDescent="0.15">
      <c r="A7" s="421">
        <v>4</v>
      </c>
      <c r="B7" s="9" t="s">
        <v>26</v>
      </c>
      <c r="C7" s="422">
        <v>852373.16666666698</v>
      </c>
      <c r="D7" s="423">
        <v>12</v>
      </c>
      <c r="E7" s="424">
        <f t="shared" ref="E7:E32" si="14">C7*D7</f>
        <v>10228478</v>
      </c>
      <c r="F7" s="424"/>
      <c r="G7" s="424">
        <v>731878.24</v>
      </c>
      <c r="H7" s="424"/>
      <c r="I7" s="424">
        <f t="shared" si="0"/>
        <v>9496599.7599999998</v>
      </c>
      <c r="J7" s="424">
        <v>200000</v>
      </c>
      <c r="K7" s="424">
        <v>0.2</v>
      </c>
      <c r="L7" s="424">
        <f t="shared" si="1"/>
        <v>1899319.952</v>
      </c>
      <c r="M7" s="424">
        <f t="shared" si="2"/>
        <v>2099319.952</v>
      </c>
      <c r="N7" s="424">
        <f t="shared" si="3"/>
        <v>2831198.1919999998</v>
      </c>
      <c r="O7" s="424">
        <f t="shared" si="4"/>
        <v>7397279.8080000002</v>
      </c>
      <c r="P7" s="424">
        <f t="shared" si="5"/>
        <v>21000</v>
      </c>
      <c r="Q7" s="424">
        <f t="shared" si="6"/>
        <v>33000</v>
      </c>
      <c r="R7" s="424">
        <f t="shared" si="7"/>
        <v>75000</v>
      </c>
      <c r="S7" s="424">
        <f t="shared" si="8"/>
        <v>95000</v>
      </c>
      <c r="T7" s="424">
        <f t="shared" si="9"/>
        <v>336000</v>
      </c>
      <c r="U7" s="424">
        <f t="shared" si="10"/>
        <v>1007347.15392</v>
      </c>
      <c r="V7" s="424">
        <f t="shared" si="11"/>
        <v>1567347.15392</v>
      </c>
      <c r="W7" s="431">
        <v>12</v>
      </c>
      <c r="X7" s="424">
        <f t="shared" si="12"/>
        <v>130612.26282666701</v>
      </c>
      <c r="Y7" s="424"/>
      <c r="Z7" s="435">
        <f t="shared" si="13"/>
        <v>130612.26282666701</v>
      </c>
      <c r="AA7" s="436">
        <v>82627.951418666693</v>
      </c>
      <c r="AB7" s="436">
        <f t="shared" ref="AB7:AB32" si="15">Z7-AA7</f>
        <v>47984.311408000001</v>
      </c>
      <c r="AC7" s="436"/>
      <c r="AD7" s="436"/>
      <c r="AE7" s="436"/>
    </row>
    <row r="8" spans="1:31" ht="18" x14ac:dyDescent="0.15">
      <c r="A8" s="421">
        <v>5</v>
      </c>
      <c r="B8" s="12" t="s">
        <v>29</v>
      </c>
      <c r="C8" s="422">
        <v>1052373.16666667</v>
      </c>
      <c r="D8" s="423">
        <v>12</v>
      </c>
      <c r="E8" s="424">
        <f t="shared" si="14"/>
        <v>12628478</v>
      </c>
      <c r="F8" s="424"/>
      <c r="G8" s="424">
        <v>0</v>
      </c>
      <c r="H8" s="424"/>
      <c r="I8" s="424">
        <f t="shared" si="0"/>
        <v>12628478</v>
      </c>
      <c r="J8" s="424">
        <v>200000</v>
      </c>
      <c r="K8" s="424">
        <v>0.2</v>
      </c>
      <c r="L8" s="424">
        <f t="shared" si="1"/>
        <v>2525695.6000000099</v>
      </c>
      <c r="M8" s="424">
        <f t="shared" si="2"/>
        <v>2725695.6000000099</v>
      </c>
      <c r="N8" s="424">
        <f t="shared" si="3"/>
        <v>2725695.6000000099</v>
      </c>
      <c r="O8" s="424">
        <f t="shared" si="4"/>
        <v>9902782.4000000302</v>
      </c>
      <c r="P8" s="424">
        <f t="shared" si="5"/>
        <v>21000</v>
      </c>
      <c r="Q8" s="424">
        <f t="shared" si="6"/>
        <v>33000</v>
      </c>
      <c r="R8" s="424">
        <f t="shared" si="7"/>
        <v>75000</v>
      </c>
      <c r="S8" s="424">
        <f t="shared" si="8"/>
        <v>95000</v>
      </c>
      <c r="T8" s="424">
        <f t="shared" si="9"/>
        <v>336000</v>
      </c>
      <c r="U8" s="424">
        <f t="shared" si="10"/>
        <v>1608667.7760000101</v>
      </c>
      <c r="V8" s="424">
        <f t="shared" si="11"/>
        <v>2168667.7760000098</v>
      </c>
      <c r="W8" s="431">
        <v>12</v>
      </c>
      <c r="X8" s="424">
        <f t="shared" si="12"/>
        <v>180722.31466666699</v>
      </c>
      <c r="Y8" s="424"/>
      <c r="Z8" s="435">
        <f t="shared" si="13"/>
        <v>180722.31466666699</v>
      </c>
      <c r="AA8" s="436">
        <v>121027.951418667</v>
      </c>
      <c r="AB8" s="436">
        <f t="shared" si="15"/>
        <v>59694.3632480003</v>
      </c>
      <c r="AC8" s="436"/>
      <c r="AD8" s="436"/>
      <c r="AE8" s="436"/>
    </row>
    <row r="9" spans="1:31" ht="18" x14ac:dyDescent="0.15">
      <c r="A9" s="421">
        <v>6</v>
      </c>
      <c r="B9" s="9" t="s">
        <v>31</v>
      </c>
      <c r="C9" s="422">
        <v>942373.16666666698</v>
      </c>
      <c r="D9" s="423">
        <v>12</v>
      </c>
      <c r="E9" s="424">
        <f t="shared" si="14"/>
        <v>11308478</v>
      </c>
      <c r="F9" s="424">
        <f>'[8]JANUARY 2024'!$V$10*12</f>
        <v>12795.950999999999</v>
      </c>
      <c r="G9" s="424">
        <v>731878.24</v>
      </c>
      <c r="H9" s="424"/>
      <c r="I9" s="424">
        <f t="shared" si="0"/>
        <v>10563803.809</v>
      </c>
      <c r="J9" s="424">
        <v>200000</v>
      </c>
      <c r="K9" s="424">
        <v>0.2</v>
      </c>
      <c r="L9" s="424">
        <f t="shared" si="1"/>
        <v>2112760.7618</v>
      </c>
      <c r="M9" s="424">
        <f t="shared" si="2"/>
        <v>2312760.7618</v>
      </c>
      <c r="N9" s="424">
        <f t="shared" si="3"/>
        <v>3057434.9528000001</v>
      </c>
      <c r="O9" s="424">
        <f t="shared" si="4"/>
        <v>8251043.0471999999</v>
      </c>
      <c r="P9" s="424">
        <f t="shared" si="5"/>
        <v>21000</v>
      </c>
      <c r="Q9" s="424">
        <f t="shared" si="6"/>
        <v>33000</v>
      </c>
      <c r="R9" s="424">
        <f t="shared" si="7"/>
        <v>75000</v>
      </c>
      <c r="S9" s="424">
        <f t="shared" si="8"/>
        <v>95000</v>
      </c>
      <c r="T9" s="424">
        <f t="shared" si="9"/>
        <v>336000</v>
      </c>
      <c r="U9" s="424">
        <f t="shared" si="10"/>
        <v>1212250.3313279999</v>
      </c>
      <c r="V9" s="424">
        <f t="shared" si="11"/>
        <v>1772250.3313279999</v>
      </c>
      <c r="W9" s="431">
        <v>12</v>
      </c>
      <c r="X9" s="424">
        <f t="shared" si="12"/>
        <v>147687.52761066699</v>
      </c>
      <c r="Y9" s="424"/>
      <c r="Z9" s="435">
        <f t="shared" si="13"/>
        <v>147687.52761066699</v>
      </c>
      <c r="AA9" s="436">
        <v>99703.216202666707</v>
      </c>
      <c r="AB9" s="436">
        <f t="shared" si="15"/>
        <v>47984.311408000001</v>
      </c>
      <c r="AC9" s="436"/>
      <c r="AD9" s="436"/>
      <c r="AE9" s="436"/>
    </row>
    <row r="10" spans="1:31" ht="18" x14ac:dyDescent="0.15">
      <c r="A10" s="421">
        <v>7</v>
      </c>
      <c r="B10" s="12" t="s">
        <v>271</v>
      </c>
      <c r="C10" s="422">
        <v>1002373.16666667</v>
      </c>
      <c r="D10" s="423">
        <v>12</v>
      </c>
      <c r="E10" s="424">
        <f t="shared" si="14"/>
        <v>12028478</v>
      </c>
      <c r="F10" s="424">
        <f>'[8]JANUARY 2024'!$V$10*12</f>
        <v>12795.950999999999</v>
      </c>
      <c r="G10" s="424">
        <v>731878.24</v>
      </c>
      <c r="H10" s="424"/>
      <c r="I10" s="424">
        <f t="shared" si="0"/>
        <v>11283803.809</v>
      </c>
      <c r="J10" s="424">
        <v>200000</v>
      </c>
      <c r="K10" s="424">
        <v>0.2</v>
      </c>
      <c r="L10" s="424">
        <f t="shared" si="1"/>
        <v>2256760.7618000102</v>
      </c>
      <c r="M10" s="424">
        <f t="shared" si="2"/>
        <v>2456760.7618000102</v>
      </c>
      <c r="N10" s="424">
        <f t="shared" si="3"/>
        <v>3201434.9528000099</v>
      </c>
      <c r="O10" s="424">
        <f t="shared" si="4"/>
        <v>8827043.0472000297</v>
      </c>
      <c r="P10" s="424">
        <f t="shared" si="5"/>
        <v>21000</v>
      </c>
      <c r="Q10" s="424">
        <f t="shared" si="6"/>
        <v>33000</v>
      </c>
      <c r="R10" s="424">
        <f t="shared" si="7"/>
        <v>75000</v>
      </c>
      <c r="S10" s="424">
        <f t="shared" si="8"/>
        <v>95000</v>
      </c>
      <c r="T10" s="424">
        <f t="shared" si="9"/>
        <v>336000</v>
      </c>
      <c r="U10" s="424">
        <f t="shared" si="10"/>
        <v>1350490.33132801</v>
      </c>
      <c r="V10" s="424">
        <f t="shared" si="11"/>
        <v>1910490.33132801</v>
      </c>
      <c r="W10" s="431">
        <v>12</v>
      </c>
      <c r="X10" s="424">
        <f t="shared" si="12"/>
        <v>159207.52761066699</v>
      </c>
      <c r="Y10" s="424"/>
      <c r="Z10" s="435">
        <f t="shared" si="13"/>
        <v>159207.52761066699</v>
      </c>
      <c r="AA10" s="436">
        <v>111223.216202667</v>
      </c>
      <c r="AB10" s="436">
        <f t="shared" si="15"/>
        <v>47984.3114080003</v>
      </c>
      <c r="AC10" s="436"/>
      <c r="AD10" s="436"/>
      <c r="AE10" s="436"/>
    </row>
    <row r="11" spans="1:31" ht="18" x14ac:dyDescent="0.15">
      <c r="A11" s="421">
        <v>8</v>
      </c>
      <c r="B11" s="16" t="s">
        <v>530</v>
      </c>
      <c r="C11" s="422">
        <v>952373.16666666698</v>
      </c>
      <c r="D11" s="423">
        <v>12</v>
      </c>
      <c r="E11" s="424">
        <f t="shared" si="14"/>
        <v>11428478</v>
      </c>
      <c r="F11" s="424"/>
      <c r="G11" s="424">
        <v>0</v>
      </c>
      <c r="H11" s="424"/>
      <c r="I11" s="424">
        <f t="shared" si="0"/>
        <v>11428478</v>
      </c>
      <c r="J11" s="424">
        <v>200000</v>
      </c>
      <c r="K11" s="424">
        <v>0.2</v>
      </c>
      <c r="L11" s="424">
        <f t="shared" si="1"/>
        <v>2285695.6</v>
      </c>
      <c r="M11" s="424">
        <f t="shared" si="2"/>
        <v>2485695.6</v>
      </c>
      <c r="N11" s="424">
        <f t="shared" si="3"/>
        <v>2485695.6</v>
      </c>
      <c r="O11" s="424">
        <f t="shared" si="4"/>
        <v>8942782.4000000004</v>
      </c>
      <c r="P11" s="424">
        <f t="shared" si="5"/>
        <v>21000</v>
      </c>
      <c r="Q11" s="424">
        <f t="shared" si="6"/>
        <v>33000</v>
      </c>
      <c r="R11" s="424">
        <f t="shared" si="7"/>
        <v>75000</v>
      </c>
      <c r="S11" s="424">
        <f t="shared" si="8"/>
        <v>95000</v>
      </c>
      <c r="T11" s="424">
        <f t="shared" si="9"/>
        <v>336000</v>
      </c>
      <c r="U11" s="424">
        <f t="shared" si="10"/>
        <v>1378267.7760000001</v>
      </c>
      <c r="V11" s="424">
        <f t="shared" si="11"/>
        <v>1938267.7760000001</v>
      </c>
      <c r="W11" s="431">
        <v>12</v>
      </c>
      <c r="X11" s="424">
        <f t="shared" si="12"/>
        <v>161522.31466666699</v>
      </c>
      <c r="Y11" s="424"/>
      <c r="Z11" s="435">
        <f t="shared" si="13"/>
        <v>161522.31466666699</v>
      </c>
      <c r="AA11" s="436">
        <v>101827.951418667</v>
      </c>
      <c r="AB11" s="436">
        <f t="shared" si="15"/>
        <v>59694.363247999703</v>
      </c>
      <c r="AC11" s="436"/>
      <c r="AD11" s="436"/>
      <c r="AE11" s="436"/>
    </row>
    <row r="12" spans="1:31" ht="18" x14ac:dyDescent="0.15">
      <c r="A12" s="421">
        <v>9</v>
      </c>
      <c r="B12" s="9" t="s">
        <v>33</v>
      </c>
      <c r="C12" s="422">
        <v>750675.58333333302</v>
      </c>
      <c r="D12" s="423">
        <v>12</v>
      </c>
      <c r="E12" s="424">
        <f t="shared" si="14"/>
        <v>9008107</v>
      </c>
      <c r="F12" s="424">
        <f>'[8]JANUARY 2024'!$V$13*12</f>
        <v>10052.25</v>
      </c>
      <c r="G12" s="424">
        <v>595848.56000000006</v>
      </c>
      <c r="H12" s="424"/>
      <c r="I12" s="424">
        <f t="shared" si="0"/>
        <v>8402206.1899999995</v>
      </c>
      <c r="J12" s="424">
        <v>200000</v>
      </c>
      <c r="K12" s="424">
        <v>0.2</v>
      </c>
      <c r="L12" s="424">
        <f t="shared" si="1"/>
        <v>1680441.2379999999</v>
      </c>
      <c r="M12" s="424">
        <f t="shared" si="2"/>
        <v>1880441.2379999999</v>
      </c>
      <c r="N12" s="424">
        <f t="shared" si="3"/>
        <v>2486342.048</v>
      </c>
      <c r="O12" s="424">
        <f t="shared" si="4"/>
        <v>6521764.9519999996</v>
      </c>
      <c r="P12" s="424">
        <f t="shared" si="5"/>
        <v>21000</v>
      </c>
      <c r="Q12" s="424">
        <f t="shared" si="6"/>
        <v>33000</v>
      </c>
      <c r="R12" s="424">
        <f t="shared" si="7"/>
        <v>75000</v>
      </c>
      <c r="S12" s="424">
        <f t="shared" si="8"/>
        <v>95000</v>
      </c>
      <c r="T12" s="424">
        <f t="shared" si="9"/>
        <v>336000</v>
      </c>
      <c r="U12" s="424">
        <f t="shared" si="10"/>
        <v>797223.58847999899</v>
      </c>
      <c r="V12" s="424">
        <f t="shared" si="11"/>
        <v>1357223.5884799999</v>
      </c>
      <c r="W12" s="431">
        <v>12</v>
      </c>
      <c r="X12" s="424">
        <f t="shared" si="12"/>
        <v>113101.965706667</v>
      </c>
      <c r="Y12" s="424"/>
      <c r="Z12" s="435">
        <f t="shared" si="13"/>
        <v>113101.965706667</v>
      </c>
      <c r="AA12" s="436">
        <v>74036.103146666705</v>
      </c>
      <c r="AB12" s="436">
        <f t="shared" si="15"/>
        <v>39065.8625599999</v>
      </c>
      <c r="AC12" s="436"/>
      <c r="AD12" s="436"/>
      <c r="AE12" s="436"/>
    </row>
    <row r="13" spans="1:31" ht="18" x14ac:dyDescent="0.15">
      <c r="A13" s="421">
        <v>10</v>
      </c>
      <c r="B13" s="9" t="s">
        <v>36</v>
      </c>
      <c r="C13" s="422">
        <v>842118.08333333302</v>
      </c>
      <c r="D13" s="423">
        <v>12</v>
      </c>
      <c r="E13" s="424">
        <f t="shared" si="14"/>
        <v>10105417</v>
      </c>
      <c r="F13" s="424">
        <f>'[8]JANUARY 2024'!$V$14*12</f>
        <v>9305.9519999999993</v>
      </c>
      <c r="G13" s="424">
        <v>558833.36</v>
      </c>
      <c r="H13" s="424"/>
      <c r="I13" s="424">
        <f t="shared" si="0"/>
        <v>9537277.6879999992</v>
      </c>
      <c r="J13" s="424">
        <v>200000</v>
      </c>
      <c r="K13" s="424">
        <v>0.2</v>
      </c>
      <c r="L13" s="424">
        <f t="shared" si="1"/>
        <v>1907455.5375999999</v>
      </c>
      <c r="M13" s="424">
        <f t="shared" si="2"/>
        <v>2107455.5375999999</v>
      </c>
      <c r="N13" s="424">
        <f t="shared" si="3"/>
        <v>2675594.8495999998</v>
      </c>
      <c r="O13" s="424">
        <f t="shared" si="4"/>
        <v>7429822.1503999997</v>
      </c>
      <c r="P13" s="424">
        <f t="shared" si="5"/>
        <v>21000</v>
      </c>
      <c r="Q13" s="424">
        <f t="shared" si="6"/>
        <v>33000</v>
      </c>
      <c r="R13" s="424">
        <f t="shared" si="7"/>
        <v>75000</v>
      </c>
      <c r="S13" s="424">
        <f t="shared" si="8"/>
        <v>95000</v>
      </c>
      <c r="T13" s="424">
        <f t="shared" si="9"/>
        <v>336000</v>
      </c>
      <c r="U13" s="424">
        <f t="shared" si="10"/>
        <v>1015157.316096</v>
      </c>
      <c r="V13" s="424">
        <f t="shared" si="11"/>
        <v>1575157.3160959999</v>
      </c>
      <c r="W13" s="431">
        <v>12</v>
      </c>
      <c r="X13" s="424">
        <f t="shared" si="12"/>
        <v>131263.10967466701</v>
      </c>
      <c r="Y13" s="424"/>
      <c r="Z13" s="435">
        <f t="shared" si="13"/>
        <v>131263.10967466701</v>
      </c>
      <c r="AA13" s="436">
        <v>94625.782058666693</v>
      </c>
      <c r="AB13" s="436">
        <f t="shared" si="15"/>
        <v>36637.3276159999</v>
      </c>
      <c r="AC13" s="436"/>
      <c r="AD13" s="436"/>
      <c r="AE13" s="436"/>
    </row>
    <row r="14" spans="1:31" ht="18" x14ac:dyDescent="0.15">
      <c r="A14" s="421">
        <v>11</v>
      </c>
      <c r="B14" s="9" t="s">
        <v>39</v>
      </c>
      <c r="C14" s="422">
        <v>554373.75</v>
      </c>
      <c r="D14" s="423">
        <v>12</v>
      </c>
      <c r="E14" s="424">
        <f t="shared" si="14"/>
        <v>6652485</v>
      </c>
      <c r="F14" s="424"/>
      <c r="G14" s="424">
        <v>464998.8</v>
      </c>
      <c r="H14" s="424"/>
      <c r="I14" s="424">
        <f t="shared" si="0"/>
        <v>6187486.2000000002</v>
      </c>
      <c r="J14" s="424">
        <v>200000</v>
      </c>
      <c r="K14" s="424">
        <v>0.2</v>
      </c>
      <c r="L14" s="424">
        <f t="shared" si="1"/>
        <v>1237497.24</v>
      </c>
      <c r="M14" s="424">
        <f t="shared" si="2"/>
        <v>1437497.24</v>
      </c>
      <c r="N14" s="424">
        <f t="shared" si="3"/>
        <v>1902496.04</v>
      </c>
      <c r="O14" s="424">
        <f t="shared" si="4"/>
        <v>4749988.96</v>
      </c>
      <c r="P14" s="424">
        <f t="shared" si="5"/>
        <v>21000</v>
      </c>
      <c r="Q14" s="424">
        <f t="shared" si="6"/>
        <v>33000</v>
      </c>
      <c r="R14" s="424">
        <f t="shared" si="7"/>
        <v>75000</v>
      </c>
      <c r="S14" s="424">
        <f t="shared" si="8"/>
        <v>95000</v>
      </c>
      <c r="T14" s="424">
        <f t="shared" si="9"/>
        <v>336000</v>
      </c>
      <c r="U14" s="424">
        <f t="shared" si="10"/>
        <v>371997.3504</v>
      </c>
      <c r="V14" s="424">
        <f t="shared" si="11"/>
        <v>931997.3504</v>
      </c>
      <c r="W14" s="431">
        <v>12</v>
      </c>
      <c r="X14" s="424">
        <f t="shared" si="12"/>
        <v>77666.445866666705</v>
      </c>
      <c r="Y14" s="424"/>
      <c r="Z14" s="435">
        <f t="shared" si="13"/>
        <v>77666.445866666705</v>
      </c>
      <c r="AA14" s="436">
        <v>44846.6165886667</v>
      </c>
      <c r="AB14" s="436">
        <f t="shared" si="15"/>
        <v>32819.829277999997</v>
      </c>
      <c r="AC14" s="436"/>
      <c r="AD14" s="436"/>
      <c r="AE14" s="436"/>
    </row>
    <row r="15" spans="1:31" ht="18" x14ac:dyDescent="0.15">
      <c r="A15" s="421">
        <v>12</v>
      </c>
      <c r="B15" s="12" t="s">
        <v>42</v>
      </c>
      <c r="C15" s="422">
        <v>660498</v>
      </c>
      <c r="D15" s="423">
        <v>12</v>
      </c>
      <c r="E15" s="424">
        <f t="shared" si="14"/>
        <v>7925976</v>
      </c>
      <c r="F15" s="424"/>
      <c r="G15" s="425">
        <v>451678.08</v>
      </c>
      <c r="H15" s="424"/>
      <c r="I15" s="424">
        <f t="shared" si="0"/>
        <v>7474297.9199999999</v>
      </c>
      <c r="J15" s="424">
        <v>200000</v>
      </c>
      <c r="K15" s="424">
        <v>0.2</v>
      </c>
      <c r="L15" s="424">
        <f t="shared" si="1"/>
        <v>1494859.584</v>
      </c>
      <c r="M15" s="424">
        <f t="shared" si="2"/>
        <v>1694859.584</v>
      </c>
      <c r="N15" s="424">
        <f t="shared" si="3"/>
        <v>2146537.6639999999</v>
      </c>
      <c r="O15" s="424">
        <f t="shared" si="4"/>
        <v>5779438.3360000001</v>
      </c>
      <c r="P15" s="424">
        <f t="shared" si="5"/>
        <v>21000</v>
      </c>
      <c r="Q15" s="424">
        <f t="shared" si="6"/>
        <v>33000</v>
      </c>
      <c r="R15" s="424">
        <f t="shared" si="7"/>
        <v>75000</v>
      </c>
      <c r="S15" s="424">
        <f t="shared" si="8"/>
        <v>95000</v>
      </c>
      <c r="T15" s="424">
        <f t="shared" si="9"/>
        <v>336000</v>
      </c>
      <c r="U15" s="424">
        <f t="shared" si="10"/>
        <v>619065.20064000005</v>
      </c>
      <c r="V15" s="424">
        <f t="shared" si="11"/>
        <v>1179065.2006399999</v>
      </c>
      <c r="W15" s="431">
        <v>12</v>
      </c>
      <c r="X15" s="424">
        <f t="shared" si="12"/>
        <v>98255.4333866667</v>
      </c>
      <c r="Y15" s="424"/>
      <c r="Z15" s="435">
        <f t="shared" si="13"/>
        <v>98255.4333866667</v>
      </c>
      <c r="AA15" s="436">
        <v>46666.666666666701</v>
      </c>
      <c r="AB15" s="436">
        <f t="shared" si="15"/>
        <v>51588.76672</v>
      </c>
      <c r="AC15" s="436"/>
      <c r="AD15" s="436"/>
      <c r="AE15" s="436"/>
    </row>
    <row r="16" spans="1:31" ht="18" x14ac:dyDescent="0.15">
      <c r="A16" s="421">
        <v>13</v>
      </c>
      <c r="B16" s="9" t="s">
        <v>44</v>
      </c>
      <c r="C16" s="422">
        <v>732746.5</v>
      </c>
      <c r="D16" s="423">
        <v>12</v>
      </c>
      <c r="E16" s="424">
        <f t="shared" si="14"/>
        <v>8792958</v>
      </c>
      <c r="F16" s="424"/>
      <c r="G16" s="424">
        <v>425036.64</v>
      </c>
      <c r="H16" s="424"/>
      <c r="I16" s="424">
        <f t="shared" si="0"/>
        <v>8367921.3600000003</v>
      </c>
      <c r="J16" s="424">
        <v>200000</v>
      </c>
      <c r="K16" s="424">
        <v>0.2</v>
      </c>
      <c r="L16" s="424">
        <f t="shared" si="1"/>
        <v>1673584.2720000001</v>
      </c>
      <c r="M16" s="424">
        <f t="shared" si="2"/>
        <v>1873584.2720000001</v>
      </c>
      <c r="N16" s="424">
        <f t="shared" si="3"/>
        <v>2298620.912</v>
      </c>
      <c r="O16" s="424">
        <f t="shared" si="4"/>
        <v>6494337.0880000005</v>
      </c>
      <c r="P16" s="424">
        <f t="shared" si="5"/>
        <v>21000</v>
      </c>
      <c r="Q16" s="424">
        <f t="shared" si="6"/>
        <v>33000</v>
      </c>
      <c r="R16" s="424">
        <f t="shared" si="7"/>
        <v>75000</v>
      </c>
      <c r="S16" s="424">
        <f t="shared" si="8"/>
        <v>95000</v>
      </c>
      <c r="T16" s="424">
        <f t="shared" si="9"/>
        <v>336000</v>
      </c>
      <c r="U16" s="424">
        <f t="shared" si="10"/>
        <v>790640.90112000005</v>
      </c>
      <c r="V16" s="424">
        <f t="shared" si="11"/>
        <v>1350640.9011200001</v>
      </c>
      <c r="W16" s="431">
        <v>12</v>
      </c>
      <c r="X16" s="424">
        <f t="shared" si="12"/>
        <v>112553.408426667</v>
      </c>
      <c r="Y16" s="424"/>
      <c r="Z16" s="435">
        <f t="shared" si="13"/>
        <v>112553.408426667</v>
      </c>
      <c r="AA16" s="436">
        <v>46666.666666666701</v>
      </c>
      <c r="AB16" s="436">
        <f t="shared" si="15"/>
        <v>65886.741759999903</v>
      </c>
      <c r="AC16" s="436"/>
      <c r="AD16" s="436"/>
      <c r="AE16" s="436"/>
    </row>
    <row r="17" spans="1:31" ht="18" x14ac:dyDescent="0.15">
      <c r="A17" s="421">
        <v>14</v>
      </c>
      <c r="B17" s="9" t="s">
        <v>47</v>
      </c>
      <c r="C17" s="422">
        <v>511804.91666666698</v>
      </c>
      <c r="D17" s="423">
        <v>12</v>
      </c>
      <c r="E17" s="424">
        <f t="shared" si="14"/>
        <v>6141659</v>
      </c>
      <c r="F17" s="424"/>
      <c r="G17" s="424">
        <v>424132.72</v>
      </c>
      <c r="H17" s="424"/>
      <c r="I17" s="424">
        <f t="shared" si="0"/>
        <v>5717526.2800000003</v>
      </c>
      <c r="J17" s="424">
        <v>200000</v>
      </c>
      <c r="K17" s="424">
        <v>0.2</v>
      </c>
      <c r="L17" s="424">
        <f t="shared" si="1"/>
        <v>1143505.2560000001</v>
      </c>
      <c r="M17" s="424">
        <f t="shared" si="2"/>
        <v>1343505.2560000001</v>
      </c>
      <c r="N17" s="424">
        <f t="shared" si="3"/>
        <v>1767637.976</v>
      </c>
      <c r="O17" s="424">
        <f t="shared" si="4"/>
        <v>4374021.0240000002</v>
      </c>
      <c r="P17" s="424">
        <f t="shared" si="5"/>
        <v>21000</v>
      </c>
      <c r="Q17" s="424">
        <f t="shared" si="6"/>
        <v>33000</v>
      </c>
      <c r="R17" s="424">
        <f t="shared" si="7"/>
        <v>75000</v>
      </c>
      <c r="S17" s="424">
        <f t="shared" si="8"/>
        <v>95000</v>
      </c>
      <c r="T17" s="424">
        <f t="shared" si="9"/>
        <v>336000</v>
      </c>
      <c r="U17" s="424">
        <f t="shared" si="10"/>
        <v>281765.045760001</v>
      </c>
      <c r="V17" s="424">
        <f t="shared" si="11"/>
        <v>841765.04576000106</v>
      </c>
      <c r="W17" s="431">
        <v>12</v>
      </c>
      <c r="X17" s="424">
        <f t="shared" si="12"/>
        <v>70147.087146666701</v>
      </c>
      <c r="Y17" s="424"/>
      <c r="Z17" s="435">
        <f t="shared" si="13"/>
        <v>70147.087146666701</v>
      </c>
      <c r="AA17" s="436">
        <v>42046.063686666697</v>
      </c>
      <c r="AB17" s="436">
        <f t="shared" si="15"/>
        <v>28101.02346</v>
      </c>
      <c r="AC17" s="436"/>
      <c r="AD17" s="436"/>
      <c r="AE17" s="436"/>
    </row>
    <row r="18" spans="1:31" ht="18" x14ac:dyDescent="0.15">
      <c r="A18" s="421">
        <v>15</v>
      </c>
      <c r="B18" s="9" t="s">
        <v>50</v>
      </c>
      <c r="C18" s="422">
        <v>548915.91666666698</v>
      </c>
      <c r="D18" s="423">
        <v>12</v>
      </c>
      <c r="E18" s="424">
        <f t="shared" si="14"/>
        <v>6586991</v>
      </c>
      <c r="F18" s="424"/>
      <c r="G18" s="424">
        <v>411759.28</v>
      </c>
      <c r="H18" s="424"/>
      <c r="I18" s="424">
        <f t="shared" si="0"/>
        <v>6175231.7199999997</v>
      </c>
      <c r="J18" s="424">
        <v>200000</v>
      </c>
      <c r="K18" s="424">
        <v>0.2</v>
      </c>
      <c r="L18" s="424">
        <f t="shared" si="1"/>
        <v>1235046.344</v>
      </c>
      <c r="M18" s="424">
        <f t="shared" si="2"/>
        <v>1435046.344</v>
      </c>
      <c r="N18" s="424">
        <f t="shared" si="3"/>
        <v>1846805.6240000001</v>
      </c>
      <c r="O18" s="424">
        <f t="shared" si="4"/>
        <v>4740185.3760000002</v>
      </c>
      <c r="P18" s="424">
        <f t="shared" si="5"/>
        <v>21000</v>
      </c>
      <c r="Q18" s="424">
        <f t="shared" si="6"/>
        <v>33000</v>
      </c>
      <c r="R18" s="424">
        <f t="shared" si="7"/>
        <v>75000</v>
      </c>
      <c r="S18" s="424">
        <f t="shared" si="8"/>
        <v>95000</v>
      </c>
      <c r="T18" s="424">
        <f t="shared" si="9"/>
        <v>336000</v>
      </c>
      <c r="U18" s="424">
        <f t="shared" si="10"/>
        <v>369644.490240001</v>
      </c>
      <c r="V18" s="424">
        <f t="shared" si="11"/>
        <v>929644.490240001</v>
      </c>
      <c r="W18" s="431">
        <v>12</v>
      </c>
      <c r="X18" s="424">
        <f t="shared" si="12"/>
        <v>77470.374186666697</v>
      </c>
      <c r="Y18" s="424"/>
      <c r="Z18" s="435">
        <f t="shared" si="13"/>
        <v>77470.374186666697</v>
      </c>
      <c r="AA18" s="436">
        <v>46666.666666666701</v>
      </c>
      <c r="AB18" s="436">
        <f t="shared" si="15"/>
        <v>30803.70752</v>
      </c>
      <c r="AC18" s="436"/>
      <c r="AD18" s="436"/>
      <c r="AE18" s="436"/>
    </row>
    <row r="19" spans="1:31" ht="18" x14ac:dyDescent="0.15">
      <c r="A19" s="421">
        <v>16</v>
      </c>
      <c r="B19" s="16" t="s">
        <v>53</v>
      </c>
      <c r="C19" s="422">
        <v>636026.91666666698</v>
      </c>
      <c r="D19" s="423">
        <v>12</v>
      </c>
      <c r="E19" s="424">
        <f t="shared" si="14"/>
        <v>7632323</v>
      </c>
      <c r="F19" s="424">
        <f>618.53*12</f>
        <v>7422.36</v>
      </c>
      <c r="G19" s="424">
        <v>399385.84</v>
      </c>
      <c r="H19" s="424"/>
      <c r="I19" s="424">
        <f t="shared" si="0"/>
        <v>7225514.7999999998</v>
      </c>
      <c r="J19" s="424">
        <v>200000</v>
      </c>
      <c r="K19" s="424">
        <v>0.2</v>
      </c>
      <c r="L19" s="424">
        <f t="shared" si="1"/>
        <v>1445102.96</v>
      </c>
      <c r="M19" s="424">
        <f t="shared" si="2"/>
        <v>1645102.96</v>
      </c>
      <c r="N19" s="424">
        <f t="shared" si="3"/>
        <v>2051911.16</v>
      </c>
      <c r="O19" s="424">
        <f t="shared" si="4"/>
        <v>5580411.8399999999</v>
      </c>
      <c r="P19" s="424">
        <f t="shared" si="5"/>
        <v>21000</v>
      </c>
      <c r="Q19" s="424">
        <f t="shared" si="6"/>
        <v>33000</v>
      </c>
      <c r="R19" s="424">
        <f t="shared" si="7"/>
        <v>75000</v>
      </c>
      <c r="S19" s="424">
        <f t="shared" si="8"/>
        <v>95000</v>
      </c>
      <c r="T19" s="424">
        <f t="shared" si="9"/>
        <v>336000</v>
      </c>
      <c r="U19" s="424">
        <f t="shared" si="10"/>
        <v>571298.84160000097</v>
      </c>
      <c r="V19" s="424">
        <f t="shared" si="11"/>
        <v>1131298.8415999999</v>
      </c>
      <c r="W19" s="431">
        <v>12</v>
      </c>
      <c r="X19" s="424">
        <f t="shared" si="12"/>
        <v>94274.903466666699</v>
      </c>
      <c r="Y19" s="424"/>
      <c r="Z19" s="435">
        <f t="shared" si="13"/>
        <v>94274.903466666699</v>
      </c>
      <c r="AA19" s="436">
        <v>46666.666666666701</v>
      </c>
      <c r="AB19" s="436">
        <f t="shared" si="15"/>
        <v>47608.236799999999</v>
      </c>
      <c r="AC19" s="436"/>
      <c r="AD19" s="436"/>
      <c r="AE19" s="436"/>
    </row>
    <row r="20" spans="1:31" ht="18" x14ac:dyDescent="0.15">
      <c r="A20" s="421">
        <v>17</v>
      </c>
      <c r="B20" s="9" t="s">
        <v>63</v>
      </c>
      <c r="C20" s="422">
        <v>537895.16666666698</v>
      </c>
      <c r="D20" s="423">
        <v>12</v>
      </c>
      <c r="E20" s="424">
        <f t="shared" si="14"/>
        <v>6454742</v>
      </c>
      <c r="F20" s="424"/>
      <c r="G20" s="424">
        <v>362779.36</v>
      </c>
      <c r="H20" s="424"/>
      <c r="I20" s="424">
        <f t="shared" si="0"/>
        <v>6091962.6399999997</v>
      </c>
      <c r="J20" s="424">
        <v>200000</v>
      </c>
      <c r="K20" s="424">
        <v>0.2</v>
      </c>
      <c r="L20" s="424">
        <f t="shared" si="1"/>
        <v>1218392.5279999999</v>
      </c>
      <c r="M20" s="424">
        <f t="shared" si="2"/>
        <v>1418392.5279999999</v>
      </c>
      <c r="N20" s="424">
        <f t="shared" si="3"/>
        <v>1781171.888</v>
      </c>
      <c r="O20" s="424">
        <f t="shared" si="4"/>
        <v>4673570.1119999997</v>
      </c>
      <c r="P20" s="424">
        <f t="shared" si="5"/>
        <v>21000</v>
      </c>
      <c r="Q20" s="424">
        <f t="shared" si="6"/>
        <v>33000</v>
      </c>
      <c r="R20" s="424">
        <f t="shared" si="7"/>
        <v>75000</v>
      </c>
      <c r="S20" s="424">
        <f t="shared" si="8"/>
        <v>95000</v>
      </c>
      <c r="T20" s="424">
        <f t="shared" si="9"/>
        <v>336000</v>
      </c>
      <c r="U20" s="424">
        <f t="shared" si="10"/>
        <v>353656.826880001</v>
      </c>
      <c r="V20" s="424">
        <f t="shared" si="11"/>
        <v>913656.826880001</v>
      </c>
      <c r="W20" s="431">
        <v>12</v>
      </c>
      <c r="X20" s="424">
        <f t="shared" si="12"/>
        <v>76138.068906666696</v>
      </c>
      <c r="Y20" s="424"/>
      <c r="Z20" s="435">
        <f t="shared" si="13"/>
        <v>76138.068906666696</v>
      </c>
      <c r="AA20" s="436">
        <v>52497.770378666602</v>
      </c>
      <c r="AB20" s="436">
        <f t="shared" si="15"/>
        <v>23640.298528000101</v>
      </c>
      <c r="AC20" s="436"/>
      <c r="AD20" s="436"/>
      <c r="AE20" s="436"/>
    </row>
    <row r="21" spans="1:31" ht="18" x14ac:dyDescent="0.15">
      <c r="A21" s="421">
        <v>18</v>
      </c>
      <c r="B21" s="12" t="s">
        <v>66</v>
      </c>
      <c r="C21" s="422">
        <v>553512.5</v>
      </c>
      <c r="D21" s="423">
        <v>12</v>
      </c>
      <c r="E21" s="424">
        <f t="shared" si="14"/>
        <v>6642150</v>
      </c>
      <c r="F21" s="424"/>
      <c r="G21" s="424">
        <v>339372</v>
      </c>
      <c r="H21" s="424"/>
      <c r="I21" s="424">
        <f t="shared" si="0"/>
        <v>6302778</v>
      </c>
      <c r="J21" s="424">
        <v>200000</v>
      </c>
      <c r="K21" s="424">
        <v>0.2</v>
      </c>
      <c r="L21" s="424">
        <f t="shared" si="1"/>
        <v>1260555.6000000001</v>
      </c>
      <c r="M21" s="424">
        <f t="shared" si="2"/>
        <v>1460555.6</v>
      </c>
      <c r="N21" s="424">
        <f t="shared" si="3"/>
        <v>1799927.6</v>
      </c>
      <c r="O21" s="424">
        <f t="shared" si="4"/>
        <v>4842222.4000000004</v>
      </c>
      <c r="P21" s="424">
        <f t="shared" si="5"/>
        <v>21000</v>
      </c>
      <c r="Q21" s="424">
        <f t="shared" si="6"/>
        <v>33000</v>
      </c>
      <c r="R21" s="424">
        <f t="shared" si="7"/>
        <v>75000</v>
      </c>
      <c r="S21" s="424">
        <f t="shared" si="8"/>
        <v>95000</v>
      </c>
      <c r="T21" s="424">
        <f t="shared" si="9"/>
        <v>336000</v>
      </c>
      <c r="U21" s="424">
        <f t="shared" si="10"/>
        <v>394133.37599999999</v>
      </c>
      <c r="V21" s="424">
        <f t="shared" si="11"/>
        <v>954133.37600000005</v>
      </c>
      <c r="W21" s="431">
        <v>12</v>
      </c>
      <c r="X21" s="424">
        <f t="shared" si="12"/>
        <v>79511.114666666705</v>
      </c>
      <c r="Y21" s="424"/>
      <c r="Z21" s="435">
        <f t="shared" si="13"/>
        <v>79511.114666666705</v>
      </c>
      <c r="AA21" s="436">
        <v>46666.666666666701</v>
      </c>
      <c r="AB21" s="436">
        <f t="shared" si="15"/>
        <v>32844.447999999997</v>
      </c>
      <c r="AC21" s="436"/>
      <c r="AD21" s="436"/>
      <c r="AE21" s="436"/>
    </row>
    <row r="22" spans="1:31" ht="18" x14ac:dyDescent="0.15">
      <c r="A22" s="421">
        <v>19</v>
      </c>
      <c r="B22" s="9" t="s">
        <v>69</v>
      </c>
      <c r="C22" s="422">
        <v>463512.5</v>
      </c>
      <c r="D22" s="423">
        <v>12</v>
      </c>
      <c r="E22" s="424">
        <f t="shared" si="14"/>
        <v>5562150</v>
      </c>
      <c r="F22" s="424"/>
      <c r="G22" s="424">
        <v>339372</v>
      </c>
      <c r="H22" s="424"/>
      <c r="I22" s="424">
        <f t="shared" si="0"/>
        <v>5222778</v>
      </c>
      <c r="J22" s="424">
        <v>200000</v>
      </c>
      <c r="K22" s="424">
        <v>0.2</v>
      </c>
      <c r="L22" s="424">
        <f t="shared" si="1"/>
        <v>1044555.6</v>
      </c>
      <c r="M22" s="424">
        <f t="shared" si="2"/>
        <v>1244555.6000000001</v>
      </c>
      <c r="N22" s="424">
        <f t="shared" si="3"/>
        <v>1583927.6</v>
      </c>
      <c r="O22" s="424">
        <f t="shared" si="4"/>
        <v>3978222.4</v>
      </c>
      <c r="P22" s="424">
        <f t="shared" si="5"/>
        <v>21000</v>
      </c>
      <c r="Q22" s="424">
        <f t="shared" si="6"/>
        <v>33000</v>
      </c>
      <c r="R22" s="424">
        <f t="shared" si="7"/>
        <v>75000</v>
      </c>
      <c r="S22" s="424">
        <f t="shared" si="8"/>
        <v>95000</v>
      </c>
      <c r="T22" s="424">
        <f t="shared" si="9"/>
        <v>336000</v>
      </c>
      <c r="U22" s="424">
        <f t="shared" si="10"/>
        <v>186773.37599999999</v>
      </c>
      <c r="V22" s="424">
        <f t="shared" si="11"/>
        <v>746773.37600000005</v>
      </c>
      <c r="W22" s="431">
        <v>12</v>
      </c>
      <c r="X22" s="424">
        <f t="shared" si="12"/>
        <v>62231.114666666697</v>
      </c>
      <c r="Y22" s="424"/>
      <c r="Z22" s="435">
        <f t="shared" si="13"/>
        <v>62231.114666666697</v>
      </c>
      <c r="AA22" s="436">
        <v>46666.666666666701</v>
      </c>
      <c r="AB22" s="436">
        <f t="shared" si="15"/>
        <v>15564.448</v>
      </c>
      <c r="AC22" s="436"/>
      <c r="AD22" s="436"/>
      <c r="AE22" s="436"/>
    </row>
    <row r="23" spans="1:31" ht="18" x14ac:dyDescent="0.15">
      <c r="A23" s="421">
        <v>20</v>
      </c>
      <c r="B23" s="12" t="s">
        <v>71</v>
      </c>
      <c r="C23" s="422">
        <v>453029.66666666698</v>
      </c>
      <c r="D23" s="423">
        <v>12</v>
      </c>
      <c r="E23" s="424">
        <f t="shared" si="14"/>
        <v>5436356</v>
      </c>
      <c r="F23" s="424"/>
      <c r="G23" s="424">
        <v>281308.48</v>
      </c>
      <c r="H23" s="424"/>
      <c r="I23" s="424">
        <f t="shared" si="0"/>
        <v>5155047.5199999996</v>
      </c>
      <c r="J23" s="424">
        <v>200000</v>
      </c>
      <c r="K23" s="424">
        <v>0.2</v>
      </c>
      <c r="L23" s="424">
        <f t="shared" si="1"/>
        <v>1031009.504</v>
      </c>
      <c r="M23" s="424">
        <f t="shared" si="2"/>
        <v>1231009.504</v>
      </c>
      <c r="N23" s="424">
        <f t="shared" si="3"/>
        <v>1512317.9839999999</v>
      </c>
      <c r="O23" s="424">
        <f t="shared" si="4"/>
        <v>3924038.0159999998</v>
      </c>
      <c r="P23" s="424">
        <f t="shared" si="5"/>
        <v>21000</v>
      </c>
      <c r="Q23" s="424">
        <f t="shared" si="6"/>
        <v>33000</v>
      </c>
      <c r="R23" s="424">
        <f t="shared" si="7"/>
        <v>75000</v>
      </c>
      <c r="S23" s="424">
        <f t="shared" si="8"/>
        <v>95000</v>
      </c>
      <c r="T23" s="424">
        <f t="shared" si="9"/>
        <v>336000</v>
      </c>
      <c r="U23" s="424">
        <f t="shared" si="10"/>
        <v>173769.123840001</v>
      </c>
      <c r="V23" s="424">
        <f t="shared" si="11"/>
        <v>733769.12384000095</v>
      </c>
      <c r="W23" s="431">
        <v>12</v>
      </c>
      <c r="X23" s="424">
        <f t="shared" si="12"/>
        <v>61147.426986666702</v>
      </c>
      <c r="Y23" s="424"/>
      <c r="Z23" s="435">
        <f t="shared" si="13"/>
        <v>61147.426986666702</v>
      </c>
      <c r="AA23" s="436">
        <v>42371.815728666697</v>
      </c>
      <c r="AB23" s="436">
        <f t="shared" si="15"/>
        <v>18775.611258000001</v>
      </c>
      <c r="AC23" s="436"/>
      <c r="AD23" s="436"/>
      <c r="AE23" s="436"/>
    </row>
    <row r="24" spans="1:31" ht="18" x14ac:dyDescent="0.2">
      <c r="A24" s="421">
        <v>21</v>
      </c>
      <c r="B24" s="2" t="s">
        <v>77</v>
      </c>
      <c r="C24" s="422">
        <v>330481.66666666698</v>
      </c>
      <c r="D24" s="423">
        <v>12</v>
      </c>
      <c r="E24" s="424">
        <f t="shared" si="14"/>
        <v>3965780</v>
      </c>
      <c r="F24" s="424"/>
      <c r="G24" s="424">
        <v>259662.4</v>
      </c>
      <c r="H24" s="424"/>
      <c r="I24" s="424">
        <f t="shared" si="0"/>
        <v>3706117.6</v>
      </c>
      <c r="J24" s="424">
        <v>200000</v>
      </c>
      <c r="K24" s="424">
        <v>0.2</v>
      </c>
      <c r="L24" s="424">
        <f t="shared" si="1"/>
        <v>741223.52000000095</v>
      </c>
      <c r="M24" s="424">
        <f t="shared" si="2"/>
        <v>941223.52000000095</v>
      </c>
      <c r="N24" s="424">
        <f t="shared" si="3"/>
        <v>1200885.92</v>
      </c>
      <c r="O24" s="424">
        <f t="shared" si="4"/>
        <v>2764894.08</v>
      </c>
      <c r="P24" s="424">
        <f t="shared" si="5"/>
        <v>21000</v>
      </c>
      <c r="Q24" s="424">
        <f t="shared" si="6"/>
        <v>33000</v>
      </c>
      <c r="R24" s="424">
        <f t="shared" si="7"/>
        <v>75000</v>
      </c>
      <c r="S24" s="424">
        <f t="shared" si="8"/>
        <v>95000</v>
      </c>
      <c r="T24" s="424">
        <f t="shared" si="9"/>
        <v>244627.75680000099</v>
      </c>
      <c r="U24" s="424"/>
      <c r="V24" s="424">
        <f t="shared" si="11"/>
        <v>468627.75680000102</v>
      </c>
      <c r="W24" s="431">
        <v>12</v>
      </c>
      <c r="X24" s="424">
        <f t="shared" si="12"/>
        <v>39052.313066666698</v>
      </c>
      <c r="Y24" s="424"/>
      <c r="Z24" s="435">
        <f t="shared" si="13"/>
        <v>39052.313066666698</v>
      </c>
      <c r="AA24" s="436">
        <v>23036.012346666699</v>
      </c>
      <c r="AB24" s="436">
        <f t="shared" si="15"/>
        <v>16016.300719999999</v>
      </c>
      <c r="AC24" s="436"/>
      <c r="AD24" s="436"/>
      <c r="AE24" s="436"/>
    </row>
    <row r="25" spans="1:31" ht="18" x14ac:dyDescent="0.15">
      <c r="A25" s="421">
        <v>22</v>
      </c>
      <c r="B25" s="16" t="s">
        <v>80</v>
      </c>
      <c r="C25" s="422">
        <v>330481.66666666698</v>
      </c>
      <c r="D25" s="423">
        <v>12</v>
      </c>
      <c r="E25" s="424">
        <f t="shared" si="14"/>
        <v>3965780</v>
      </c>
      <c r="F25" s="424"/>
      <c r="G25" s="424">
        <v>259662.4</v>
      </c>
      <c r="H25" s="424"/>
      <c r="I25" s="424">
        <f t="shared" si="0"/>
        <v>3706117.6</v>
      </c>
      <c r="J25" s="424">
        <v>200000</v>
      </c>
      <c r="K25" s="424">
        <v>0.2</v>
      </c>
      <c r="L25" s="424">
        <f t="shared" si="1"/>
        <v>741223.52000000095</v>
      </c>
      <c r="M25" s="424">
        <f t="shared" si="2"/>
        <v>941223.52000000095</v>
      </c>
      <c r="N25" s="424">
        <f t="shared" si="3"/>
        <v>1200885.92</v>
      </c>
      <c r="O25" s="424">
        <f t="shared" si="4"/>
        <v>2764894.08</v>
      </c>
      <c r="P25" s="424">
        <f t="shared" si="5"/>
        <v>21000</v>
      </c>
      <c r="Q25" s="424">
        <f t="shared" si="6"/>
        <v>33000</v>
      </c>
      <c r="R25" s="424">
        <f t="shared" si="7"/>
        <v>75000</v>
      </c>
      <c r="S25" s="424">
        <f t="shared" si="8"/>
        <v>95000</v>
      </c>
      <c r="T25" s="424">
        <f t="shared" si="9"/>
        <v>244627.75680000099</v>
      </c>
      <c r="U25" s="424"/>
      <c r="V25" s="424">
        <f t="shared" si="11"/>
        <v>468627.75680000102</v>
      </c>
      <c r="W25" s="431">
        <v>12</v>
      </c>
      <c r="X25" s="424">
        <f t="shared" si="12"/>
        <v>39052.313066666698</v>
      </c>
      <c r="Y25" s="424"/>
      <c r="Z25" s="435">
        <f t="shared" si="13"/>
        <v>39052.313066666698</v>
      </c>
      <c r="AA25" s="436">
        <v>23036.012346666699</v>
      </c>
      <c r="AB25" s="436">
        <f t="shared" si="15"/>
        <v>16016.300719999999</v>
      </c>
      <c r="AC25" s="436"/>
      <c r="AD25" s="436"/>
      <c r="AE25" s="436"/>
    </row>
    <row r="26" spans="1:31" ht="18" x14ac:dyDescent="0.15">
      <c r="A26" s="421">
        <v>23</v>
      </c>
      <c r="B26" s="9" t="s">
        <v>81</v>
      </c>
      <c r="C26" s="422">
        <v>370481.66666666698</v>
      </c>
      <c r="D26" s="423">
        <v>12</v>
      </c>
      <c r="E26" s="424">
        <f t="shared" si="14"/>
        <v>4445780</v>
      </c>
      <c r="F26" s="424"/>
      <c r="G26" s="424">
        <v>259662.4</v>
      </c>
      <c r="H26" s="424"/>
      <c r="I26" s="424">
        <f t="shared" si="0"/>
        <v>4186117.6</v>
      </c>
      <c r="J26" s="424">
        <v>200000</v>
      </c>
      <c r="K26" s="424">
        <v>0.2</v>
      </c>
      <c r="L26" s="424">
        <f t="shared" si="1"/>
        <v>837223.52000000095</v>
      </c>
      <c r="M26" s="424">
        <f t="shared" si="2"/>
        <v>1037223.52</v>
      </c>
      <c r="N26" s="424">
        <f t="shared" si="3"/>
        <v>1296885.92</v>
      </c>
      <c r="O26" s="424">
        <f t="shared" si="4"/>
        <v>3148894.08</v>
      </c>
      <c r="P26" s="424">
        <f t="shared" si="5"/>
        <v>21000</v>
      </c>
      <c r="Q26" s="424">
        <f t="shared" si="6"/>
        <v>33000</v>
      </c>
      <c r="R26" s="424">
        <f t="shared" si="7"/>
        <v>75000</v>
      </c>
      <c r="S26" s="424">
        <f t="shared" si="8"/>
        <v>95000</v>
      </c>
      <c r="T26" s="424">
        <f t="shared" si="9"/>
        <v>325267.75680000102</v>
      </c>
      <c r="U26" s="424"/>
      <c r="V26" s="424">
        <f t="shared" si="11"/>
        <v>549267.75680000102</v>
      </c>
      <c r="W26" s="431">
        <v>12</v>
      </c>
      <c r="X26" s="424">
        <f t="shared" si="12"/>
        <v>45772.313066666698</v>
      </c>
      <c r="Y26" s="424"/>
      <c r="Z26" s="435">
        <f t="shared" si="13"/>
        <v>45772.313066666698</v>
      </c>
      <c r="AA26" s="436">
        <v>29756.012346666699</v>
      </c>
      <c r="AB26" s="436">
        <f t="shared" si="15"/>
        <v>16016.300719999999</v>
      </c>
      <c r="AC26" s="436"/>
      <c r="AD26" s="436"/>
      <c r="AE26" s="436"/>
    </row>
    <row r="27" spans="1:31" ht="18" x14ac:dyDescent="0.15">
      <c r="A27" s="421">
        <v>24</v>
      </c>
      <c r="B27" s="16" t="s">
        <v>82</v>
      </c>
      <c r="C27" s="422">
        <v>323165.33333333302</v>
      </c>
      <c r="D27" s="423">
        <v>12</v>
      </c>
      <c r="E27" s="424">
        <f t="shared" si="14"/>
        <v>3877984</v>
      </c>
      <c r="F27" s="424"/>
      <c r="G27" s="424">
        <v>252638.72</v>
      </c>
      <c r="H27" s="424"/>
      <c r="I27" s="424">
        <f t="shared" si="0"/>
        <v>3625345.28</v>
      </c>
      <c r="J27" s="424">
        <v>200000</v>
      </c>
      <c r="K27" s="424">
        <v>0.2</v>
      </c>
      <c r="L27" s="424">
        <f t="shared" ref="L27" si="16">I27*K27</f>
        <v>725069.05599999905</v>
      </c>
      <c r="M27" s="424">
        <f t="shared" ref="M27" si="17">J27+L27</f>
        <v>925069.05599999905</v>
      </c>
      <c r="N27" s="424">
        <f t="shared" si="3"/>
        <v>1177707.7760000001</v>
      </c>
      <c r="O27" s="424">
        <f t="shared" si="4"/>
        <v>2700276.2239999999</v>
      </c>
      <c r="P27" s="424">
        <f t="shared" ref="P27" si="18">IF(O27&lt;300000,0.07*O27,21000)</f>
        <v>21000</v>
      </c>
      <c r="Q27" s="424">
        <f t="shared" ref="Q27" si="19">IF((O27-300000)&lt;0,0,IF((O27-300000)&lt;300000,0.11*(O27-300000),33000))</f>
        <v>33000</v>
      </c>
      <c r="R27" s="424">
        <f t="shared" ref="R27" si="20">IF((O27-600000)&lt;0,0,IF((O27-600000)&lt;500000,0.15*(O27-600000),75000))</f>
        <v>75000</v>
      </c>
      <c r="S27" s="424">
        <f t="shared" ref="S27" si="21">IF((O27-1100000)&lt;0,0,IF((O27-1100000)&lt;500000,0.19*(O27-1100000),95000))</f>
        <v>95000</v>
      </c>
      <c r="T27" s="424">
        <f t="shared" ref="T27" si="22">IF((O27-1600000)&lt;0,0,IF((O27-1600000)&lt;1600000,0.21*(O27-1600000),336000))</f>
        <v>231058.00703999901</v>
      </c>
      <c r="U27" s="424"/>
      <c r="V27" s="424">
        <f t="shared" ref="V27" si="23">P27+Q27+R27+S27+T27+U27</f>
        <v>455058.00703999901</v>
      </c>
      <c r="W27" s="431">
        <v>12</v>
      </c>
      <c r="X27" s="424">
        <f t="shared" ref="X27" si="24">V27/W27</f>
        <v>37921.500586666603</v>
      </c>
      <c r="Y27" s="424"/>
      <c r="Z27" s="435">
        <f t="shared" ref="Z27" si="25">X27</f>
        <v>37921.500586666603</v>
      </c>
      <c r="AA27" s="436">
        <v>22338.4826046667</v>
      </c>
      <c r="AB27" s="436">
        <f t="shared" si="15"/>
        <v>15583.017981999899</v>
      </c>
      <c r="AC27" s="436"/>
      <c r="AD27" s="436"/>
      <c r="AE27" s="436"/>
    </row>
    <row r="28" spans="1:31" ht="18" x14ac:dyDescent="0.15">
      <c r="A28" s="421">
        <v>25</v>
      </c>
      <c r="B28" s="16" t="s">
        <v>85</v>
      </c>
      <c r="C28" s="422">
        <v>315849</v>
      </c>
      <c r="D28" s="423">
        <v>12</v>
      </c>
      <c r="E28" s="424">
        <f t="shared" si="14"/>
        <v>3790188</v>
      </c>
      <c r="F28" s="424"/>
      <c r="G28" s="424">
        <v>245615.04</v>
      </c>
      <c r="H28" s="424"/>
      <c r="I28" s="424">
        <f t="shared" si="0"/>
        <v>3544572.96</v>
      </c>
      <c r="J28" s="424">
        <v>200000</v>
      </c>
      <c r="K28" s="424">
        <v>0.2</v>
      </c>
      <c r="L28" s="424">
        <f t="shared" si="1"/>
        <v>708914.59199999995</v>
      </c>
      <c r="M28" s="424">
        <f t="shared" si="2"/>
        <v>908914.59199999995</v>
      </c>
      <c r="N28" s="424">
        <f t="shared" si="3"/>
        <v>1154529.632</v>
      </c>
      <c r="O28" s="424">
        <f t="shared" si="4"/>
        <v>2635658.3679999998</v>
      </c>
      <c r="P28" s="424">
        <f t="shared" si="5"/>
        <v>21000</v>
      </c>
      <c r="Q28" s="424">
        <f t="shared" si="6"/>
        <v>33000</v>
      </c>
      <c r="R28" s="424">
        <f t="shared" si="7"/>
        <v>75000</v>
      </c>
      <c r="S28" s="424">
        <f t="shared" si="8"/>
        <v>95000</v>
      </c>
      <c r="T28" s="424">
        <f t="shared" si="9"/>
        <v>217488.25727999999</v>
      </c>
      <c r="U28" s="424"/>
      <c r="V28" s="424">
        <f t="shared" si="11"/>
        <v>441488.25728000002</v>
      </c>
      <c r="W28" s="431">
        <v>12</v>
      </c>
      <c r="X28" s="424">
        <f t="shared" si="12"/>
        <v>36790.688106666697</v>
      </c>
      <c r="Y28" s="424"/>
      <c r="Z28" s="435">
        <f t="shared" si="13"/>
        <v>36790.688106666697</v>
      </c>
      <c r="AA28" s="436">
        <v>21640.952862666702</v>
      </c>
      <c r="AB28" s="436">
        <f t="shared" si="15"/>
        <v>15149.735244</v>
      </c>
      <c r="AC28" s="436"/>
      <c r="AD28" s="436"/>
      <c r="AE28" s="436"/>
    </row>
    <row r="29" spans="1:31" ht="31.5" x14ac:dyDescent="0.2">
      <c r="A29" s="421">
        <v>26</v>
      </c>
      <c r="B29" s="16" t="s">
        <v>88</v>
      </c>
      <c r="C29" s="422">
        <v>315849</v>
      </c>
      <c r="D29" s="423">
        <v>12</v>
      </c>
      <c r="E29" s="424">
        <f t="shared" si="14"/>
        <v>3790188</v>
      </c>
      <c r="F29" s="424"/>
      <c r="G29" s="424">
        <v>245615.04</v>
      </c>
      <c r="H29" s="424"/>
      <c r="I29" s="424">
        <f t="shared" si="0"/>
        <v>3544572.96</v>
      </c>
      <c r="J29" s="424">
        <v>200000</v>
      </c>
      <c r="K29" s="424">
        <v>0.2</v>
      </c>
      <c r="L29" s="424">
        <f t="shared" si="1"/>
        <v>708914.59199999995</v>
      </c>
      <c r="M29" s="424">
        <f t="shared" si="2"/>
        <v>908914.59199999995</v>
      </c>
      <c r="N29" s="424">
        <f t="shared" si="3"/>
        <v>1154529.632</v>
      </c>
      <c r="O29" s="424">
        <f t="shared" si="4"/>
        <v>2635658.3679999998</v>
      </c>
      <c r="P29" s="424">
        <f t="shared" si="5"/>
        <v>21000</v>
      </c>
      <c r="Q29" s="424">
        <f t="shared" si="6"/>
        <v>33000</v>
      </c>
      <c r="R29" s="424">
        <f t="shared" si="7"/>
        <v>75000</v>
      </c>
      <c r="S29" s="424">
        <f t="shared" si="8"/>
        <v>95000</v>
      </c>
      <c r="T29" s="424">
        <f t="shared" si="9"/>
        <v>217488.25727999999</v>
      </c>
      <c r="U29" s="424"/>
      <c r="V29" s="424">
        <f t="shared" si="11"/>
        <v>441488.25728000002</v>
      </c>
      <c r="W29" s="431">
        <v>12</v>
      </c>
      <c r="X29" s="424">
        <f t="shared" si="12"/>
        <v>36790.688106666697</v>
      </c>
      <c r="Y29" s="424"/>
      <c r="Z29" s="435">
        <f t="shared" si="13"/>
        <v>36790.688106666697</v>
      </c>
      <c r="AA29" s="436">
        <v>21640.952862666702</v>
      </c>
      <c r="AB29" s="436">
        <f t="shared" si="15"/>
        <v>15149.735244</v>
      </c>
      <c r="AC29" s="436"/>
      <c r="AD29" s="436"/>
      <c r="AE29" s="436"/>
    </row>
    <row r="30" spans="1:31" ht="18" x14ac:dyDescent="0.15">
      <c r="A30" s="421">
        <v>27</v>
      </c>
      <c r="B30" s="16" t="s">
        <v>89</v>
      </c>
      <c r="C30" s="422">
        <v>330481.66666666698</v>
      </c>
      <c r="D30" s="423">
        <v>12</v>
      </c>
      <c r="E30" s="424">
        <f t="shared" si="14"/>
        <v>3965780</v>
      </c>
      <c r="F30" s="424"/>
      <c r="G30" s="424">
        <v>259662.4</v>
      </c>
      <c r="H30" s="424"/>
      <c r="I30" s="424">
        <f t="shared" si="0"/>
        <v>3706117.6</v>
      </c>
      <c r="J30" s="424">
        <v>200000</v>
      </c>
      <c r="K30" s="424">
        <v>0.2</v>
      </c>
      <c r="L30" s="424">
        <f t="shared" si="1"/>
        <v>741223.52000000095</v>
      </c>
      <c r="M30" s="424">
        <f t="shared" si="2"/>
        <v>941223.52000000095</v>
      </c>
      <c r="N30" s="424">
        <f t="shared" si="3"/>
        <v>1200885.92</v>
      </c>
      <c r="O30" s="424">
        <f t="shared" si="4"/>
        <v>2764894.08</v>
      </c>
      <c r="P30" s="424">
        <f t="shared" si="5"/>
        <v>21000</v>
      </c>
      <c r="Q30" s="424">
        <f t="shared" si="6"/>
        <v>33000</v>
      </c>
      <c r="R30" s="424">
        <f t="shared" si="7"/>
        <v>75000</v>
      </c>
      <c r="S30" s="424">
        <f t="shared" si="8"/>
        <v>95000</v>
      </c>
      <c r="T30" s="424">
        <f t="shared" si="9"/>
        <v>244627.75680000099</v>
      </c>
      <c r="U30" s="424"/>
      <c r="V30" s="424">
        <f t="shared" si="11"/>
        <v>468627.75680000102</v>
      </c>
      <c r="W30" s="431">
        <v>12</v>
      </c>
      <c r="X30" s="424">
        <f t="shared" si="12"/>
        <v>39052.313066666698</v>
      </c>
      <c r="Y30" s="424"/>
      <c r="Z30" s="435">
        <f t="shared" si="13"/>
        <v>39052.313066666698</v>
      </c>
      <c r="AA30" s="436">
        <v>22338.4826046667</v>
      </c>
      <c r="AB30" s="436">
        <f t="shared" si="15"/>
        <v>16713.830462000002</v>
      </c>
      <c r="AC30" s="436"/>
      <c r="AD30" s="436"/>
      <c r="AE30" s="436"/>
    </row>
    <row r="31" spans="1:31" ht="18" x14ac:dyDescent="0.15">
      <c r="A31" s="421">
        <v>28</v>
      </c>
      <c r="B31" s="16" t="s">
        <v>92</v>
      </c>
      <c r="C31" s="422">
        <v>280631.91666666698</v>
      </c>
      <c r="D31" s="423">
        <v>12</v>
      </c>
      <c r="E31" s="424">
        <f t="shared" si="14"/>
        <v>3367583</v>
      </c>
      <c r="F31" s="424"/>
      <c r="G31" s="425">
        <v>221406.64</v>
      </c>
      <c r="H31" s="424"/>
      <c r="I31" s="424">
        <f t="shared" si="0"/>
        <v>3146176.36</v>
      </c>
      <c r="J31" s="424">
        <v>200000</v>
      </c>
      <c r="K31" s="424">
        <v>0.2</v>
      </c>
      <c r="L31" s="424">
        <f t="shared" si="1"/>
        <v>629235.27200000104</v>
      </c>
      <c r="M31" s="424">
        <f t="shared" si="2"/>
        <v>829235.27200000104</v>
      </c>
      <c r="N31" s="424">
        <f t="shared" si="3"/>
        <v>1050641.912</v>
      </c>
      <c r="O31" s="424">
        <f t="shared" si="4"/>
        <v>2316941.088</v>
      </c>
      <c r="P31" s="424">
        <f t="shared" si="5"/>
        <v>21000</v>
      </c>
      <c r="Q31" s="424">
        <f t="shared" si="6"/>
        <v>33000</v>
      </c>
      <c r="R31" s="424">
        <f t="shared" si="7"/>
        <v>75000</v>
      </c>
      <c r="S31" s="424">
        <f t="shared" si="8"/>
        <v>95000</v>
      </c>
      <c r="T31" s="424">
        <f t="shared" si="9"/>
        <v>150557.628480001</v>
      </c>
      <c r="U31" s="424"/>
      <c r="V31" s="424">
        <f t="shared" si="11"/>
        <v>374557.628480001</v>
      </c>
      <c r="W31" s="431">
        <v>12</v>
      </c>
      <c r="X31" s="424">
        <f t="shared" si="12"/>
        <v>31213.135706666701</v>
      </c>
      <c r="Y31" s="424"/>
      <c r="Z31" s="435">
        <f t="shared" si="13"/>
        <v>31213.135706666701</v>
      </c>
      <c r="AA31" s="436">
        <v>17572.885002666699</v>
      </c>
      <c r="AB31" s="436">
        <f t="shared" si="15"/>
        <v>13640.250704</v>
      </c>
      <c r="AC31" s="436"/>
      <c r="AD31" s="436"/>
      <c r="AE31" s="436"/>
    </row>
    <row r="32" spans="1:31" ht="18" x14ac:dyDescent="0.15">
      <c r="A32" s="421">
        <v>29</v>
      </c>
      <c r="B32" s="16" t="s">
        <v>100</v>
      </c>
      <c r="C32" s="422">
        <v>274459.75</v>
      </c>
      <c r="D32" s="423">
        <v>12</v>
      </c>
      <c r="E32" s="424">
        <f t="shared" si="14"/>
        <v>3293517</v>
      </c>
      <c r="F32" s="424"/>
      <c r="G32" s="425">
        <f>17956.78*12</f>
        <v>215481.36</v>
      </c>
      <c r="H32" s="424"/>
      <c r="I32" s="424">
        <f t="shared" si="0"/>
        <v>3078035.64</v>
      </c>
      <c r="J32" s="424">
        <v>200000</v>
      </c>
      <c r="K32" s="424">
        <v>0.2</v>
      </c>
      <c r="L32" s="424">
        <f t="shared" si="1"/>
        <v>615607.12800000003</v>
      </c>
      <c r="M32" s="424">
        <f t="shared" si="2"/>
        <v>815607.12800000003</v>
      </c>
      <c r="N32" s="424">
        <f t="shared" si="3"/>
        <v>1031088.488</v>
      </c>
      <c r="O32" s="424">
        <f t="shared" si="4"/>
        <v>2262428.5120000001</v>
      </c>
      <c r="P32" s="424">
        <f t="shared" si="5"/>
        <v>21000</v>
      </c>
      <c r="Q32" s="424">
        <f t="shared" si="6"/>
        <v>33000</v>
      </c>
      <c r="R32" s="424">
        <f t="shared" si="7"/>
        <v>75000</v>
      </c>
      <c r="S32" s="424">
        <f t="shared" si="8"/>
        <v>95000</v>
      </c>
      <c r="T32" s="424">
        <f t="shared" si="9"/>
        <v>139109.98752</v>
      </c>
      <c r="U32" s="424"/>
      <c r="V32" s="424">
        <f t="shared" si="11"/>
        <v>363109.98752000002</v>
      </c>
      <c r="W32" s="431">
        <v>12</v>
      </c>
      <c r="X32" s="424">
        <f t="shared" si="12"/>
        <v>30259.165626666701</v>
      </c>
      <c r="Y32" s="424"/>
      <c r="Z32" s="435">
        <f t="shared" si="13"/>
        <v>30259.165626666701</v>
      </c>
      <c r="AA32" s="436">
        <v>16512.682190666699</v>
      </c>
      <c r="AB32" s="436">
        <f t="shared" si="15"/>
        <v>13746.483436</v>
      </c>
      <c r="AC32" s="436"/>
      <c r="AD32" s="436"/>
      <c r="AE32" s="436"/>
    </row>
    <row r="33" spans="1:31" ht="18" x14ac:dyDescent="0.2">
      <c r="A33" s="421">
        <v>31</v>
      </c>
      <c r="B33" s="20"/>
      <c r="C33" s="426"/>
      <c r="D33" s="423"/>
      <c r="E33" s="424"/>
      <c r="F33" s="427"/>
      <c r="G33" s="427"/>
      <c r="H33" s="427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31"/>
      <c r="X33" s="424"/>
      <c r="Y33" s="427"/>
      <c r="Z33" s="435"/>
      <c r="AA33" s="436"/>
      <c r="AB33" s="436"/>
      <c r="AC33" s="436"/>
      <c r="AD33" s="436"/>
      <c r="AE33" s="436"/>
    </row>
    <row r="34" spans="1:31" ht="18" x14ac:dyDescent="0.15">
      <c r="A34" s="421">
        <v>32</v>
      </c>
      <c r="B34" s="18" t="s">
        <v>112</v>
      </c>
      <c r="C34" s="424"/>
      <c r="D34" s="423"/>
      <c r="E34" s="424"/>
      <c r="F34" s="427"/>
      <c r="G34" s="427"/>
      <c r="H34" s="427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31"/>
      <c r="X34" s="424"/>
      <c r="Y34" s="427"/>
      <c r="Z34" s="435"/>
      <c r="AA34" s="436"/>
      <c r="AB34" s="436"/>
      <c r="AC34" s="436"/>
      <c r="AD34" s="436"/>
      <c r="AE34" s="436"/>
    </row>
    <row r="35" spans="1:31" ht="18" x14ac:dyDescent="0.15">
      <c r="A35" s="421"/>
      <c r="B35" s="16" t="s">
        <v>113</v>
      </c>
      <c r="C35" s="428">
        <v>1535720</v>
      </c>
      <c r="D35" s="424">
        <v>12</v>
      </c>
      <c r="E35" s="424">
        <f>C35*D35</f>
        <v>18428640</v>
      </c>
      <c r="F35" s="424"/>
      <c r="G35" s="425">
        <v>1378291.2</v>
      </c>
      <c r="H35" s="424"/>
      <c r="I35" s="424">
        <f>E35-F35-G35-H35</f>
        <v>17050348.800000001</v>
      </c>
      <c r="J35" s="424">
        <v>200000</v>
      </c>
      <c r="K35" s="424">
        <v>0.2</v>
      </c>
      <c r="L35" s="424">
        <f>I35*K35</f>
        <v>3410069.76</v>
      </c>
      <c r="M35" s="424">
        <f>J35+L35</f>
        <v>3610069.76</v>
      </c>
      <c r="N35" s="424">
        <f>F35+G35+H35+M35</f>
        <v>4988360.96</v>
      </c>
      <c r="O35" s="424">
        <f>E35-N35</f>
        <v>13440279.039999999</v>
      </c>
      <c r="P35" s="424">
        <f t="shared" si="5"/>
        <v>21000</v>
      </c>
      <c r="Q35" s="424">
        <f t="shared" ref="Q35:Q37" si="26">IF((O35-300000)&lt;0,0,IF((O35-300000)&lt;300000,0.11*(O35-300000),33000))</f>
        <v>33000</v>
      </c>
      <c r="R35" s="424">
        <f t="shared" ref="R35:R37" si="27">IF((O35-600000)&lt;0,0,IF((O35-600000)&lt;500000,0.15*(O35-600000),75000))</f>
        <v>75000</v>
      </c>
      <c r="S35" s="424">
        <f t="shared" ref="S35:S37" si="28">IF((O35-1100000)&lt;0,0,IF((O35-1100000)&lt;500000,0.19*(O35-1100000),95000))</f>
        <v>95000</v>
      </c>
      <c r="T35" s="424">
        <f t="shared" ref="T35:T37" si="29">IF((O35-1600000)&lt;0,0,IF((O35-1600000)&lt;1600000,0.21*(O35-1600000),336000))</f>
        <v>336000</v>
      </c>
      <c r="U35" s="424">
        <f t="shared" si="10"/>
        <v>2457666.9696</v>
      </c>
      <c r="V35" s="424">
        <f>P35+Q35+R35+S35+T35+U35</f>
        <v>3017666.9696</v>
      </c>
      <c r="W35" s="424">
        <v>12</v>
      </c>
      <c r="X35" s="424">
        <f>V35/W35</f>
        <v>251472.247466667</v>
      </c>
      <c r="Y35" s="424"/>
      <c r="Z35" s="435">
        <f>X35</f>
        <v>251472.247466667</v>
      </c>
      <c r="AA35" s="424">
        <v>161106.806858667</v>
      </c>
      <c r="AB35" s="424">
        <f>Z35-AA35</f>
        <v>90365.440607999597</v>
      </c>
      <c r="AC35" s="436"/>
      <c r="AD35" s="436"/>
      <c r="AE35" s="436"/>
    </row>
    <row r="36" spans="1:31" ht="18" x14ac:dyDescent="0.15">
      <c r="A36" s="421"/>
      <c r="B36" s="16" t="s">
        <v>116</v>
      </c>
      <c r="C36" s="424">
        <v>353029.66666666698</v>
      </c>
      <c r="D36" s="423">
        <v>12</v>
      </c>
      <c r="E36" s="424">
        <f>C36*D36</f>
        <v>4236356</v>
      </c>
      <c r="F36" s="424"/>
      <c r="G36" s="425">
        <v>281308.48</v>
      </c>
      <c r="H36" s="424"/>
      <c r="I36" s="424">
        <f>E36-F36-G36-H36</f>
        <v>3955047.52</v>
      </c>
      <c r="J36" s="424">
        <v>200000</v>
      </c>
      <c r="K36" s="424">
        <v>0.2</v>
      </c>
      <c r="L36" s="424">
        <f>I36*K36</f>
        <v>791009.504000001</v>
      </c>
      <c r="M36" s="424">
        <f>J36+L36</f>
        <v>991009.504000001</v>
      </c>
      <c r="N36" s="424">
        <f>F36+G36+H36+M36</f>
        <v>1272317.9839999999</v>
      </c>
      <c r="O36" s="424">
        <f>E36-N36</f>
        <v>2964038.0159999998</v>
      </c>
      <c r="P36" s="424">
        <f t="shared" si="5"/>
        <v>21000</v>
      </c>
      <c r="Q36" s="424">
        <f t="shared" si="26"/>
        <v>33000</v>
      </c>
      <c r="R36" s="424">
        <f t="shared" si="27"/>
        <v>75000</v>
      </c>
      <c r="S36" s="424">
        <f t="shared" si="28"/>
        <v>95000</v>
      </c>
      <c r="T36" s="424">
        <f t="shared" si="29"/>
        <v>286447.983360001</v>
      </c>
      <c r="U36" s="424"/>
      <c r="V36" s="424">
        <f>P36+Q36+R36+S36+T36+U36</f>
        <v>510447.983360001</v>
      </c>
      <c r="W36" s="424">
        <v>12</v>
      </c>
      <c r="X36" s="424">
        <f>V36/W36</f>
        <v>42537.331946666702</v>
      </c>
      <c r="Y36" s="424"/>
      <c r="Z36" s="435">
        <f>X36</f>
        <v>42537.331946666702</v>
      </c>
      <c r="AA36" s="436">
        <v>17042.713866666702</v>
      </c>
      <c r="AB36" s="424">
        <f t="shared" ref="AB36:AB37" si="30">Z36-AA36</f>
        <v>25494.61808</v>
      </c>
      <c r="AC36" s="436"/>
      <c r="AD36" s="436"/>
      <c r="AE36" s="436"/>
    </row>
    <row r="37" spans="1:31" ht="18" x14ac:dyDescent="0.15">
      <c r="A37" s="421">
        <v>33</v>
      </c>
      <c r="B37" s="9" t="s">
        <v>118</v>
      </c>
      <c r="C37" s="422">
        <v>360965.58333333302</v>
      </c>
      <c r="D37" s="423">
        <v>12</v>
      </c>
      <c r="E37" s="424">
        <f>C37*D37</f>
        <v>4331587</v>
      </c>
      <c r="F37" s="424"/>
      <c r="G37" s="425">
        <v>288926.96000000002</v>
      </c>
      <c r="H37" s="424"/>
      <c r="I37" s="424">
        <f>E37-F37-G37-H37</f>
        <v>4042660.04</v>
      </c>
      <c r="J37" s="424">
        <v>200000</v>
      </c>
      <c r="K37" s="424">
        <v>0.2</v>
      </c>
      <c r="L37" s="424">
        <f>I37*K37</f>
        <v>808532.00799999898</v>
      </c>
      <c r="M37" s="424">
        <f>J37+L37</f>
        <v>1008532.008</v>
      </c>
      <c r="N37" s="424">
        <f>F37+G37+H37+M37</f>
        <v>1297458.9680000001</v>
      </c>
      <c r="O37" s="424">
        <f>E37-N37</f>
        <v>3034128.0320000001</v>
      </c>
      <c r="P37" s="424">
        <f t="shared" si="5"/>
        <v>21000</v>
      </c>
      <c r="Q37" s="424">
        <f t="shared" si="26"/>
        <v>33000</v>
      </c>
      <c r="R37" s="424">
        <f t="shared" si="27"/>
        <v>75000</v>
      </c>
      <c r="S37" s="424">
        <f t="shared" si="28"/>
        <v>95000</v>
      </c>
      <c r="T37" s="424">
        <f t="shared" si="29"/>
        <v>301166.88671999902</v>
      </c>
      <c r="U37" s="424"/>
      <c r="V37" s="424">
        <f>P37+Q37+R37+S37+T37+U37</f>
        <v>525166.88671999902</v>
      </c>
      <c r="W37" s="424">
        <v>12</v>
      </c>
      <c r="X37" s="424">
        <f>V37/W37</f>
        <v>43763.907226666597</v>
      </c>
      <c r="Y37" s="424"/>
      <c r="Z37" s="435">
        <f>X37</f>
        <v>43763.907226666597</v>
      </c>
      <c r="AA37" s="436">
        <v>26339.0784066667</v>
      </c>
      <c r="AB37" s="424">
        <f t="shared" si="30"/>
        <v>17424.828819999901</v>
      </c>
      <c r="AC37" s="436"/>
      <c r="AD37" s="436"/>
      <c r="AE37" s="436"/>
    </row>
    <row r="38" spans="1:31" ht="18" x14ac:dyDescent="0.2">
      <c r="A38" s="421"/>
      <c r="B38" s="12"/>
      <c r="C38" s="426"/>
      <c r="D38" s="423"/>
      <c r="E38" s="424"/>
      <c r="F38" s="427"/>
      <c r="G38" s="427">
        <v>0</v>
      </c>
      <c r="H38" s="427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31"/>
      <c r="X38" s="424"/>
      <c r="Y38" s="427"/>
      <c r="Z38" s="435"/>
      <c r="AA38" s="436"/>
      <c r="AB38" s="436"/>
      <c r="AC38" s="436"/>
      <c r="AD38" s="436"/>
      <c r="AE38" s="436"/>
    </row>
    <row r="39" spans="1:31" ht="18" x14ac:dyDescent="0.15">
      <c r="A39" s="421"/>
      <c r="B39" s="21" t="s">
        <v>125</v>
      </c>
      <c r="C39" s="424"/>
      <c r="D39" s="423"/>
      <c r="E39" s="424"/>
      <c r="F39" s="427"/>
      <c r="G39" s="427">
        <v>0</v>
      </c>
      <c r="H39" s="427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31"/>
      <c r="X39" s="424"/>
      <c r="Y39" s="427"/>
      <c r="Z39" s="435"/>
      <c r="AA39" s="436"/>
      <c r="AB39" s="436"/>
      <c r="AC39" s="436"/>
      <c r="AD39" s="436"/>
      <c r="AE39" s="436"/>
    </row>
    <row r="40" spans="1:31" ht="31.5" x14ac:dyDescent="0.2">
      <c r="A40" s="421">
        <v>35</v>
      </c>
      <c r="B40" s="9" t="s">
        <v>536</v>
      </c>
      <c r="C40" s="422">
        <v>1635720</v>
      </c>
      <c r="D40" s="423">
        <v>12</v>
      </c>
      <c r="E40" s="424">
        <f>C40*D40</f>
        <v>19628640</v>
      </c>
      <c r="F40" s="424"/>
      <c r="G40" s="425">
        <v>1378291.2</v>
      </c>
      <c r="H40" s="424"/>
      <c r="I40" s="424">
        <f t="shared" ref="I40:I50" si="31">E40-F40-G40-H40</f>
        <v>18250348.800000001</v>
      </c>
      <c r="J40" s="424">
        <v>200000</v>
      </c>
      <c r="K40" s="424">
        <v>0.2</v>
      </c>
      <c r="L40" s="424">
        <f>I40*K40</f>
        <v>3650069.76</v>
      </c>
      <c r="M40" s="424">
        <f>J40+L40</f>
        <v>3850069.76</v>
      </c>
      <c r="N40" s="424">
        <f t="shared" ref="N40:N50" si="32">F40+G40+H40+M40</f>
        <v>5228360.96</v>
      </c>
      <c r="O40" s="424">
        <f t="shared" ref="O40:O50" si="33">E40-N40</f>
        <v>14400279.039999999</v>
      </c>
      <c r="P40" s="424">
        <f>IF(O40&lt;300000,0.07*O40,21000)</f>
        <v>21000</v>
      </c>
      <c r="Q40" s="424">
        <f>IF((O40-300000)&lt;0,0,IF((O40-300000)&lt;300000,0.11*(O40-300000),33000))</f>
        <v>33000</v>
      </c>
      <c r="R40" s="424">
        <f>IF((O40-600000)&lt;0,0,IF((O40-600000)&lt;500000,0.15*(O40-600000),75000))</f>
        <v>75000</v>
      </c>
      <c r="S40" s="424">
        <f>IF((O40-1100000)&lt;0,0,IF((O40-1100000)&lt;500000,0.19*(O40-1100000),95000))</f>
        <v>95000</v>
      </c>
      <c r="T40" s="424">
        <f>IF((O40-1600000)&lt;0,0,IF((O40-1600000)&lt;1600000,0.21*(O40-1600000),336000))</f>
        <v>336000</v>
      </c>
      <c r="U40" s="424">
        <f>0.24*(O40-3200000)</f>
        <v>2688066.9696</v>
      </c>
      <c r="V40" s="424">
        <f>P40+Q40+R40+S40+T40+U40</f>
        <v>3248066.9696</v>
      </c>
      <c r="W40" s="431">
        <v>12</v>
      </c>
      <c r="X40" s="424">
        <f>V40/W40</f>
        <v>270672.24746666697</v>
      </c>
      <c r="Y40" s="424"/>
      <c r="Z40" s="435">
        <f>X40</f>
        <v>270672.24746666697</v>
      </c>
      <c r="AA40" s="436">
        <v>180306.806858667</v>
      </c>
      <c r="AB40" s="436">
        <f>Z40-AA40</f>
        <v>90365.440607999597</v>
      </c>
      <c r="AC40" s="436"/>
      <c r="AD40" s="436"/>
      <c r="AE40" s="436"/>
    </row>
    <row r="41" spans="1:31" ht="18" x14ac:dyDescent="0.15">
      <c r="A41" s="421">
        <v>36</v>
      </c>
      <c r="B41" s="9" t="s">
        <v>538</v>
      </c>
      <c r="C41" s="424">
        <v>780675.58333333302</v>
      </c>
      <c r="D41" s="423">
        <v>12</v>
      </c>
      <c r="E41" s="424">
        <f t="shared" ref="E41:E50" si="34">C41*D41</f>
        <v>9368107</v>
      </c>
      <c r="F41" s="427"/>
      <c r="G41" s="425">
        <v>595848.56000000006</v>
      </c>
      <c r="H41" s="427"/>
      <c r="I41" s="424">
        <f t="shared" si="31"/>
        <v>8772258.4399999995</v>
      </c>
      <c r="J41" s="424">
        <v>200000</v>
      </c>
      <c r="K41" s="424">
        <v>0.2</v>
      </c>
      <c r="L41" s="424">
        <f t="shared" si="1"/>
        <v>1754451.6880000001</v>
      </c>
      <c r="M41" s="424">
        <f t="shared" si="2"/>
        <v>1954451.6880000001</v>
      </c>
      <c r="N41" s="424">
        <f t="shared" si="32"/>
        <v>2550300.2480000001</v>
      </c>
      <c r="O41" s="424">
        <f t="shared" si="33"/>
        <v>6817806.7520000003</v>
      </c>
      <c r="P41" s="424">
        <f t="shared" si="5"/>
        <v>21000</v>
      </c>
      <c r="Q41" s="424">
        <f t="shared" si="6"/>
        <v>33000</v>
      </c>
      <c r="R41" s="424">
        <f t="shared" si="7"/>
        <v>75000</v>
      </c>
      <c r="S41" s="424">
        <f t="shared" si="8"/>
        <v>95000</v>
      </c>
      <c r="T41" s="424">
        <f t="shared" si="9"/>
        <v>336000</v>
      </c>
      <c r="U41" s="424">
        <f t="shared" si="10"/>
        <v>868273.62047999899</v>
      </c>
      <c r="V41" s="424">
        <f t="shared" si="11"/>
        <v>1428273.62048</v>
      </c>
      <c r="W41" s="431">
        <v>12</v>
      </c>
      <c r="X41" s="424">
        <f t="shared" si="12"/>
        <v>119022.801706667</v>
      </c>
      <c r="Y41" s="427"/>
      <c r="Z41" s="435">
        <f t="shared" si="13"/>
        <v>119022.801706667</v>
      </c>
      <c r="AA41" s="436">
        <v>79956.9391466667</v>
      </c>
      <c r="AB41" s="436">
        <f t="shared" ref="AB41:AB50" si="35">Z41-AA41</f>
        <v>39065.8625599999</v>
      </c>
      <c r="AC41" s="436"/>
      <c r="AD41" s="436"/>
      <c r="AE41" s="436"/>
    </row>
    <row r="42" spans="1:31" ht="18" x14ac:dyDescent="0.15">
      <c r="A42" s="421">
        <v>37</v>
      </c>
      <c r="B42" s="9" t="s">
        <v>126</v>
      </c>
      <c r="C42" s="424">
        <v>919203.58333333302</v>
      </c>
      <c r="D42" s="423">
        <v>12</v>
      </c>
      <c r="E42" s="424">
        <f t="shared" si="34"/>
        <v>11030443</v>
      </c>
      <c r="F42" s="427"/>
      <c r="G42" s="425">
        <v>709635.44</v>
      </c>
      <c r="H42" s="427"/>
      <c r="I42" s="424">
        <f t="shared" si="31"/>
        <v>10320807.560000001</v>
      </c>
      <c r="J42" s="424">
        <v>200000</v>
      </c>
      <c r="K42" s="424">
        <v>0.2</v>
      </c>
      <c r="L42" s="424">
        <f t="shared" si="1"/>
        <v>2064161.5120000001</v>
      </c>
      <c r="M42" s="424">
        <f t="shared" si="2"/>
        <v>2264161.5120000001</v>
      </c>
      <c r="N42" s="424">
        <f t="shared" si="32"/>
        <v>2973796.952</v>
      </c>
      <c r="O42" s="424">
        <f t="shared" si="33"/>
        <v>8056646.0480000004</v>
      </c>
      <c r="P42" s="424">
        <f t="shared" si="5"/>
        <v>21000</v>
      </c>
      <c r="Q42" s="424">
        <f t="shared" si="6"/>
        <v>33000</v>
      </c>
      <c r="R42" s="424">
        <f t="shared" si="7"/>
        <v>75000</v>
      </c>
      <c r="S42" s="424">
        <f t="shared" si="8"/>
        <v>95000</v>
      </c>
      <c r="T42" s="424">
        <f t="shared" si="9"/>
        <v>336000</v>
      </c>
      <c r="U42" s="424">
        <f t="shared" si="10"/>
        <v>1165595.05152</v>
      </c>
      <c r="V42" s="424">
        <f t="shared" si="11"/>
        <v>1725595.05152</v>
      </c>
      <c r="W42" s="431">
        <v>12</v>
      </c>
      <c r="X42" s="424">
        <f t="shared" si="12"/>
        <v>143799.58762666699</v>
      </c>
      <c r="Y42" s="427"/>
      <c r="Z42" s="435">
        <f t="shared" si="13"/>
        <v>143799.58762666699</v>
      </c>
      <c r="AA42" s="436">
        <v>97273.513850666699</v>
      </c>
      <c r="AB42" s="436">
        <f t="shared" si="35"/>
        <v>46526.073775999903</v>
      </c>
      <c r="AC42" s="436"/>
      <c r="AD42" s="436"/>
      <c r="AE42" s="436"/>
    </row>
    <row r="43" spans="1:31" ht="18" x14ac:dyDescent="0.15">
      <c r="A43" s="421">
        <v>38</v>
      </c>
      <c r="B43" s="9" t="s">
        <v>129</v>
      </c>
      <c r="C43" s="424">
        <v>780675.58333333302</v>
      </c>
      <c r="D43" s="423">
        <v>12</v>
      </c>
      <c r="E43" s="424">
        <f t="shared" si="34"/>
        <v>9368107</v>
      </c>
      <c r="F43" s="427"/>
      <c r="G43" s="425">
        <v>595848.56000000006</v>
      </c>
      <c r="H43" s="427"/>
      <c r="I43" s="424">
        <f t="shared" si="31"/>
        <v>8772258.4399999995</v>
      </c>
      <c r="J43" s="424">
        <v>200000</v>
      </c>
      <c r="K43" s="424">
        <v>0.2</v>
      </c>
      <c r="L43" s="424">
        <f t="shared" si="1"/>
        <v>1754451.6880000001</v>
      </c>
      <c r="M43" s="424">
        <f t="shared" si="2"/>
        <v>1954451.6880000001</v>
      </c>
      <c r="N43" s="424">
        <f t="shared" si="32"/>
        <v>2550300.2480000001</v>
      </c>
      <c r="O43" s="424">
        <f t="shared" si="33"/>
        <v>6817806.7520000003</v>
      </c>
      <c r="P43" s="424">
        <f t="shared" si="5"/>
        <v>21000</v>
      </c>
      <c r="Q43" s="424">
        <f t="shared" si="6"/>
        <v>33000</v>
      </c>
      <c r="R43" s="424">
        <f t="shared" si="7"/>
        <v>75000</v>
      </c>
      <c r="S43" s="424">
        <f t="shared" si="8"/>
        <v>95000</v>
      </c>
      <c r="T43" s="424">
        <f t="shared" si="9"/>
        <v>336000</v>
      </c>
      <c r="U43" s="424">
        <f t="shared" si="10"/>
        <v>868273.62047999899</v>
      </c>
      <c r="V43" s="424">
        <f t="shared" si="11"/>
        <v>1428273.62048</v>
      </c>
      <c r="W43" s="431">
        <v>12</v>
      </c>
      <c r="X43" s="424">
        <f t="shared" si="12"/>
        <v>119022.801706667</v>
      </c>
      <c r="Y43" s="427"/>
      <c r="Z43" s="435">
        <f t="shared" si="13"/>
        <v>119022.801706667</v>
      </c>
      <c r="AA43" s="436">
        <v>79956.9391466667</v>
      </c>
      <c r="AB43" s="436">
        <f t="shared" si="35"/>
        <v>39065.8625599999</v>
      </c>
      <c r="AC43" s="436"/>
      <c r="AD43" s="436"/>
      <c r="AE43" s="436"/>
    </row>
    <row r="44" spans="1:31" ht="18" x14ac:dyDescent="0.15">
      <c r="A44" s="421">
        <v>39</v>
      </c>
      <c r="B44" s="9" t="s">
        <v>132</v>
      </c>
      <c r="C44" s="424">
        <v>780675.58333333302</v>
      </c>
      <c r="D44" s="423">
        <v>12</v>
      </c>
      <c r="E44" s="424">
        <f t="shared" si="34"/>
        <v>9368107</v>
      </c>
      <c r="F44" s="424">
        <f>'[8]JANUARY 2024'!$V$47*12</f>
        <v>10052.25</v>
      </c>
      <c r="G44" s="425">
        <v>595848.56000000006</v>
      </c>
      <c r="H44" s="427"/>
      <c r="I44" s="424">
        <f t="shared" si="31"/>
        <v>8762206.1899999995</v>
      </c>
      <c r="J44" s="424">
        <v>200000</v>
      </c>
      <c r="K44" s="424">
        <v>0.2</v>
      </c>
      <c r="L44" s="424">
        <f t="shared" si="1"/>
        <v>1752441.2379999999</v>
      </c>
      <c r="M44" s="424">
        <f t="shared" si="2"/>
        <v>1952441.2379999999</v>
      </c>
      <c r="N44" s="424">
        <f t="shared" si="32"/>
        <v>2558342.048</v>
      </c>
      <c r="O44" s="424">
        <f t="shared" si="33"/>
        <v>6809764.9519999996</v>
      </c>
      <c r="P44" s="424">
        <f t="shared" si="5"/>
        <v>21000</v>
      </c>
      <c r="Q44" s="424">
        <f t="shared" si="6"/>
        <v>33000</v>
      </c>
      <c r="R44" s="424">
        <f t="shared" si="7"/>
        <v>75000</v>
      </c>
      <c r="S44" s="424">
        <f t="shared" si="8"/>
        <v>95000</v>
      </c>
      <c r="T44" s="424">
        <f t="shared" si="9"/>
        <v>336000</v>
      </c>
      <c r="U44" s="424">
        <f t="shared" si="10"/>
        <v>866343.58847999899</v>
      </c>
      <c r="V44" s="424">
        <f t="shared" si="11"/>
        <v>1426343.5884799999</v>
      </c>
      <c r="W44" s="431">
        <v>12</v>
      </c>
      <c r="X44" s="424">
        <f t="shared" si="12"/>
        <v>118861.965706667</v>
      </c>
      <c r="Y44" s="427"/>
      <c r="Z44" s="435">
        <f t="shared" si="13"/>
        <v>118861.965706667</v>
      </c>
      <c r="AA44" s="436">
        <v>79796.103146666603</v>
      </c>
      <c r="AB44" s="436">
        <f t="shared" si="35"/>
        <v>39065.862560000001</v>
      </c>
      <c r="AC44" s="436"/>
      <c r="AD44" s="436"/>
      <c r="AE44" s="436"/>
    </row>
    <row r="45" spans="1:31" ht="18" x14ac:dyDescent="0.15">
      <c r="A45" s="421">
        <v>40</v>
      </c>
      <c r="B45" s="9" t="s">
        <v>133</v>
      </c>
      <c r="C45" s="424">
        <v>742118.08333333302</v>
      </c>
      <c r="D45" s="423">
        <v>12</v>
      </c>
      <c r="E45" s="424">
        <f t="shared" si="34"/>
        <v>8905417</v>
      </c>
      <c r="F45" s="424"/>
      <c r="G45" s="425">
        <v>558833.36</v>
      </c>
      <c r="H45" s="427"/>
      <c r="I45" s="424">
        <f t="shared" si="31"/>
        <v>8346583.6399999997</v>
      </c>
      <c r="J45" s="424">
        <v>200000</v>
      </c>
      <c r="K45" s="424">
        <v>0.2</v>
      </c>
      <c r="L45" s="424">
        <f t="shared" si="1"/>
        <v>1669316.7279999999</v>
      </c>
      <c r="M45" s="424">
        <f t="shared" si="2"/>
        <v>1869316.7279999999</v>
      </c>
      <c r="N45" s="424">
        <f t="shared" si="32"/>
        <v>2428150.088</v>
      </c>
      <c r="O45" s="424">
        <f t="shared" si="33"/>
        <v>6477266.9119999995</v>
      </c>
      <c r="P45" s="424">
        <f t="shared" si="5"/>
        <v>21000</v>
      </c>
      <c r="Q45" s="424">
        <f t="shared" si="6"/>
        <v>33000</v>
      </c>
      <c r="R45" s="424">
        <f t="shared" si="7"/>
        <v>75000</v>
      </c>
      <c r="S45" s="424">
        <f t="shared" si="8"/>
        <v>95000</v>
      </c>
      <c r="T45" s="424">
        <f t="shared" si="9"/>
        <v>336000</v>
      </c>
      <c r="U45" s="424">
        <f t="shared" si="10"/>
        <v>786544.05887999898</v>
      </c>
      <c r="V45" s="424">
        <f t="shared" si="11"/>
        <v>1346544.0588799999</v>
      </c>
      <c r="W45" s="431">
        <v>12</v>
      </c>
      <c r="X45" s="424">
        <f t="shared" si="12"/>
        <v>112212.004906667</v>
      </c>
      <c r="Y45" s="427"/>
      <c r="Z45" s="435">
        <f t="shared" si="13"/>
        <v>112212.004906667</v>
      </c>
      <c r="AA45" s="436">
        <v>75572.915690666705</v>
      </c>
      <c r="AB45" s="436">
        <f t="shared" si="35"/>
        <v>36639.089215999898</v>
      </c>
      <c r="AC45" s="436"/>
      <c r="AD45" s="436"/>
      <c r="AE45" s="436"/>
    </row>
    <row r="46" spans="1:31" ht="18" x14ac:dyDescent="0.15">
      <c r="A46" s="421">
        <v>41</v>
      </c>
      <c r="B46" s="12" t="s">
        <v>134</v>
      </c>
      <c r="C46" s="424">
        <v>610498</v>
      </c>
      <c r="D46" s="423">
        <v>12</v>
      </c>
      <c r="E46" s="424">
        <f t="shared" si="34"/>
        <v>7325976</v>
      </c>
      <c r="F46" s="424"/>
      <c r="G46" s="425">
        <v>451678.08</v>
      </c>
      <c r="H46" s="427"/>
      <c r="I46" s="424">
        <f t="shared" si="31"/>
        <v>6874297.9199999999</v>
      </c>
      <c r="J46" s="424">
        <v>200000</v>
      </c>
      <c r="K46" s="424">
        <v>0.2</v>
      </c>
      <c r="L46" s="424">
        <f t="shared" si="1"/>
        <v>1374859.584</v>
      </c>
      <c r="M46" s="424">
        <f t="shared" si="2"/>
        <v>1574859.584</v>
      </c>
      <c r="N46" s="424">
        <f t="shared" si="32"/>
        <v>2026537.6640000001</v>
      </c>
      <c r="O46" s="424">
        <f t="shared" si="33"/>
        <v>5299438.3360000001</v>
      </c>
      <c r="P46" s="424">
        <f t="shared" si="5"/>
        <v>21000</v>
      </c>
      <c r="Q46" s="424">
        <f t="shared" si="6"/>
        <v>33000</v>
      </c>
      <c r="R46" s="424">
        <f t="shared" si="7"/>
        <v>75000</v>
      </c>
      <c r="S46" s="424">
        <f t="shared" si="8"/>
        <v>95000</v>
      </c>
      <c r="T46" s="424">
        <f t="shared" si="9"/>
        <v>336000</v>
      </c>
      <c r="U46" s="424">
        <f t="shared" si="10"/>
        <v>503865.20064</v>
      </c>
      <c r="V46" s="424">
        <f t="shared" si="11"/>
        <v>1063865.2006399999</v>
      </c>
      <c r="W46" s="431">
        <v>12</v>
      </c>
      <c r="X46" s="424">
        <f t="shared" si="12"/>
        <v>88655.4333866667</v>
      </c>
      <c r="Y46" s="427"/>
      <c r="Z46" s="435">
        <f t="shared" si="13"/>
        <v>88655.4333866667</v>
      </c>
      <c r="AA46" s="436">
        <v>58026.609434666701</v>
      </c>
      <c r="AB46" s="436">
        <f t="shared" si="35"/>
        <v>30628.823951999999</v>
      </c>
      <c r="AC46" s="436"/>
      <c r="AD46" s="436"/>
      <c r="AE46" s="436"/>
    </row>
    <row r="47" spans="1:31" ht="18" x14ac:dyDescent="0.15">
      <c r="A47" s="421">
        <v>42</v>
      </c>
      <c r="B47" s="9" t="s">
        <v>138</v>
      </c>
      <c r="C47" s="424">
        <v>400965.58333333302</v>
      </c>
      <c r="D47" s="423">
        <v>12</v>
      </c>
      <c r="E47" s="424">
        <f t="shared" si="34"/>
        <v>4811587</v>
      </c>
      <c r="F47" s="424"/>
      <c r="G47" s="425">
        <v>288926.96000000002</v>
      </c>
      <c r="H47" s="427"/>
      <c r="I47" s="424">
        <f t="shared" si="31"/>
        <v>4522660.04</v>
      </c>
      <c r="J47" s="424">
        <v>200000</v>
      </c>
      <c r="K47" s="424">
        <v>0.2</v>
      </c>
      <c r="L47" s="424">
        <f t="shared" si="1"/>
        <v>904532.00799999898</v>
      </c>
      <c r="M47" s="424">
        <f t="shared" si="2"/>
        <v>1104532.0079999999</v>
      </c>
      <c r="N47" s="424">
        <f t="shared" si="32"/>
        <v>1393458.9680000001</v>
      </c>
      <c r="O47" s="424">
        <f t="shared" si="33"/>
        <v>3418128.0320000001</v>
      </c>
      <c r="P47" s="424">
        <f t="shared" si="5"/>
        <v>21000</v>
      </c>
      <c r="Q47" s="424">
        <f t="shared" si="6"/>
        <v>33000</v>
      </c>
      <c r="R47" s="424">
        <f t="shared" si="7"/>
        <v>75000</v>
      </c>
      <c r="S47" s="424">
        <f t="shared" si="8"/>
        <v>95000</v>
      </c>
      <c r="T47" s="424">
        <f t="shared" si="9"/>
        <v>336000</v>
      </c>
      <c r="U47" s="424">
        <f t="shared" si="10"/>
        <v>52350.727679999203</v>
      </c>
      <c r="V47" s="424">
        <f t="shared" si="11"/>
        <v>612350.72767999896</v>
      </c>
      <c r="W47" s="431">
        <v>12</v>
      </c>
      <c r="X47" s="424">
        <f t="shared" si="12"/>
        <v>51029.227306666602</v>
      </c>
      <c r="Y47" s="427"/>
      <c r="Z47" s="435">
        <f t="shared" si="13"/>
        <v>51029.227306666602</v>
      </c>
      <c r="AA47" s="436">
        <v>33059.078406666697</v>
      </c>
      <c r="AB47" s="436">
        <f t="shared" si="35"/>
        <v>17970.148899999898</v>
      </c>
      <c r="AC47" s="436"/>
      <c r="AD47" s="436"/>
      <c r="AE47" s="436"/>
    </row>
    <row r="48" spans="1:31" ht="18" x14ac:dyDescent="0.15">
      <c r="A48" s="421">
        <v>43</v>
      </c>
      <c r="B48" s="9" t="s">
        <v>142</v>
      </c>
      <c r="C48" s="424">
        <v>363165.33333333302</v>
      </c>
      <c r="D48" s="423">
        <v>12</v>
      </c>
      <c r="E48" s="424">
        <f t="shared" si="34"/>
        <v>4357984</v>
      </c>
      <c r="F48" s="424"/>
      <c r="G48" s="425">
        <v>252638.72</v>
      </c>
      <c r="H48" s="427"/>
      <c r="I48" s="424">
        <f t="shared" si="31"/>
        <v>4105345.28</v>
      </c>
      <c r="J48" s="424">
        <v>200000</v>
      </c>
      <c r="K48" s="424">
        <v>0.2</v>
      </c>
      <c r="L48" s="424">
        <f t="shared" si="1"/>
        <v>821069.05599999905</v>
      </c>
      <c r="M48" s="424">
        <f t="shared" si="2"/>
        <v>1021069.056</v>
      </c>
      <c r="N48" s="424">
        <f t="shared" si="32"/>
        <v>1273707.7760000001</v>
      </c>
      <c r="O48" s="424">
        <f t="shared" si="33"/>
        <v>3084276.2239999999</v>
      </c>
      <c r="P48" s="424">
        <f t="shared" si="5"/>
        <v>21000</v>
      </c>
      <c r="Q48" s="424">
        <f t="shared" si="6"/>
        <v>33000</v>
      </c>
      <c r="R48" s="424">
        <f t="shared" si="7"/>
        <v>75000</v>
      </c>
      <c r="S48" s="424">
        <f t="shared" si="8"/>
        <v>95000</v>
      </c>
      <c r="T48" s="424">
        <f t="shared" si="9"/>
        <v>311698.00703999901</v>
      </c>
      <c r="U48" s="424"/>
      <c r="V48" s="424">
        <f t="shared" si="11"/>
        <v>535698.00703999901</v>
      </c>
      <c r="W48" s="431">
        <v>12</v>
      </c>
      <c r="X48" s="424">
        <f t="shared" si="12"/>
        <v>44641.500586666603</v>
      </c>
      <c r="Y48" s="427"/>
      <c r="Z48" s="435">
        <f t="shared" si="13"/>
        <v>44641.500586666603</v>
      </c>
      <c r="AA48" s="436">
        <v>29058.4826046667</v>
      </c>
      <c r="AB48" s="436">
        <f t="shared" si="35"/>
        <v>15583.017981999899</v>
      </c>
      <c r="AC48" s="436"/>
      <c r="AD48" s="436"/>
      <c r="AE48" s="436"/>
    </row>
    <row r="49" spans="1:31" ht="18" x14ac:dyDescent="0.15">
      <c r="A49" s="421">
        <v>44</v>
      </c>
      <c r="B49" s="9" t="s">
        <v>539</v>
      </c>
      <c r="C49" s="424">
        <v>363165.33333333302</v>
      </c>
      <c r="D49" s="423">
        <v>12</v>
      </c>
      <c r="E49" s="424">
        <f t="shared" si="34"/>
        <v>4357984</v>
      </c>
      <c r="F49" s="424"/>
      <c r="G49" s="425">
        <v>252638.72</v>
      </c>
      <c r="H49" s="427"/>
      <c r="I49" s="424">
        <f t="shared" si="31"/>
        <v>4105345.28</v>
      </c>
      <c r="J49" s="424">
        <v>200000</v>
      </c>
      <c r="K49" s="424">
        <v>0.2</v>
      </c>
      <c r="L49" s="424">
        <f t="shared" si="1"/>
        <v>821069.05599999905</v>
      </c>
      <c r="M49" s="424">
        <f t="shared" si="2"/>
        <v>1021069.056</v>
      </c>
      <c r="N49" s="424">
        <f t="shared" si="32"/>
        <v>1273707.7760000001</v>
      </c>
      <c r="O49" s="424">
        <f t="shared" si="33"/>
        <v>3084276.2239999999</v>
      </c>
      <c r="P49" s="424">
        <f t="shared" si="5"/>
        <v>21000</v>
      </c>
      <c r="Q49" s="424">
        <f t="shared" si="6"/>
        <v>33000</v>
      </c>
      <c r="R49" s="424">
        <f t="shared" si="7"/>
        <v>75000</v>
      </c>
      <c r="S49" s="424">
        <f t="shared" si="8"/>
        <v>95000</v>
      </c>
      <c r="T49" s="424">
        <f t="shared" si="9"/>
        <v>311698.00703999901</v>
      </c>
      <c r="U49" s="424"/>
      <c r="V49" s="424">
        <f t="shared" si="11"/>
        <v>535698.00703999901</v>
      </c>
      <c r="W49" s="431">
        <v>12</v>
      </c>
      <c r="X49" s="424">
        <f t="shared" si="12"/>
        <v>44641.500586666603</v>
      </c>
      <c r="Y49" s="427"/>
      <c r="Z49" s="435">
        <f t="shared" si="13"/>
        <v>44641.500586666603</v>
      </c>
      <c r="AA49" s="436">
        <v>28360.952862666702</v>
      </c>
      <c r="AB49" s="436">
        <f t="shared" si="35"/>
        <v>16280.5477239999</v>
      </c>
      <c r="AC49" s="436"/>
      <c r="AD49" s="436"/>
      <c r="AE49" s="436"/>
    </row>
    <row r="50" spans="1:31" ht="18" x14ac:dyDescent="0.15">
      <c r="A50" s="421">
        <v>45</v>
      </c>
      <c r="B50" s="9" t="s">
        <v>143</v>
      </c>
      <c r="C50" s="424">
        <v>363165.33333333302</v>
      </c>
      <c r="D50" s="423">
        <v>12</v>
      </c>
      <c r="E50" s="424">
        <f t="shared" si="34"/>
        <v>4357984</v>
      </c>
      <c r="F50" s="424"/>
      <c r="G50" s="425">
        <v>252638.72</v>
      </c>
      <c r="H50" s="427"/>
      <c r="I50" s="424">
        <f t="shared" si="31"/>
        <v>4105345.28</v>
      </c>
      <c r="J50" s="424">
        <v>200000</v>
      </c>
      <c r="K50" s="424">
        <v>0.2</v>
      </c>
      <c r="L50" s="424">
        <f t="shared" si="1"/>
        <v>821069.05599999905</v>
      </c>
      <c r="M50" s="424">
        <f t="shared" si="2"/>
        <v>1021069.056</v>
      </c>
      <c r="N50" s="424">
        <f t="shared" si="32"/>
        <v>1273707.7760000001</v>
      </c>
      <c r="O50" s="424">
        <f t="shared" si="33"/>
        <v>3084276.2239999999</v>
      </c>
      <c r="P50" s="424">
        <f t="shared" si="5"/>
        <v>21000</v>
      </c>
      <c r="Q50" s="424">
        <f t="shared" si="6"/>
        <v>33000</v>
      </c>
      <c r="R50" s="424">
        <f t="shared" si="7"/>
        <v>75000</v>
      </c>
      <c r="S50" s="424">
        <f t="shared" si="8"/>
        <v>95000</v>
      </c>
      <c r="T50" s="424">
        <f t="shared" si="9"/>
        <v>311698.00703999901</v>
      </c>
      <c r="U50" s="424"/>
      <c r="V50" s="424">
        <f t="shared" si="11"/>
        <v>535698.00703999901</v>
      </c>
      <c r="W50" s="431">
        <v>12</v>
      </c>
      <c r="X50" s="424">
        <f t="shared" si="12"/>
        <v>44641.500586666603</v>
      </c>
      <c r="Y50" s="427"/>
      <c r="Z50" s="435">
        <f t="shared" si="13"/>
        <v>44641.500586666603</v>
      </c>
      <c r="AA50" s="436">
        <v>29058.4826046667</v>
      </c>
      <c r="AB50" s="436">
        <f t="shared" si="35"/>
        <v>15583.017981999899</v>
      </c>
      <c r="AC50" s="436"/>
      <c r="AD50" s="436"/>
      <c r="AE50" s="436"/>
    </row>
    <row r="51" spans="1:31" ht="18" x14ac:dyDescent="0.2">
      <c r="A51" s="421"/>
      <c r="B51" s="20"/>
      <c r="C51" s="429"/>
      <c r="D51" s="423"/>
      <c r="E51" s="424"/>
      <c r="F51" s="424"/>
      <c r="G51" s="427"/>
      <c r="H51" s="427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31"/>
      <c r="X51" s="424"/>
      <c r="Y51" s="427"/>
      <c r="Z51" s="435"/>
      <c r="AA51" s="436"/>
      <c r="AB51" s="436"/>
      <c r="AC51" s="436"/>
      <c r="AD51" s="436"/>
      <c r="AE51" s="436"/>
    </row>
    <row r="52" spans="1:31" ht="18" x14ac:dyDescent="0.15">
      <c r="A52" s="421"/>
      <c r="B52" s="18" t="s">
        <v>145</v>
      </c>
      <c r="C52" s="424"/>
      <c r="D52" s="423"/>
      <c r="E52" s="424"/>
      <c r="F52" s="424"/>
      <c r="G52" s="427"/>
      <c r="H52" s="427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31"/>
      <c r="X52" s="424"/>
      <c r="Y52" s="427"/>
      <c r="Z52" s="435"/>
      <c r="AA52" s="436"/>
      <c r="AB52" s="436"/>
      <c r="AC52" s="436"/>
      <c r="AD52" s="436"/>
      <c r="AE52" s="436"/>
    </row>
    <row r="53" spans="1:31" ht="18" x14ac:dyDescent="0.15">
      <c r="A53" s="421">
        <v>47</v>
      </c>
      <c r="B53" s="9" t="s">
        <v>146</v>
      </c>
      <c r="C53" s="424">
        <v>1635720</v>
      </c>
      <c r="D53" s="423">
        <v>12</v>
      </c>
      <c r="E53" s="424">
        <f>C53*D53</f>
        <v>19628640</v>
      </c>
      <c r="F53" s="424"/>
      <c r="G53" s="425">
        <v>1378291.2</v>
      </c>
      <c r="H53" s="427"/>
      <c r="I53" s="424">
        <f>E53-F53-G53-H53</f>
        <v>18250348.800000001</v>
      </c>
      <c r="J53" s="424">
        <v>200000</v>
      </c>
      <c r="K53" s="424">
        <v>0.2</v>
      </c>
      <c r="L53" s="424">
        <f t="shared" si="1"/>
        <v>3650069.76</v>
      </c>
      <c r="M53" s="424">
        <f t="shared" si="2"/>
        <v>3850069.76</v>
      </c>
      <c r="N53" s="424">
        <f>F53+G53+H53+M53</f>
        <v>5228360.96</v>
      </c>
      <c r="O53" s="424">
        <f>E53-N53</f>
        <v>14400279.039999999</v>
      </c>
      <c r="P53" s="424">
        <f t="shared" si="5"/>
        <v>21000</v>
      </c>
      <c r="Q53" s="424">
        <f t="shared" si="6"/>
        <v>33000</v>
      </c>
      <c r="R53" s="424">
        <f t="shared" si="7"/>
        <v>75000</v>
      </c>
      <c r="S53" s="424">
        <f t="shared" si="8"/>
        <v>95000</v>
      </c>
      <c r="T53" s="424">
        <f t="shared" si="9"/>
        <v>336000</v>
      </c>
      <c r="U53" s="424">
        <f t="shared" si="10"/>
        <v>2688066.9696</v>
      </c>
      <c r="V53" s="424">
        <f t="shared" si="11"/>
        <v>3248066.9696</v>
      </c>
      <c r="W53" s="431">
        <v>12</v>
      </c>
      <c r="X53" s="424">
        <f t="shared" si="12"/>
        <v>270672.24746666697</v>
      </c>
      <c r="Y53" s="427"/>
      <c r="Z53" s="435">
        <f t="shared" si="13"/>
        <v>270672.24746666697</v>
      </c>
      <c r="AA53" s="436">
        <v>180306.806858667</v>
      </c>
      <c r="AB53" s="436">
        <f>Z53-AA53</f>
        <v>90365.440607999597</v>
      </c>
      <c r="AC53" s="436"/>
      <c r="AD53" s="436"/>
      <c r="AE53" s="436"/>
    </row>
    <row r="54" spans="1:31" ht="18" x14ac:dyDescent="0.15">
      <c r="A54" s="421">
        <v>48</v>
      </c>
      <c r="B54" s="9" t="s">
        <v>148</v>
      </c>
      <c r="C54" s="424">
        <v>700675.58333333302</v>
      </c>
      <c r="D54" s="423">
        <v>12</v>
      </c>
      <c r="E54" s="424">
        <f>C54*D54</f>
        <v>8408107</v>
      </c>
      <c r="F54" s="424"/>
      <c r="G54" s="424">
        <v>595848.56000000006</v>
      </c>
      <c r="H54" s="427"/>
      <c r="I54" s="424">
        <f>E54-F54-G54-H54</f>
        <v>7812258.4400000004</v>
      </c>
      <c r="J54" s="424">
        <v>200000</v>
      </c>
      <c r="K54" s="424">
        <v>0.2</v>
      </c>
      <c r="L54" s="424">
        <f t="shared" si="1"/>
        <v>1562451.6880000001</v>
      </c>
      <c r="M54" s="424">
        <f t="shared" si="2"/>
        <v>1762451.6880000001</v>
      </c>
      <c r="N54" s="424">
        <f>F54+G54+H54+M54</f>
        <v>2358300.2480000001</v>
      </c>
      <c r="O54" s="424">
        <f>E54-N54</f>
        <v>6049806.7520000003</v>
      </c>
      <c r="P54" s="424">
        <f t="shared" si="5"/>
        <v>21000</v>
      </c>
      <c r="Q54" s="424">
        <f t="shared" si="6"/>
        <v>33000</v>
      </c>
      <c r="R54" s="424">
        <f t="shared" si="7"/>
        <v>75000</v>
      </c>
      <c r="S54" s="424">
        <f t="shared" si="8"/>
        <v>95000</v>
      </c>
      <c r="T54" s="424">
        <f t="shared" si="9"/>
        <v>336000</v>
      </c>
      <c r="U54" s="424">
        <f t="shared" si="10"/>
        <v>683953.62047999899</v>
      </c>
      <c r="V54" s="424">
        <f t="shared" si="11"/>
        <v>1243953.62048</v>
      </c>
      <c r="W54" s="431">
        <v>12</v>
      </c>
      <c r="X54" s="424">
        <f t="shared" si="12"/>
        <v>103662.801706667</v>
      </c>
      <c r="Y54" s="427"/>
      <c r="Z54" s="435">
        <f t="shared" si="13"/>
        <v>103662.801706667</v>
      </c>
      <c r="AA54" s="436">
        <v>64596.9391466667</v>
      </c>
      <c r="AB54" s="436">
        <f>Z54-AA54</f>
        <v>39065.8625599999</v>
      </c>
      <c r="AC54" s="436"/>
      <c r="AD54" s="436"/>
      <c r="AE54" s="436"/>
    </row>
    <row r="55" spans="1:31" ht="18" x14ac:dyDescent="0.2">
      <c r="A55" s="421"/>
      <c r="B55" s="18"/>
      <c r="C55" s="424"/>
      <c r="D55" s="423"/>
      <c r="E55" s="424"/>
      <c r="F55" s="424"/>
      <c r="G55" s="427">
        <v>0</v>
      </c>
      <c r="H55" s="427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31"/>
      <c r="X55" s="424"/>
      <c r="Y55" s="427"/>
      <c r="Z55" s="435"/>
      <c r="AA55" s="436"/>
      <c r="AB55" s="436"/>
      <c r="AC55" s="436"/>
      <c r="AD55" s="436"/>
      <c r="AE55" s="436"/>
    </row>
    <row r="56" spans="1:31" ht="31.5" x14ac:dyDescent="0.2">
      <c r="A56" s="421">
        <v>49</v>
      </c>
      <c r="B56" s="18" t="s">
        <v>151</v>
      </c>
      <c r="C56" s="424"/>
      <c r="D56" s="423"/>
      <c r="E56" s="424"/>
      <c r="F56" s="424"/>
      <c r="G56" s="427">
        <v>0</v>
      </c>
      <c r="H56" s="427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4"/>
      <c r="U56" s="424"/>
      <c r="V56" s="424"/>
      <c r="W56" s="431"/>
      <c r="X56" s="424"/>
      <c r="Y56" s="427"/>
      <c r="Z56" s="435"/>
      <c r="AA56" s="436"/>
      <c r="AB56" s="436"/>
      <c r="AC56" s="436"/>
      <c r="AD56" s="436"/>
      <c r="AE56" s="436"/>
    </row>
    <row r="57" spans="1:31" ht="18" x14ac:dyDescent="0.15">
      <c r="A57" s="421">
        <v>50</v>
      </c>
      <c r="B57" s="9" t="s">
        <v>541</v>
      </c>
      <c r="C57" s="424">
        <v>1635720</v>
      </c>
      <c r="D57" s="423">
        <v>12</v>
      </c>
      <c r="E57" s="424">
        <f>C57*D57</f>
        <v>19628640</v>
      </c>
      <c r="F57" s="424"/>
      <c r="G57" s="425">
        <v>0</v>
      </c>
      <c r="H57" s="427"/>
      <c r="I57" s="424">
        <f t="shared" ref="I57:I66" si="36">E57-F57-G57-H57</f>
        <v>19628640</v>
      </c>
      <c r="J57" s="424">
        <v>200000</v>
      </c>
      <c r="K57" s="424">
        <v>0.2</v>
      </c>
      <c r="L57" s="424">
        <f t="shared" si="1"/>
        <v>3925728</v>
      </c>
      <c r="M57" s="424">
        <f t="shared" si="2"/>
        <v>4125728</v>
      </c>
      <c r="N57" s="424">
        <f t="shared" ref="N57:N66" si="37">F57+G57+H57+M57</f>
        <v>4125728</v>
      </c>
      <c r="O57" s="424">
        <f t="shared" ref="O57:O66" si="38">E57-N57</f>
        <v>15502912</v>
      </c>
      <c r="P57" s="424">
        <f t="shared" si="5"/>
        <v>21000</v>
      </c>
      <c r="Q57" s="424">
        <f t="shared" si="6"/>
        <v>33000</v>
      </c>
      <c r="R57" s="424">
        <f t="shared" si="7"/>
        <v>75000</v>
      </c>
      <c r="S57" s="424">
        <f t="shared" si="8"/>
        <v>95000</v>
      </c>
      <c r="T57" s="424">
        <f t="shared" si="9"/>
        <v>336000</v>
      </c>
      <c r="U57" s="424">
        <f t="shared" si="10"/>
        <v>2952698.88</v>
      </c>
      <c r="V57" s="424">
        <f t="shared" si="11"/>
        <v>3512698.8799999999</v>
      </c>
      <c r="W57" s="431">
        <v>12</v>
      </c>
      <c r="X57" s="424">
        <f t="shared" si="12"/>
        <v>292724.90666666703</v>
      </c>
      <c r="Y57" s="427"/>
      <c r="Z57" s="435">
        <f t="shared" si="13"/>
        <v>292724.90666666703</v>
      </c>
      <c r="AA57" s="436">
        <v>180306.806858667</v>
      </c>
      <c r="AB57" s="436">
        <f>Z57-AA57</f>
        <v>112418.099808</v>
      </c>
      <c r="AC57" s="436"/>
      <c r="AD57" s="436"/>
      <c r="AE57" s="436"/>
    </row>
    <row r="58" spans="1:31" ht="23.25" customHeight="1" x14ac:dyDescent="0.15">
      <c r="A58" s="421">
        <v>51</v>
      </c>
      <c r="B58" s="313" t="s">
        <v>543</v>
      </c>
      <c r="C58" s="424">
        <v>761396.83333333302</v>
      </c>
      <c r="D58" s="423">
        <v>12</v>
      </c>
      <c r="E58" s="424">
        <f t="shared" ref="E58:E66" si="39">C58*D58</f>
        <v>9136762</v>
      </c>
      <c r="F58" s="424"/>
      <c r="G58" s="430">
        <f>48111.7466666667*12</f>
        <v>577340.96</v>
      </c>
      <c r="H58" s="427"/>
      <c r="I58" s="424">
        <f t="shared" si="36"/>
        <v>8559421.0399999991</v>
      </c>
      <c r="J58" s="424">
        <v>200000</v>
      </c>
      <c r="K58" s="424">
        <v>0.2</v>
      </c>
      <c r="L58" s="424">
        <f t="shared" si="1"/>
        <v>1711884.2080000001</v>
      </c>
      <c r="M58" s="424">
        <f t="shared" si="2"/>
        <v>1911884.2080000001</v>
      </c>
      <c r="N58" s="424">
        <f t="shared" si="37"/>
        <v>2489225.1680000001</v>
      </c>
      <c r="O58" s="424">
        <f t="shared" si="38"/>
        <v>6647536.8320000004</v>
      </c>
      <c r="P58" s="424">
        <f t="shared" si="5"/>
        <v>21000</v>
      </c>
      <c r="Q58" s="424">
        <f t="shared" si="6"/>
        <v>33000</v>
      </c>
      <c r="R58" s="424">
        <f t="shared" si="7"/>
        <v>75000</v>
      </c>
      <c r="S58" s="424">
        <f t="shared" si="8"/>
        <v>95000</v>
      </c>
      <c r="T58" s="424">
        <f t="shared" si="9"/>
        <v>336000</v>
      </c>
      <c r="U58" s="424">
        <f t="shared" si="10"/>
        <v>827408.83967999904</v>
      </c>
      <c r="V58" s="424">
        <f t="shared" si="11"/>
        <v>1387408.83968</v>
      </c>
      <c r="W58" s="431">
        <v>12</v>
      </c>
      <c r="X58" s="424">
        <f t="shared" si="12"/>
        <v>115617.40330666699</v>
      </c>
      <c r="Y58" s="427"/>
      <c r="Z58" s="435">
        <f t="shared" si="13"/>
        <v>115617.40330666699</v>
      </c>
      <c r="AA58" s="436">
        <v>77764.980266666695</v>
      </c>
      <c r="AB58" s="436">
        <f t="shared" ref="AB58:AB66" si="40">Z58-AA58</f>
        <v>37852.4230399999</v>
      </c>
      <c r="AC58" s="436"/>
      <c r="AD58" s="436"/>
      <c r="AE58" s="436"/>
    </row>
    <row r="59" spans="1:31" ht="18" x14ac:dyDescent="0.15">
      <c r="A59" s="421">
        <v>52</v>
      </c>
      <c r="B59" s="9" t="s">
        <v>155</v>
      </c>
      <c r="C59" s="424">
        <v>582746.5</v>
      </c>
      <c r="D59" s="423">
        <v>12</v>
      </c>
      <c r="E59" s="424">
        <f t="shared" si="39"/>
        <v>6992958</v>
      </c>
      <c r="F59" s="424"/>
      <c r="G59" s="425">
        <v>425036.64</v>
      </c>
      <c r="H59" s="427"/>
      <c r="I59" s="424">
        <f t="shared" si="36"/>
        <v>6567921.3600000003</v>
      </c>
      <c r="J59" s="424">
        <v>200000</v>
      </c>
      <c r="K59" s="424">
        <v>0.2</v>
      </c>
      <c r="L59" s="424">
        <f t="shared" si="1"/>
        <v>1313584.2720000001</v>
      </c>
      <c r="M59" s="424">
        <f t="shared" si="2"/>
        <v>1513584.2720000001</v>
      </c>
      <c r="N59" s="424">
        <f t="shared" si="37"/>
        <v>1938620.912</v>
      </c>
      <c r="O59" s="424">
        <f t="shared" si="38"/>
        <v>5054337.0880000005</v>
      </c>
      <c r="P59" s="424">
        <f t="shared" si="5"/>
        <v>21000</v>
      </c>
      <c r="Q59" s="424">
        <f t="shared" si="6"/>
        <v>33000</v>
      </c>
      <c r="R59" s="424">
        <f t="shared" si="7"/>
        <v>75000</v>
      </c>
      <c r="S59" s="424">
        <f t="shared" si="8"/>
        <v>95000</v>
      </c>
      <c r="T59" s="424">
        <f t="shared" si="9"/>
        <v>336000</v>
      </c>
      <c r="U59" s="424">
        <f t="shared" si="10"/>
        <v>445040.90111999999</v>
      </c>
      <c r="V59" s="424">
        <f t="shared" si="11"/>
        <v>1005040.9011200001</v>
      </c>
      <c r="W59" s="431">
        <v>12</v>
      </c>
      <c r="X59" s="424">
        <f t="shared" si="12"/>
        <v>83753.408426666603</v>
      </c>
      <c r="Y59" s="427"/>
      <c r="Z59" s="435">
        <f t="shared" si="13"/>
        <v>83753.408426666603</v>
      </c>
      <c r="AA59" s="436">
        <v>54931.249226666703</v>
      </c>
      <c r="AB59" s="436">
        <f t="shared" si="40"/>
        <v>28822.1591999999</v>
      </c>
      <c r="AC59" s="436"/>
      <c r="AD59" s="436"/>
      <c r="AE59" s="436"/>
    </row>
    <row r="60" spans="1:31" ht="18" x14ac:dyDescent="0.15">
      <c r="A60" s="421">
        <v>53</v>
      </c>
      <c r="B60" s="16" t="s">
        <v>545</v>
      </c>
      <c r="C60" s="424">
        <v>548915.91666666698</v>
      </c>
      <c r="D60" s="423">
        <v>12</v>
      </c>
      <c r="E60" s="424">
        <f t="shared" si="39"/>
        <v>6586991</v>
      </c>
      <c r="F60" s="424"/>
      <c r="G60" s="425">
        <v>411759.28</v>
      </c>
      <c r="H60" s="427"/>
      <c r="I60" s="424">
        <f t="shared" si="36"/>
        <v>6175231.7199999997</v>
      </c>
      <c r="J60" s="424">
        <v>200000</v>
      </c>
      <c r="K60" s="424">
        <v>0.2</v>
      </c>
      <c r="L60" s="424">
        <f t="shared" si="1"/>
        <v>1235046.344</v>
      </c>
      <c r="M60" s="424">
        <f t="shared" si="2"/>
        <v>1435046.344</v>
      </c>
      <c r="N60" s="424">
        <f t="shared" si="37"/>
        <v>1846805.6240000001</v>
      </c>
      <c r="O60" s="424">
        <f t="shared" si="38"/>
        <v>4740185.3760000002</v>
      </c>
      <c r="P60" s="424">
        <f t="shared" si="5"/>
        <v>21000</v>
      </c>
      <c r="Q60" s="424">
        <f t="shared" si="6"/>
        <v>33000</v>
      </c>
      <c r="R60" s="424">
        <f t="shared" si="7"/>
        <v>75000</v>
      </c>
      <c r="S60" s="424">
        <f t="shared" si="8"/>
        <v>95000</v>
      </c>
      <c r="T60" s="424">
        <f t="shared" si="9"/>
        <v>336000</v>
      </c>
      <c r="U60" s="424">
        <f t="shared" si="10"/>
        <v>369644.490240001</v>
      </c>
      <c r="V60" s="424">
        <f t="shared" si="11"/>
        <v>929644.490240001</v>
      </c>
      <c r="W60" s="431">
        <v>12</v>
      </c>
      <c r="X60" s="424">
        <f t="shared" si="12"/>
        <v>77470.374186666697</v>
      </c>
      <c r="Y60" s="427"/>
      <c r="Z60" s="435">
        <f t="shared" si="13"/>
        <v>77470.374186666697</v>
      </c>
      <c r="AA60" s="436">
        <v>49548.776186666699</v>
      </c>
      <c r="AB60" s="436">
        <f t="shared" si="40"/>
        <v>27921.598000000002</v>
      </c>
      <c r="AC60" s="436"/>
      <c r="AD60" s="436"/>
      <c r="AE60" s="436"/>
    </row>
    <row r="61" spans="1:31" ht="18" x14ac:dyDescent="0.15">
      <c r="A61" s="421">
        <v>54</v>
      </c>
      <c r="B61" s="12" t="s">
        <v>546</v>
      </c>
      <c r="C61" s="424">
        <v>624373.75</v>
      </c>
      <c r="D61" s="423">
        <v>12</v>
      </c>
      <c r="E61" s="424">
        <f t="shared" si="39"/>
        <v>7492485</v>
      </c>
      <c r="F61" s="424"/>
      <c r="G61" s="425">
        <v>464998.8</v>
      </c>
      <c r="H61" s="427"/>
      <c r="I61" s="424">
        <f t="shared" si="36"/>
        <v>7027486.2000000002</v>
      </c>
      <c r="J61" s="424">
        <v>200000</v>
      </c>
      <c r="K61" s="424">
        <v>0.2</v>
      </c>
      <c r="L61" s="424">
        <f t="shared" si="1"/>
        <v>1405497.24</v>
      </c>
      <c r="M61" s="424">
        <f t="shared" si="2"/>
        <v>1605497.24</v>
      </c>
      <c r="N61" s="424">
        <f t="shared" si="37"/>
        <v>2070496.04</v>
      </c>
      <c r="O61" s="424">
        <f t="shared" si="38"/>
        <v>5421988.96</v>
      </c>
      <c r="P61" s="424">
        <f t="shared" si="5"/>
        <v>21000</v>
      </c>
      <c r="Q61" s="424">
        <f t="shared" si="6"/>
        <v>33000</v>
      </c>
      <c r="R61" s="424">
        <f t="shared" si="7"/>
        <v>75000</v>
      </c>
      <c r="S61" s="424">
        <f t="shared" si="8"/>
        <v>95000</v>
      </c>
      <c r="T61" s="424">
        <f t="shared" si="9"/>
        <v>336000</v>
      </c>
      <c r="U61" s="424">
        <f t="shared" si="10"/>
        <v>533277.3504</v>
      </c>
      <c r="V61" s="424">
        <f t="shared" si="11"/>
        <v>1093277.3504000001</v>
      </c>
      <c r="W61" s="431">
        <v>12</v>
      </c>
      <c r="X61" s="424">
        <f t="shared" si="12"/>
        <v>91106.445866666705</v>
      </c>
      <c r="Y61" s="427"/>
      <c r="Z61" s="435">
        <f t="shared" si="13"/>
        <v>91106.445866666705</v>
      </c>
      <c r="AA61" s="436">
        <v>46666.666666666701</v>
      </c>
      <c r="AB61" s="436">
        <f t="shared" si="40"/>
        <v>44439.779199999997</v>
      </c>
      <c r="AC61" s="436"/>
      <c r="AD61" s="436"/>
      <c r="AE61" s="436"/>
    </row>
    <row r="62" spans="1:31" ht="18" x14ac:dyDescent="0.15">
      <c r="A62" s="421">
        <v>55</v>
      </c>
      <c r="B62" s="9" t="s">
        <v>161</v>
      </c>
      <c r="C62" s="424">
        <v>475703.83333333302</v>
      </c>
      <c r="D62" s="423">
        <v>12</v>
      </c>
      <c r="E62" s="424">
        <f t="shared" si="39"/>
        <v>5708446</v>
      </c>
      <c r="F62" s="424"/>
      <c r="G62" s="425">
        <v>351075.68</v>
      </c>
      <c r="H62" s="427"/>
      <c r="I62" s="424">
        <f t="shared" si="36"/>
        <v>5357370.32</v>
      </c>
      <c r="J62" s="424">
        <v>200000</v>
      </c>
      <c r="K62" s="424">
        <v>0.2</v>
      </c>
      <c r="L62" s="424">
        <f t="shared" si="1"/>
        <v>1071474.064</v>
      </c>
      <c r="M62" s="424">
        <f t="shared" si="2"/>
        <v>1271474.064</v>
      </c>
      <c r="N62" s="424">
        <f t="shared" si="37"/>
        <v>1622549.7439999999</v>
      </c>
      <c r="O62" s="424">
        <f t="shared" si="38"/>
        <v>4085896.2560000001</v>
      </c>
      <c r="P62" s="424">
        <f t="shared" si="5"/>
        <v>21000</v>
      </c>
      <c r="Q62" s="424">
        <f t="shared" si="6"/>
        <v>33000</v>
      </c>
      <c r="R62" s="424">
        <f t="shared" si="7"/>
        <v>75000</v>
      </c>
      <c r="S62" s="424">
        <f t="shared" si="8"/>
        <v>95000</v>
      </c>
      <c r="T62" s="424">
        <f t="shared" si="9"/>
        <v>336000</v>
      </c>
      <c r="U62" s="424">
        <f t="shared" si="10"/>
        <v>212615.10143999901</v>
      </c>
      <c r="V62" s="424">
        <f t="shared" si="11"/>
        <v>772615.10143999895</v>
      </c>
      <c r="W62" s="431">
        <v>12</v>
      </c>
      <c r="X62" s="424">
        <f t="shared" si="12"/>
        <v>64384.591786666599</v>
      </c>
      <c r="Y62" s="427"/>
      <c r="Z62" s="435">
        <f t="shared" si="13"/>
        <v>64384.591786666599</v>
      </c>
      <c r="AA62" s="436">
        <v>41338.951098666701</v>
      </c>
      <c r="AB62" s="436">
        <f t="shared" si="40"/>
        <v>23045.640687999901</v>
      </c>
      <c r="AC62" s="436"/>
      <c r="AD62" s="436"/>
      <c r="AE62" s="436"/>
    </row>
    <row r="63" spans="1:31" ht="18" x14ac:dyDescent="0.15">
      <c r="A63" s="421">
        <v>56</v>
      </c>
      <c r="B63" s="9" t="s">
        <v>163</v>
      </c>
      <c r="C63" s="424">
        <v>475703.83333333302</v>
      </c>
      <c r="D63" s="423">
        <v>12</v>
      </c>
      <c r="E63" s="424">
        <f t="shared" si="39"/>
        <v>5708446</v>
      </c>
      <c r="F63" s="424"/>
      <c r="G63" s="425">
        <v>351075.68</v>
      </c>
      <c r="H63" s="427"/>
      <c r="I63" s="424">
        <f t="shared" si="36"/>
        <v>5357370.32</v>
      </c>
      <c r="J63" s="424">
        <v>200000</v>
      </c>
      <c r="K63" s="424">
        <v>0.2</v>
      </c>
      <c r="L63" s="424">
        <f t="shared" si="1"/>
        <v>1071474.064</v>
      </c>
      <c r="M63" s="424">
        <f t="shared" si="2"/>
        <v>1271474.064</v>
      </c>
      <c r="N63" s="424">
        <f t="shared" si="37"/>
        <v>1622549.7439999999</v>
      </c>
      <c r="O63" s="424">
        <f t="shared" si="38"/>
        <v>4085896.2560000001</v>
      </c>
      <c r="P63" s="424">
        <f t="shared" si="5"/>
        <v>21000</v>
      </c>
      <c r="Q63" s="424">
        <f t="shared" si="6"/>
        <v>33000</v>
      </c>
      <c r="R63" s="424">
        <f t="shared" si="7"/>
        <v>75000</v>
      </c>
      <c r="S63" s="424">
        <f t="shared" si="8"/>
        <v>95000</v>
      </c>
      <c r="T63" s="424">
        <f t="shared" si="9"/>
        <v>336000</v>
      </c>
      <c r="U63" s="424">
        <f t="shared" si="10"/>
        <v>212615.10143999901</v>
      </c>
      <c r="V63" s="424">
        <f t="shared" si="11"/>
        <v>772615.10143999895</v>
      </c>
      <c r="W63" s="431">
        <v>12</v>
      </c>
      <c r="X63" s="424">
        <f t="shared" si="12"/>
        <v>64384.591786666599</v>
      </c>
      <c r="Y63" s="427"/>
      <c r="Z63" s="435">
        <f t="shared" si="13"/>
        <v>64384.591786666599</v>
      </c>
      <c r="AA63" s="436">
        <v>41338.951098666701</v>
      </c>
      <c r="AB63" s="436">
        <f t="shared" si="40"/>
        <v>23045.640687999901</v>
      </c>
      <c r="AC63" s="436"/>
      <c r="AD63" s="436"/>
      <c r="AE63" s="436"/>
    </row>
    <row r="64" spans="1:31" ht="18" x14ac:dyDescent="0.15">
      <c r="A64" s="421">
        <v>57</v>
      </c>
      <c r="B64" s="9" t="s">
        <v>164</v>
      </c>
      <c r="C64" s="424">
        <v>475703.83333333302</v>
      </c>
      <c r="D64" s="423">
        <v>12</v>
      </c>
      <c r="E64" s="424">
        <f t="shared" si="39"/>
        <v>5708446</v>
      </c>
      <c r="F64" s="424"/>
      <c r="G64" s="425">
        <v>351075.68</v>
      </c>
      <c r="H64" s="427"/>
      <c r="I64" s="424">
        <f t="shared" si="36"/>
        <v>5357370.32</v>
      </c>
      <c r="J64" s="424">
        <v>200000</v>
      </c>
      <c r="K64" s="424">
        <v>0.2</v>
      </c>
      <c r="L64" s="424">
        <f t="shared" si="1"/>
        <v>1071474.064</v>
      </c>
      <c r="M64" s="424">
        <f t="shared" si="2"/>
        <v>1271474.064</v>
      </c>
      <c r="N64" s="424">
        <f t="shared" si="37"/>
        <v>1622549.7439999999</v>
      </c>
      <c r="O64" s="424">
        <f t="shared" si="38"/>
        <v>4085896.2560000001</v>
      </c>
      <c r="P64" s="424">
        <f t="shared" si="5"/>
        <v>21000</v>
      </c>
      <c r="Q64" s="424">
        <f t="shared" si="6"/>
        <v>33000</v>
      </c>
      <c r="R64" s="424">
        <f t="shared" si="7"/>
        <v>75000</v>
      </c>
      <c r="S64" s="424">
        <f t="shared" si="8"/>
        <v>95000</v>
      </c>
      <c r="T64" s="424">
        <f t="shared" si="9"/>
        <v>336000</v>
      </c>
      <c r="U64" s="424">
        <f t="shared" si="10"/>
        <v>212615.10143999901</v>
      </c>
      <c r="V64" s="424">
        <f t="shared" si="11"/>
        <v>772615.10143999895</v>
      </c>
      <c r="W64" s="431">
        <v>12</v>
      </c>
      <c r="X64" s="424">
        <f t="shared" si="12"/>
        <v>64384.591786666599</v>
      </c>
      <c r="Y64" s="427"/>
      <c r="Z64" s="435">
        <f t="shared" si="13"/>
        <v>64384.591786666599</v>
      </c>
      <c r="AA64" s="436">
        <v>41338.951098666701</v>
      </c>
      <c r="AB64" s="436">
        <f t="shared" si="40"/>
        <v>23045.640687999901</v>
      </c>
      <c r="AC64" s="436"/>
      <c r="AD64" s="436"/>
      <c r="AE64" s="436"/>
    </row>
    <row r="65" spans="1:31" ht="18" x14ac:dyDescent="0.15">
      <c r="A65" s="421">
        <v>58</v>
      </c>
      <c r="B65" s="9" t="s">
        <v>165</v>
      </c>
      <c r="C65" s="424">
        <v>487895.16666666698</v>
      </c>
      <c r="D65" s="423">
        <v>12</v>
      </c>
      <c r="E65" s="424">
        <f t="shared" si="39"/>
        <v>5854742</v>
      </c>
      <c r="F65" s="424"/>
      <c r="G65" s="425">
        <v>362779.36</v>
      </c>
      <c r="H65" s="427"/>
      <c r="I65" s="424">
        <f t="shared" si="36"/>
        <v>5491962.6399999997</v>
      </c>
      <c r="J65" s="424">
        <v>200000</v>
      </c>
      <c r="K65" s="424">
        <v>0.2</v>
      </c>
      <c r="L65" s="424">
        <f t="shared" si="1"/>
        <v>1098392.5279999999</v>
      </c>
      <c r="M65" s="424">
        <f t="shared" si="2"/>
        <v>1298392.5279999999</v>
      </c>
      <c r="N65" s="424">
        <f t="shared" si="37"/>
        <v>1661171.888</v>
      </c>
      <c r="O65" s="424">
        <f t="shared" si="38"/>
        <v>4193570.1120000002</v>
      </c>
      <c r="P65" s="424">
        <f t="shared" si="5"/>
        <v>21000</v>
      </c>
      <c r="Q65" s="424">
        <f t="shared" si="6"/>
        <v>33000</v>
      </c>
      <c r="R65" s="424">
        <f t="shared" si="7"/>
        <v>75000</v>
      </c>
      <c r="S65" s="424">
        <f t="shared" si="8"/>
        <v>95000</v>
      </c>
      <c r="T65" s="424">
        <f t="shared" si="9"/>
        <v>336000</v>
      </c>
      <c r="U65" s="424">
        <f t="shared" si="10"/>
        <v>238456.826880001</v>
      </c>
      <c r="V65" s="424">
        <f t="shared" si="11"/>
        <v>798456.826880001</v>
      </c>
      <c r="W65" s="431">
        <v>12</v>
      </c>
      <c r="X65" s="424">
        <f t="shared" si="12"/>
        <v>66538.068906666696</v>
      </c>
      <c r="Y65" s="427"/>
      <c r="Z65" s="435">
        <f t="shared" si="13"/>
        <v>66538.068906666696</v>
      </c>
      <c r="AA65" s="436">
        <v>43368.882414666703</v>
      </c>
      <c r="AB65" s="436">
        <f t="shared" si="40"/>
        <v>23169.186492000001</v>
      </c>
      <c r="AC65" s="436"/>
      <c r="AD65" s="436"/>
      <c r="AE65" s="436"/>
    </row>
    <row r="66" spans="1:31" ht="18" x14ac:dyDescent="0.15">
      <c r="A66" s="421">
        <v>59</v>
      </c>
      <c r="B66" s="9" t="s">
        <v>168</v>
      </c>
      <c r="C66" s="424">
        <v>400965.58333333302</v>
      </c>
      <c r="D66" s="423">
        <v>12</v>
      </c>
      <c r="E66" s="424">
        <f t="shared" si="39"/>
        <v>4811587</v>
      </c>
      <c r="F66" s="424"/>
      <c r="G66" s="429">
        <v>288926.96000000002</v>
      </c>
      <c r="H66" s="427"/>
      <c r="I66" s="424">
        <f t="shared" si="36"/>
        <v>4522660.04</v>
      </c>
      <c r="J66" s="424">
        <v>200000</v>
      </c>
      <c r="K66" s="424">
        <v>0.2</v>
      </c>
      <c r="L66" s="424">
        <f t="shared" si="1"/>
        <v>904532.00799999898</v>
      </c>
      <c r="M66" s="424">
        <f t="shared" si="2"/>
        <v>1104532.0079999999</v>
      </c>
      <c r="N66" s="424">
        <f t="shared" si="37"/>
        <v>1393458.9680000001</v>
      </c>
      <c r="O66" s="424">
        <f t="shared" si="38"/>
        <v>3418128.0320000001</v>
      </c>
      <c r="P66" s="424">
        <f t="shared" si="5"/>
        <v>21000</v>
      </c>
      <c r="Q66" s="424">
        <f t="shared" si="6"/>
        <v>33000</v>
      </c>
      <c r="R66" s="424">
        <f t="shared" si="7"/>
        <v>75000</v>
      </c>
      <c r="S66" s="424">
        <f t="shared" si="8"/>
        <v>95000</v>
      </c>
      <c r="T66" s="424">
        <f t="shared" si="9"/>
        <v>336000</v>
      </c>
      <c r="U66" s="424">
        <f t="shared" si="10"/>
        <v>52350.727679999203</v>
      </c>
      <c r="V66" s="424">
        <f t="shared" si="11"/>
        <v>612350.72767999896</v>
      </c>
      <c r="W66" s="431">
        <v>12</v>
      </c>
      <c r="X66" s="424">
        <f t="shared" si="12"/>
        <v>51029.227306666602</v>
      </c>
      <c r="Y66" s="427"/>
      <c r="Z66" s="435">
        <f t="shared" si="13"/>
        <v>51029.227306666602</v>
      </c>
      <c r="AA66" s="436">
        <v>33825.986562666702</v>
      </c>
      <c r="AB66" s="436">
        <f t="shared" si="40"/>
        <v>17203.240743999901</v>
      </c>
      <c r="AC66" s="436"/>
      <c r="AD66" s="436"/>
      <c r="AE66" s="436"/>
    </row>
    <row r="67" spans="1:31" ht="18" x14ac:dyDescent="0.2">
      <c r="A67" s="421">
        <v>60</v>
      </c>
      <c r="B67" s="18"/>
      <c r="C67" s="424"/>
      <c r="D67" s="423"/>
      <c r="E67" s="424"/>
      <c r="F67" s="424"/>
      <c r="G67" s="427"/>
      <c r="H67" s="427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31"/>
      <c r="X67" s="424"/>
      <c r="Y67" s="427"/>
      <c r="Z67" s="435"/>
      <c r="AA67" s="436"/>
      <c r="AB67" s="436"/>
      <c r="AC67" s="436"/>
      <c r="AD67" s="436"/>
      <c r="AE67" s="436"/>
    </row>
    <row r="68" spans="1:31" ht="18" x14ac:dyDescent="0.2">
      <c r="A68" s="421">
        <v>61</v>
      </c>
      <c r="B68" s="20"/>
      <c r="C68" s="424"/>
      <c r="D68" s="423"/>
      <c r="E68" s="424"/>
      <c r="F68" s="424"/>
      <c r="G68" s="427"/>
      <c r="H68" s="427"/>
      <c r="I68" s="424"/>
      <c r="J68" s="424"/>
      <c r="K68" s="424"/>
      <c r="L68" s="424"/>
      <c r="M68" s="424"/>
      <c r="N68" s="424"/>
      <c r="O68" s="424"/>
      <c r="P68" s="424"/>
      <c r="Q68" s="424"/>
      <c r="R68" s="424"/>
      <c r="S68" s="424"/>
      <c r="T68" s="424"/>
      <c r="U68" s="424"/>
      <c r="V68" s="424"/>
      <c r="W68" s="431"/>
      <c r="X68" s="424"/>
      <c r="Y68" s="427"/>
      <c r="Z68" s="435"/>
      <c r="AA68" s="436"/>
      <c r="AB68" s="436"/>
      <c r="AC68" s="436"/>
      <c r="AD68" s="436"/>
      <c r="AE68" s="436"/>
    </row>
    <row r="69" spans="1:31" ht="18" x14ac:dyDescent="0.15">
      <c r="A69" s="421"/>
      <c r="B69" s="18" t="s">
        <v>169</v>
      </c>
      <c r="C69" s="424"/>
      <c r="D69" s="423"/>
      <c r="E69" s="424"/>
      <c r="F69" s="424"/>
      <c r="G69" s="427"/>
      <c r="H69" s="427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31"/>
      <c r="X69" s="424"/>
      <c r="Y69" s="427"/>
      <c r="Z69" s="435"/>
      <c r="AA69" s="436"/>
      <c r="AB69" s="436"/>
      <c r="AC69" s="436"/>
      <c r="AD69" s="436"/>
      <c r="AE69" s="436"/>
    </row>
    <row r="70" spans="1:31" ht="18" x14ac:dyDescent="0.15">
      <c r="A70" s="421"/>
      <c r="B70" s="9" t="s">
        <v>170</v>
      </c>
      <c r="C70" s="424">
        <v>1635720</v>
      </c>
      <c r="D70" s="423">
        <v>12</v>
      </c>
      <c r="E70" s="424">
        <f>C70*D70</f>
        <v>19628640</v>
      </c>
      <c r="F70" s="424"/>
      <c r="G70" s="425">
        <v>1378291.2</v>
      </c>
      <c r="H70" s="427"/>
      <c r="I70" s="424">
        <f t="shared" ref="I70:I76" si="41">E70-F70-G70-H70</f>
        <v>18250348.800000001</v>
      </c>
      <c r="J70" s="424">
        <v>200000</v>
      </c>
      <c r="K70" s="424">
        <v>0.2</v>
      </c>
      <c r="L70" s="424">
        <f t="shared" ref="L70" si="42">I70*K70</f>
        <v>3650069.76</v>
      </c>
      <c r="M70" s="424">
        <f t="shared" ref="M70" si="43">J70+L70</f>
        <v>3850069.76</v>
      </c>
      <c r="N70" s="424">
        <f t="shared" ref="N70:N76" si="44">F70+G70+H70+M70</f>
        <v>5228360.96</v>
      </c>
      <c r="O70" s="424">
        <f t="shared" ref="O70:O76" si="45">E70-N70</f>
        <v>14400279.039999999</v>
      </c>
      <c r="P70" s="424">
        <f t="shared" ref="P70" si="46">IF(O70&lt;300000,0.07*O70,21000)</f>
        <v>21000</v>
      </c>
      <c r="Q70" s="424">
        <f t="shared" ref="Q70" si="47">IF((O70-300000)&lt;0,0,IF((O70-300000)&lt;300000,0.11*(O70-300000),33000))</f>
        <v>33000</v>
      </c>
      <c r="R70" s="424">
        <f t="shared" ref="R70" si="48">IF((O70-600000)&lt;0,0,IF((O70-600000)&lt;500000,0.15*(O70-600000),75000))</f>
        <v>75000</v>
      </c>
      <c r="S70" s="424">
        <f t="shared" ref="S70" si="49">IF((O70-1100000)&lt;0,0,IF((O70-1100000)&lt;500000,0.19*(O70-1100000),95000))</f>
        <v>95000</v>
      </c>
      <c r="T70" s="424">
        <f t="shared" ref="T70" si="50">IF((O70-1600000)&lt;0,0,IF((O70-1600000)&lt;1600000,0.21*(O70-1600000),336000))</f>
        <v>336000</v>
      </c>
      <c r="U70" s="424">
        <f t="shared" ref="U70" si="51">24%*(O70-3200000)</f>
        <v>2688066.9696</v>
      </c>
      <c r="V70" s="424">
        <f t="shared" ref="V70" si="52">P70+Q70+R70+S70+T70+U70</f>
        <v>3248066.9696</v>
      </c>
      <c r="W70" s="431">
        <v>12</v>
      </c>
      <c r="X70" s="424">
        <f t="shared" ref="X70" si="53">V70/W70</f>
        <v>270672.24746666697</v>
      </c>
      <c r="Y70" s="427"/>
      <c r="Z70" s="435">
        <f t="shared" ref="Z70" si="54">X70</f>
        <v>270672.24746666697</v>
      </c>
      <c r="AA70" s="436">
        <v>180306.806858667</v>
      </c>
      <c r="AB70" s="436">
        <f>Z70-AA70</f>
        <v>90365.440607999597</v>
      </c>
      <c r="AC70" s="436"/>
      <c r="AD70" s="436"/>
      <c r="AE70" s="436"/>
    </row>
    <row r="71" spans="1:31" ht="18" x14ac:dyDescent="0.15">
      <c r="A71" s="421">
        <v>62</v>
      </c>
      <c r="B71" s="12" t="s">
        <v>547</v>
      </c>
      <c r="C71" s="424">
        <v>761396.83333333302</v>
      </c>
      <c r="D71" s="423">
        <v>12</v>
      </c>
      <c r="E71" s="424">
        <f t="shared" ref="E71:E76" si="55">C71*D71</f>
        <v>9136762</v>
      </c>
      <c r="F71" s="424"/>
      <c r="G71" s="425">
        <v>0</v>
      </c>
      <c r="H71" s="427"/>
      <c r="I71" s="424">
        <f t="shared" si="41"/>
        <v>9136762</v>
      </c>
      <c r="J71" s="424">
        <v>200000</v>
      </c>
      <c r="K71" s="424">
        <v>0.2</v>
      </c>
      <c r="L71" s="424">
        <f t="shared" si="1"/>
        <v>1827352.4</v>
      </c>
      <c r="M71" s="424">
        <f t="shared" si="2"/>
        <v>2027352.4</v>
      </c>
      <c r="N71" s="424">
        <f t="shared" si="44"/>
        <v>2027352.4</v>
      </c>
      <c r="O71" s="424">
        <f t="shared" si="45"/>
        <v>7109409.5999999996</v>
      </c>
      <c r="P71" s="424">
        <f t="shared" si="5"/>
        <v>21000</v>
      </c>
      <c r="Q71" s="424">
        <f t="shared" si="6"/>
        <v>33000</v>
      </c>
      <c r="R71" s="424">
        <f t="shared" si="7"/>
        <v>75000</v>
      </c>
      <c r="S71" s="424">
        <f t="shared" si="8"/>
        <v>95000</v>
      </c>
      <c r="T71" s="424">
        <f t="shared" si="9"/>
        <v>336000</v>
      </c>
      <c r="U71" s="424">
        <f t="shared" si="10"/>
        <v>938258.30399999896</v>
      </c>
      <c r="V71" s="424">
        <f t="shared" si="11"/>
        <v>1498258.304</v>
      </c>
      <c r="W71" s="431">
        <v>12</v>
      </c>
      <c r="X71" s="424">
        <f t="shared" si="12"/>
        <v>124854.858666667</v>
      </c>
      <c r="Y71" s="427"/>
      <c r="Z71" s="435">
        <f t="shared" si="13"/>
        <v>124854.858666667</v>
      </c>
      <c r="AA71" s="436">
        <v>77764.980266666695</v>
      </c>
      <c r="AB71" s="436">
        <f t="shared" ref="AB71:AB76" si="56">Z71-AA71</f>
        <v>47089.8783999999</v>
      </c>
      <c r="AC71" s="436"/>
      <c r="AD71" s="436"/>
      <c r="AE71" s="436"/>
    </row>
    <row r="72" spans="1:31" ht="31.5" x14ac:dyDescent="0.2">
      <c r="A72" s="421">
        <v>63</v>
      </c>
      <c r="B72" s="16" t="s">
        <v>550</v>
      </c>
      <c r="C72" s="424">
        <f>700675.583333333+80000</f>
        <v>780675.58333333302</v>
      </c>
      <c r="D72" s="423">
        <v>12</v>
      </c>
      <c r="E72" s="424">
        <f t="shared" si="55"/>
        <v>9368107</v>
      </c>
      <c r="F72" s="424"/>
      <c r="G72" s="425">
        <v>0</v>
      </c>
      <c r="H72" s="427"/>
      <c r="I72" s="424">
        <f t="shared" si="41"/>
        <v>9368107</v>
      </c>
      <c r="J72" s="424">
        <v>200000</v>
      </c>
      <c r="K72" s="424">
        <v>0.2</v>
      </c>
      <c r="L72" s="424">
        <f t="shared" si="1"/>
        <v>1873621.4</v>
      </c>
      <c r="M72" s="424">
        <f t="shared" si="2"/>
        <v>2073621.4</v>
      </c>
      <c r="N72" s="424">
        <f t="shared" si="44"/>
        <v>2073621.4</v>
      </c>
      <c r="O72" s="424">
        <f t="shared" si="45"/>
        <v>7294485.5999999996</v>
      </c>
      <c r="P72" s="424">
        <f t="shared" si="5"/>
        <v>21000</v>
      </c>
      <c r="Q72" s="424">
        <f t="shared" si="6"/>
        <v>33000</v>
      </c>
      <c r="R72" s="424">
        <f t="shared" si="7"/>
        <v>75000</v>
      </c>
      <c r="S72" s="424">
        <f t="shared" si="8"/>
        <v>95000</v>
      </c>
      <c r="T72" s="424">
        <f t="shared" si="9"/>
        <v>336000</v>
      </c>
      <c r="U72" s="424">
        <f t="shared" si="10"/>
        <v>982676.54399999895</v>
      </c>
      <c r="V72" s="424">
        <f t="shared" si="11"/>
        <v>1542676.544</v>
      </c>
      <c r="W72" s="431">
        <v>12</v>
      </c>
      <c r="X72" s="424">
        <f t="shared" si="12"/>
        <v>128556.37866666701</v>
      </c>
      <c r="Y72" s="427"/>
      <c r="Z72" s="435">
        <f t="shared" si="13"/>
        <v>128556.37866666701</v>
      </c>
      <c r="AA72" s="436">
        <v>64596.9391466667</v>
      </c>
      <c r="AB72" s="436">
        <f t="shared" si="56"/>
        <v>63959.439519999898</v>
      </c>
      <c r="AC72" s="436"/>
      <c r="AD72" s="436"/>
      <c r="AE72" s="436"/>
    </row>
    <row r="73" spans="1:31" ht="18" x14ac:dyDescent="0.15">
      <c r="A73" s="421">
        <v>64</v>
      </c>
      <c r="B73" s="9" t="s">
        <v>174</v>
      </c>
      <c r="C73" s="424">
        <v>596622.25</v>
      </c>
      <c r="D73" s="423">
        <v>12</v>
      </c>
      <c r="E73" s="424">
        <f t="shared" si="55"/>
        <v>7159467</v>
      </c>
      <c r="F73" s="424">
        <f>'[8]JANUARY 2024'!$V$78*12</f>
        <v>8019.7950000000001</v>
      </c>
      <c r="G73" s="425">
        <v>438357.36</v>
      </c>
      <c r="H73" s="427"/>
      <c r="I73" s="424">
        <f t="shared" si="41"/>
        <v>6713089.8449999997</v>
      </c>
      <c r="J73" s="424">
        <v>200000</v>
      </c>
      <c r="K73" s="424">
        <v>0.2</v>
      </c>
      <c r="L73" s="424">
        <f t="shared" si="1"/>
        <v>1342617.969</v>
      </c>
      <c r="M73" s="424">
        <f t="shared" si="2"/>
        <v>1542617.969</v>
      </c>
      <c r="N73" s="424">
        <f t="shared" si="44"/>
        <v>1988995.1240000001</v>
      </c>
      <c r="O73" s="424">
        <f t="shared" si="45"/>
        <v>5170471.8760000002</v>
      </c>
      <c r="P73" s="424">
        <f t="shared" si="5"/>
        <v>21000</v>
      </c>
      <c r="Q73" s="424">
        <f t="shared" si="6"/>
        <v>33000</v>
      </c>
      <c r="R73" s="424">
        <f t="shared" si="7"/>
        <v>75000</v>
      </c>
      <c r="S73" s="424">
        <f t="shared" si="8"/>
        <v>95000</v>
      </c>
      <c r="T73" s="424">
        <f t="shared" si="9"/>
        <v>336000</v>
      </c>
      <c r="U73" s="424">
        <f t="shared" si="10"/>
        <v>472913.25024000002</v>
      </c>
      <c r="V73" s="424">
        <f t="shared" si="11"/>
        <v>1032913.25024</v>
      </c>
      <c r="W73" s="431">
        <v>12</v>
      </c>
      <c r="X73" s="424">
        <f t="shared" si="12"/>
        <v>86076.104186666693</v>
      </c>
      <c r="Y73" s="427"/>
      <c r="Z73" s="435">
        <f t="shared" si="13"/>
        <v>86076.104186666693</v>
      </c>
      <c r="AA73" s="436">
        <v>56350.586186666696</v>
      </c>
      <c r="AB73" s="436">
        <f t="shared" si="56"/>
        <v>29725.518</v>
      </c>
      <c r="AC73" s="436"/>
      <c r="AD73" s="436"/>
      <c r="AE73" s="436"/>
    </row>
    <row r="74" spans="1:31" ht="18" x14ac:dyDescent="0.15">
      <c r="A74" s="421">
        <v>65</v>
      </c>
      <c r="B74" s="9" t="s">
        <v>181</v>
      </c>
      <c r="C74" s="424">
        <v>408901.5</v>
      </c>
      <c r="D74" s="423">
        <v>12</v>
      </c>
      <c r="E74" s="424">
        <f t="shared" si="55"/>
        <v>4906818</v>
      </c>
      <c r="F74" s="424"/>
      <c r="G74" s="425">
        <v>296545.44</v>
      </c>
      <c r="H74" s="427"/>
      <c r="I74" s="424">
        <f t="shared" si="41"/>
        <v>4610272.5599999996</v>
      </c>
      <c r="J74" s="424">
        <v>200000</v>
      </c>
      <c r="K74" s="424">
        <v>0.2</v>
      </c>
      <c r="L74" s="424">
        <f t="shared" si="1"/>
        <v>922054.51199999999</v>
      </c>
      <c r="M74" s="424">
        <f t="shared" si="2"/>
        <v>1122054.5120000001</v>
      </c>
      <c r="N74" s="424">
        <f t="shared" si="44"/>
        <v>1418599.952</v>
      </c>
      <c r="O74" s="424">
        <f t="shared" si="45"/>
        <v>3488218.048</v>
      </c>
      <c r="P74" s="424">
        <f t="shared" si="5"/>
        <v>21000</v>
      </c>
      <c r="Q74" s="424">
        <f t="shared" si="6"/>
        <v>33000</v>
      </c>
      <c r="R74" s="424">
        <f t="shared" si="7"/>
        <v>75000</v>
      </c>
      <c r="S74" s="424">
        <f t="shared" si="8"/>
        <v>95000</v>
      </c>
      <c r="T74" s="424">
        <f t="shared" si="9"/>
        <v>336000</v>
      </c>
      <c r="U74" s="424">
        <f>0.24*(O74-3200000)</f>
        <v>69172.331520000007</v>
      </c>
      <c r="V74" s="424">
        <f t="shared" si="11"/>
        <v>629172.33152000001</v>
      </c>
      <c r="W74" s="431">
        <v>12</v>
      </c>
      <c r="X74" s="424">
        <f t="shared" si="12"/>
        <v>52431.027626666699</v>
      </c>
      <c r="Y74" s="427"/>
      <c r="Z74" s="435">
        <f t="shared" si="13"/>
        <v>52431.027626666699</v>
      </c>
      <c r="AA74" s="436">
        <v>17507.548966666702</v>
      </c>
      <c r="AB74" s="436">
        <f t="shared" si="56"/>
        <v>34923.478660000001</v>
      </c>
      <c r="AC74" s="436"/>
      <c r="AD74" s="436"/>
      <c r="AE74" s="436"/>
    </row>
    <row r="75" spans="1:31" ht="24.75" customHeight="1" x14ac:dyDescent="0.15">
      <c r="A75" s="421"/>
      <c r="B75" s="9" t="s">
        <v>183</v>
      </c>
      <c r="C75" s="424">
        <v>363165.33333333302</v>
      </c>
      <c r="D75" s="423">
        <v>12</v>
      </c>
      <c r="E75" s="424">
        <f t="shared" si="55"/>
        <v>4357984</v>
      </c>
      <c r="F75" s="424"/>
      <c r="G75" s="425">
        <v>252638.72</v>
      </c>
      <c r="H75" s="427"/>
      <c r="I75" s="424">
        <f t="shared" si="41"/>
        <v>4105345.28</v>
      </c>
      <c r="J75" s="424">
        <v>200000</v>
      </c>
      <c r="K75" s="424">
        <v>0.2</v>
      </c>
      <c r="L75" s="424">
        <f t="shared" si="1"/>
        <v>821069.05599999905</v>
      </c>
      <c r="M75" s="424">
        <f t="shared" si="2"/>
        <v>1021069.056</v>
      </c>
      <c r="N75" s="424">
        <f t="shared" si="44"/>
        <v>1273707.7760000001</v>
      </c>
      <c r="O75" s="424">
        <f t="shared" si="45"/>
        <v>3084276.2239999999</v>
      </c>
      <c r="P75" s="424">
        <f t="shared" si="5"/>
        <v>21000</v>
      </c>
      <c r="Q75" s="424">
        <f t="shared" si="6"/>
        <v>33000</v>
      </c>
      <c r="R75" s="424">
        <f t="shared" si="7"/>
        <v>75000</v>
      </c>
      <c r="S75" s="424">
        <f t="shared" si="8"/>
        <v>95000</v>
      </c>
      <c r="T75" s="424">
        <f t="shared" si="9"/>
        <v>311698.00703999901</v>
      </c>
      <c r="U75" s="424"/>
      <c r="V75" s="424">
        <f t="shared" si="11"/>
        <v>535698.00703999901</v>
      </c>
      <c r="W75" s="431">
        <v>12</v>
      </c>
      <c r="X75" s="424">
        <f t="shared" si="12"/>
        <v>44641.500586666603</v>
      </c>
      <c r="Y75" s="427"/>
      <c r="Z75" s="435">
        <f t="shared" si="13"/>
        <v>44641.500586666603</v>
      </c>
      <c r="AA75" s="436">
        <v>29058.4826046667</v>
      </c>
      <c r="AB75" s="436">
        <f t="shared" si="56"/>
        <v>15583.017981999899</v>
      </c>
      <c r="AC75" s="436"/>
      <c r="AD75" s="436"/>
      <c r="AE75" s="436"/>
    </row>
    <row r="76" spans="1:31" ht="18" x14ac:dyDescent="0.15">
      <c r="A76" s="421"/>
      <c r="B76" s="9" t="s">
        <v>185</v>
      </c>
      <c r="C76" s="424">
        <v>324459.75</v>
      </c>
      <c r="D76" s="423">
        <v>12</v>
      </c>
      <c r="E76" s="424">
        <f t="shared" si="55"/>
        <v>3893517</v>
      </c>
      <c r="F76" s="424"/>
      <c r="G76" s="425">
        <v>215481.36</v>
      </c>
      <c r="H76" s="427"/>
      <c r="I76" s="424">
        <f t="shared" si="41"/>
        <v>3678035.64</v>
      </c>
      <c r="J76" s="424">
        <v>200000</v>
      </c>
      <c r="K76" s="424">
        <v>0.2</v>
      </c>
      <c r="L76" s="424">
        <f t="shared" ref="L76" si="57">I76*K76</f>
        <v>735607.12800000003</v>
      </c>
      <c r="M76" s="424">
        <f t="shared" ref="M76" si="58">J76+L76</f>
        <v>935607.12800000003</v>
      </c>
      <c r="N76" s="424">
        <f t="shared" si="44"/>
        <v>1151088.4879999999</v>
      </c>
      <c r="O76" s="424">
        <f t="shared" si="45"/>
        <v>2742428.5120000001</v>
      </c>
      <c r="P76" s="424">
        <f t="shared" ref="P76" si="59">IF(O76&lt;300000,0.07*O76,21000)</f>
        <v>21000</v>
      </c>
      <c r="Q76" s="424">
        <f t="shared" ref="Q76" si="60">IF((O76-300000)&lt;0,0,IF((O76-300000)&lt;300000,0.11*(O76-300000),33000))</f>
        <v>33000</v>
      </c>
      <c r="R76" s="424">
        <f t="shared" ref="R76" si="61">IF((O76-600000)&lt;0,0,IF((O76-600000)&lt;500000,0.15*(O76-600000),75000))</f>
        <v>75000</v>
      </c>
      <c r="S76" s="424">
        <f t="shared" ref="S76" si="62">IF((O76-1100000)&lt;0,0,IF((O76-1100000)&lt;500000,0.19*(O76-1100000),95000))</f>
        <v>95000</v>
      </c>
      <c r="T76" s="424">
        <f t="shared" ref="T76" si="63">IF((O76-1600000)&lt;0,0,IF((O76-1600000)&lt;1600000,0.21*(O76-1600000),336000))</f>
        <v>239909.98752</v>
      </c>
      <c r="U76" s="424"/>
      <c r="V76" s="424">
        <f t="shared" ref="V76" si="64">P76+Q76+R76+S76+T76+U76</f>
        <v>463909.98752000002</v>
      </c>
      <c r="W76" s="431">
        <v>12</v>
      </c>
      <c r="X76" s="424">
        <f t="shared" ref="X76" si="65">V76/W76</f>
        <v>38659.165626666698</v>
      </c>
      <c r="Y76" s="427"/>
      <c r="Z76" s="435">
        <f t="shared" ref="Z76" si="66">X76</f>
        <v>38659.165626666698</v>
      </c>
      <c r="AA76" s="436">
        <v>24751.170462666701</v>
      </c>
      <c r="AB76" s="436">
        <f t="shared" si="56"/>
        <v>13907.995164</v>
      </c>
      <c r="AC76" s="436"/>
      <c r="AD76" s="436"/>
      <c r="AE76" s="436"/>
    </row>
    <row r="77" spans="1:31" ht="18" x14ac:dyDescent="0.15">
      <c r="A77" s="421"/>
      <c r="B77" s="18" t="s">
        <v>111</v>
      </c>
      <c r="C77" s="424"/>
      <c r="D77" s="423"/>
      <c r="E77" s="424"/>
      <c r="F77" s="424"/>
      <c r="G77" s="427"/>
      <c r="H77" s="427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31"/>
      <c r="X77" s="424"/>
      <c r="Y77" s="427"/>
      <c r="Z77" s="435"/>
      <c r="AA77" s="436"/>
      <c r="AB77" s="436"/>
      <c r="AC77" s="436"/>
      <c r="AD77" s="436"/>
      <c r="AE77" s="436"/>
    </row>
    <row r="78" spans="1:31" ht="18" x14ac:dyDescent="0.2">
      <c r="A78" s="421">
        <v>66</v>
      </c>
      <c r="B78" s="18"/>
      <c r="C78" s="424"/>
      <c r="D78" s="423"/>
      <c r="E78" s="424"/>
      <c r="F78" s="424"/>
      <c r="G78" s="427"/>
      <c r="H78" s="427"/>
      <c r="I78" s="424"/>
      <c r="J78" s="424"/>
      <c r="K78" s="424"/>
      <c r="L78" s="424"/>
      <c r="M78" s="424"/>
      <c r="N78" s="424"/>
      <c r="O78" s="424"/>
      <c r="P78" s="424"/>
      <c r="Q78" s="424"/>
      <c r="R78" s="424"/>
      <c r="S78" s="424"/>
      <c r="T78" s="424"/>
      <c r="U78" s="424"/>
      <c r="V78" s="424"/>
      <c r="W78" s="431"/>
      <c r="X78" s="424"/>
      <c r="Y78" s="427"/>
      <c r="Z78" s="435"/>
      <c r="AA78" s="436"/>
      <c r="AB78" s="436"/>
      <c r="AC78" s="436"/>
      <c r="AD78" s="436"/>
      <c r="AE78" s="436"/>
    </row>
    <row r="79" spans="1:31" ht="18" x14ac:dyDescent="0.15">
      <c r="A79" s="421">
        <v>67</v>
      </c>
      <c r="B79" s="18" t="s">
        <v>187</v>
      </c>
      <c r="C79" s="424"/>
      <c r="Z79" s="438"/>
      <c r="AB79" s="259" t="s">
        <v>649</v>
      </c>
      <c r="AC79" s="436"/>
      <c r="AD79" s="436"/>
      <c r="AE79" s="436"/>
    </row>
    <row r="80" spans="1:31" ht="18" x14ac:dyDescent="0.15">
      <c r="A80" s="421">
        <v>68</v>
      </c>
      <c r="B80" s="9" t="s">
        <v>190</v>
      </c>
      <c r="C80" s="424">
        <v>880675.58333333302</v>
      </c>
      <c r="D80" s="423">
        <v>12</v>
      </c>
      <c r="E80" s="424">
        <f>C80*D80</f>
        <v>10568107</v>
      </c>
      <c r="F80" s="424"/>
      <c r="G80" s="425">
        <v>595848.56000000006</v>
      </c>
      <c r="H80" s="427"/>
      <c r="I80" s="424">
        <f t="shared" ref="I80:I89" si="67">E80-F80-G80-H80</f>
        <v>9972258.4399999995</v>
      </c>
      <c r="J80" s="424">
        <v>200000</v>
      </c>
      <c r="K80" s="424">
        <v>0.2</v>
      </c>
      <c r="L80" s="424">
        <f t="shared" ref="L80:L89" si="68">I80*K80</f>
        <v>1994451.6880000001</v>
      </c>
      <c r="M80" s="424">
        <f t="shared" ref="M80:M89" si="69">J80+L80</f>
        <v>2194451.6880000001</v>
      </c>
      <c r="N80" s="424">
        <f t="shared" ref="N80:N89" si="70">F80+G80+H80+M80</f>
        <v>2790300.2480000001</v>
      </c>
      <c r="O80" s="424">
        <f t="shared" ref="O80:O89" si="71">E80-N80</f>
        <v>7777806.7520000003</v>
      </c>
      <c r="P80" s="424">
        <f t="shared" ref="P80:P89" si="72">IF(O80&lt;300000,0.07*O80,21000)</f>
        <v>21000</v>
      </c>
      <c r="Q80" s="424">
        <f t="shared" ref="Q80:Q89" si="73">IF((O80-300000)&lt;0,0,IF((O80-300000)&lt;300000,0.11*(O80-300000),33000))</f>
        <v>33000</v>
      </c>
      <c r="R80" s="424">
        <f t="shared" ref="R80:R89" si="74">IF((O80-600000)&lt;0,0,IF((O80-600000)&lt;500000,0.15*(O80-600000),75000))</f>
        <v>75000</v>
      </c>
      <c r="S80" s="424">
        <f t="shared" ref="S80:S89" si="75">IF((O80-1100000)&lt;0,0,IF((O80-1100000)&lt;500000,0.19*(O80-1100000),95000))</f>
        <v>95000</v>
      </c>
      <c r="T80" s="424">
        <f t="shared" ref="T80:T89" si="76">IF((O80-1600000)&lt;0,0,IF((O80-1600000)&lt;1600000,0.21*(O80-1600000),336000))</f>
        <v>336000</v>
      </c>
      <c r="U80" s="424">
        <f t="shared" ref="U80:U88" si="77">24%*(O80-3200000)</f>
        <v>1098673.62048</v>
      </c>
      <c r="V80" s="424">
        <f t="shared" ref="V80:V89" si="78">P80+Q80+R80+S80+T80+U80</f>
        <v>1658673.62048</v>
      </c>
      <c r="W80" s="431">
        <v>12</v>
      </c>
      <c r="X80" s="424">
        <f t="shared" ref="X80:X89" si="79">V80/W80</f>
        <v>138222.801706667</v>
      </c>
      <c r="Y80" s="427"/>
      <c r="Z80" s="435">
        <f t="shared" ref="Z80:Z89" si="80">X80</f>
        <v>138222.801706667</v>
      </c>
      <c r="AA80" s="424">
        <v>99156.9391466667</v>
      </c>
      <c r="AB80" s="436">
        <f>Z80-AA80</f>
        <v>39065.8625599999</v>
      </c>
      <c r="AC80" s="436" t="s">
        <v>190</v>
      </c>
      <c r="AD80" s="436"/>
      <c r="AE80" s="436"/>
    </row>
    <row r="81" spans="1:31" ht="18" x14ac:dyDescent="0.15">
      <c r="A81" s="421">
        <v>69</v>
      </c>
      <c r="B81" s="9" t="s">
        <v>188</v>
      </c>
      <c r="C81" s="424">
        <v>780675.58333333302</v>
      </c>
      <c r="D81" s="423">
        <v>12</v>
      </c>
      <c r="E81" s="424">
        <f t="shared" ref="E81:E87" si="81">C81*D81</f>
        <v>9368107</v>
      </c>
      <c r="F81" s="424">
        <f>'[8]JANUARY 2024'!$V$86*12</f>
        <v>10052.25</v>
      </c>
      <c r="G81" s="425">
        <v>595848.56000000006</v>
      </c>
      <c r="H81" s="427"/>
      <c r="I81" s="424">
        <f t="shared" si="67"/>
        <v>8762206.1899999995</v>
      </c>
      <c r="J81" s="424">
        <v>200000</v>
      </c>
      <c r="K81" s="424">
        <v>0.2</v>
      </c>
      <c r="L81" s="424">
        <f t="shared" si="68"/>
        <v>1752441.2379999999</v>
      </c>
      <c r="M81" s="424">
        <f t="shared" si="69"/>
        <v>1952441.2379999999</v>
      </c>
      <c r="N81" s="424">
        <f t="shared" si="70"/>
        <v>2558342.048</v>
      </c>
      <c r="O81" s="424">
        <f t="shared" si="71"/>
        <v>6809764.9519999996</v>
      </c>
      <c r="P81" s="424">
        <f t="shared" si="72"/>
        <v>21000</v>
      </c>
      <c r="Q81" s="424">
        <f t="shared" si="73"/>
        <v>33000</v>
      </c>
      <c r="R81" s="424">
        <f t="shared" si="74"/>
        <v>75000</v>
      </c>
      <c r="S81" s="424">
        <f t="shared" si="75"/>
        <v>95000</v>
      </c>
      <c r="T81" s="424">
        <f t="shared" si="76"/>
        <v>336000</v>
      </c>
      <c r="U81" s="424">
        <f t="shared" si="77"/>
        <v>866343.58847999899</v>
      </c>
      <c r="V81" s="424">
        <f t="shared" si="78"/>
        <v>1426343.5884799999</v>
      </c>
      <c r="W81" s="431">
        <v>12</v>
      </c>
      <c r="X81" s="424">
        <f t="shared" si="79"/>
        <v>118861.965706667</v>
      </c>
      <c r="Y81" s="427"/>
      <c r="Z81" s="435">
        <f t="shared" si="80"/>
        <v>118861.965706667</v>
      </c>
      <c r="AA81" s="424">
        <v>98996.103146666705</v>
      </c>
      <c r="AB81" s="436">
        <f t="shared" ref="AB81:AB87" si="82">Z81-AA81</f>
        <v>19865.8625599999</v>
      </c>
      <c r="AC81" s="436" t="s">
        <v>188</v>
      </c>
      <c r="AD81" s="436"/>
      <c r="AE81" s="436"/>
    </row>
    <row r="82" spans="1:31" ht="31.5" x14ac:dyDescent="0.2">
      <c r="A82" s="421">
        <v>70</v>
      </c>
      <c r="B82" s="9" t="s">
        <v>193</v>
      </c>
      <c r="C82" s="424">
        <v>742118.08333333302</v>
      </c>
      <c r="D82" s="423">
        <v>12</v>
      </c>
      <c r="E82" s="424">
        <f t="shared" si="81"/>
        <v>8905417</v>
      </c>
      <c r="F82" s="424"/>
      <c r="G82" s="425">
        <v>558833.36</v>
      </c>
      <c r="H82" s="427"/>
      <c r="I82" s="424">
        <f t="shared" si="67"/>
        <v>8346583.6399999997</v>
      </c>
      <c r="J82" s="424">
        <v>200000</v>
      </c>
      <c r="K82" s="424">
        <v>0.2</v>
      </c>
      <c r="L82" s="424">
        <f t="shared" si="68"/>
        <v>1669316.7279999999</v>
      </c>
      <c r="M82" s="424">
        <f t="shared" si="69"/>
        <v>1869316.7279999999</v>
      </c>
      <c r="N82" s="424">
        <f t="shared" si="70"/>
        <v>2428150.088</v>
      </c>
      <c r="O82" s="424">
        <f t="shared" si="71"/>
        <v>6477266.9119999995</v>
      </c>
      <c r="P82" s="424">
        <f t="shared" si="72"/>
        <v>21000</v>
      </c>
      <c r="Q82" s="424">
        <f t="shared" si="73"/>
        <v>33000</v>
      </c>
      <c r="R82" s="424">
        <f t="shared" si="74"/>
        <v>75000</v>
      </c>
      <c r="S82" s="424">
        <f t="shared" si="75"/>
        <v>95000</v>
      </c>
      <c r="T82" s="424">
        <f t="shared" si="76"/>
        <v>336000</v>
      </c>
      <c r="U82" s="424">
        <f t="shared" si="77"/>
        <v>786544.05887999898</v>
      </c>
      <c r="V82" s="424">
        <f t="shared" si="78"/>
        <v>1346544.0588799999</v>
      </c>
      <c r="W82" s="431">
        <v>12</v>
      </c>
      <c r="X82" s="424">
        <f t="shared" si="79"/>
        <v>112212.004906667</v>
      </c>
      <c r="Y82" s="427"/>
      <c r="Z82" s="435">
        <f t="shared" si="80"/>
        <v>112212.004906667</v>
      </c>
      <c r="AA82" s="424">
        <v>79956.9391466667</v>
      </c>
      <c r="AB82" s="436">
        <f t="shared" si="82"/>
        <v>32255.065759999899</v>
      </c>
      <c r="AC82" s="436" t="s">
        <v>193</v>
      </c>
      <c r="AD82" s="436"/>
      <c r="AE82" s="436"/>
    </row>
    <row r="83" spans="1:31" ht="18" x14ac:dyDescent="0.15">
      <c r="A83" s="421">
        <v>71</v>
      </c>
      <c r="B83" s="9" t="s">
        <v>194</v>
      </c>
      <c r="C83" s="424">
        <v>561804.91666666698</v>
      </c>
      <c r="D83" s="423">
        <v>12</v>
      </c>
      <c r="E83" s="424">
        <f t="shared" si="81"/>
        <v>6741659</v>
      </c>
      <c r="F83" s="424"/>
      <c r="G83" s="425">
        <v>424132.72</v>
      </c>
      <c r="H83" s="427"/>
      <c r="I83" s="424">
        <f t="shared" si="67"/>
        <v>6317526.2800000003</v>
      </c>
      <c r="J83" s="424">
        <v>200000</v>
      </c>
      <c r="K83" s="424">
        <v>0.2</v>
      </c>
      <c r="L83" s="424">
        <f t="shared" si="68"/>
        <v>1263505.2560000001</v>
      </c>
      <c r="M83" s="424">
        <f t="shared" si="69"/>
        <v>1463505.2560000001</v>
      </c>
      <c r="N83" s="424">
        <f t="shared" si="70"/>
        <v>1887637.976</v>
      </c>
      <c r="O83" s="424">
        <f t="shared" si="71"/>
        <v>4854021.0240000002</v>
      </c>
      <c r="P83" s="424">
        <f t="shared" si="72"/>
        <v>21000</v>
      </c>
      <c r="Q83" s="424">
        <f t="shared" si="73"/>
        <v>33000</v>
      </c>
      <c r="R83" s="424">
        <f t="shared" si="74"/>
        <v>75000</v>
      </c>
      <c r="S83" s="424">
        <f t="shared" si="75"/>
        <v>95000</v>
      </c>
      <c r="T83" s="424">
        <f t="shared" si="76"/>
        <v>336000</v>
      </c>
      <c r="U83" s="424">
        <f t="shared" si="77"/>
        <v>396965.045760001</v>
      </c>
      <c r="V83" s="424">
        <f t="shared" si="78"/>
        <v>956965.04576000106</v>
      </c>
      <c r="W83" s="431">
        <v>12</v>
      </c>
      <c r="X83" s="424">
        <f t="shared" si="79"/>
        <v>79747.087146666701</v>
      </c>
      <c r="Y83" s="427"/>
      <c r="Z83" s="435">
        <f t="shared" si="80"/>
        <v>79747.087146666701</v>
      </c>
      <c r="AA83" s="424">
        <v>75574.677290666703</v>
      </c>
      <c r="AB83" s="436">
        <f t="shared" si="82"/>
        <v>4172.4098560000302</v>
      </c>
      <c r="AC83" s="436" t="s">
        <v>194</v>
      </c>
      <c r="AD83" s="436"/>
      <c r="AE83" s="436"/>
    </row>
    <row r="84" spans="1:31" ht="18" x14ac:dyDescent="0.15">
      <c r="A84" s="421">
        <v>72</v>
      </c>
      <c r="B84" s="9" t="s">
        <v>195</v>
      </c>
      <c r="C84" s="424">
        <v>548915.91666666698</v>
      </c>
      <c r="D84" s="423">
        <v>12</v>
      </c>
      <c r="E84" s="424">
        <f t="shared" si="81"/>
        <v>6586991</v>
      </c>
      <c r="F84" s="424"/>
      <c r="G84" s="425">
        <v>411759.28</v>
      </c>
      <c r="H84" s="427"/>
      <c r="I84" s="424">
        <f t="shared" si="67"/>
        <v>6175231.7199999997</v>
      </c>
      <c r="J84" s="424">
        <v>200000</v>
      </c>
      <c r="K84" s="424">
        <v>0.2</v>
      </c>
      <c r="L84" s="424">
        <f t="shared" si="68"/>
        <v>1235046.344</v>
      </c>
      <c r="M84" s="424">
        <f t="shared" si="69"/>
        <v>1435046.344</v>
      </c>
      <c r="N84" s="424">
        <f t="shared" si="70"/>
        <v>1846805.6240000001</v>
      </c>
      <c r="O84" s="424">
        <f t="shared" si="71"/>
        <v>4740185.3760000002</v>
      </c>
      <c r="P84" s="424">
        <f t="shared" si="72"/>
        <v>21000</v>
      </c>
      <c r="Q84" s="424">
        <f t="shared" si="73"/>
        <v>33000</v>
      </c>
      <c r="R84" s="424">
        <f t="shared" si="74"/>
        <v>75000</v>
      </c>
      <c r="S84" s="424">
        <f t="shared" si="75"/>
        <v>95000</v>
      </c>
      <c r="T84" s="424">
        <f t="shared" si="76"/>
        <v>336000</v>
      </c>
      <c r="U84" s="424">
        <f t="shared" si="77"/>
        <v>369644.490240001</v>
      </c>
      <c r="V84" s="424">
        <f t="shared" si="78"/>
        <v>929644.490240001</v>
      </c>
      <c r="W84" s="431">
        <v>12</v>
      </c>
      <c r="X84" s="424">
        <f t="shared" si="79"/>
        <v>77470.374186666697</v>
      </c>
      <c r="Y84" s="427"/>
      <c r="Z84" s="435">
        <f t="shared" si="80"/>
        <v>77470.374186666697</v>
      </c>
      <c r="AA84" s="424">
        <v>50985.977546666698</v>
      </c>
      <c r="AB84" s="436">
        <f t="shared" si="82"/>
        <v>26484.396639999999</v>
      </c>
      <c r="AC84" s="436" t="s">
        <v>195</v>
      </c>
      <c r="AD84" s="436"/>
      <c r="AE84" s="436"/>
    </row>
    <row r="85" spans="1:31" ht="31.5" x14ac:dyDescent="0.2">
      <c r="A85" s="421">
        <v>73</v>
      </c>
      <c r="B85" s="9" t="s">
        <v>196</v>
      </c>
      <c r="C85" s="424">
        <v>568870.75</v>
      </c>
      <c r="D85" s="423">
        <v>12</v>
      </c>
      <c r="E85" s="424">
        <f t="shared" si="81"/>
        <v>6826449</v>
      </c>
      <c r="F85" s="424"/>
      <c r="G85" s="425">
        <v>411715.92</v>
      </c>
      <c r="H85" s="427"/>
      <c r="I85" s="424">
        <f t="shared" si="67"/>
        <v>6414733.0800000001</v>
      </c>
      <c r="J85" s="424">
        <v>200000</v>
      </c>
      <c r="K85" s="424">
        <v>0.2</v>
      </c>
      <c r="L85" s="424">
        <f t="shared" si="68"/>
        <v>1282946.6159999999</v>
      </c>
      <c r="M85" s="424">
        <f t="shared" si="69"/>
        <v>1482946.6159999999</v>
      </c>
      <c r="N85" s="424">
        <f t="shared" si="70"/>
        <v>1894662.5360000001</v>
      </c>
      <c r="O85" s="424">
        <f t="shared" si="71"/>
        <v>4931786.4639999997</v>
      </c>
      <c r="P85" s="424">
        <f t="shared" si="72"/>
        <v>21000</v>
      </c>
      <c r="Q85" s="424">
        <f t="shared" si="73"/>
        <v>33000</v>
      </c>
      <c r="R85" s="424">
        <f t="shared" si="74"/>
        <v>75000</v>
      </c>
      <c r="S85" s="424">
        <f t="shared" si="75"/>
        <v>95000</v>
      </c>
      <c r="T85" s="424">
        <f t="shared" si="76"/>
        <v>336000</v>
      </c>
      <c r="U85" s="424">
        <f t="shared" si="77"/>
        <v>415628.75135999999</v>
      </c>
      <c r="V85" s="424">
        <f t="shared" si="78"/>
        <v>975628.75135999999</v>
      </c>
      <c r="W85" s="431">
        <v>12</v>
      </c>
      <c r="X85" s="424">
        <f t="shared" si="79"/>
        <v>81302.3959466667</v>
      </c>
      <c r="Y85" s="427"/>
      <c r="Z85" s="424">
        <f t="shared" si="80"/>
        <v>81302.3959466667</v>
      </c>
      <c r="AA85" s="435">
        <v>49548.776186666699</v>
      </c>
      <c r="AB85" s="436">
        <f t="shared" si="82"/>
        <v>31753.619760000001</v>
      </c>
      <c r="AC85" s="436" t="s">
        <v>196</v>
      </c>
      <c r="AD85" s="436"/>
      <c r="AE85" s="436"/>
    </row>
    <row r="86" spans="1:31" ht="18" x14ac:dyDescent="0.15">
      <c r="A86" s="421">
        <v>74</v>
      </c>
      <c r="B86" s="9" t="s">
        <v>198</v>
      </c>
      <c r="C86" s="424">
        <v>475703.83333333302</v>
      </c>
      <c r="D86" s="423">
        <v>12</v>
      </c>
      <c r="E86" s="424">
        <f t="shared" si="81"/>
        <v>5708446</v>
      </c>
      <c r="F86" s="424"/>
      <c r="G86" s="430">
        <f>29256.3066666667*12</f>
        <v>351075.68</v>
      </c>
      <c r="H86" s="427"/>
      <c r="I86" s="424">
        <f t="shared" si="67"/>
        <v>5357370.32</v>
      </c>
      <c r="J86" s="424">
        <v>200000</v>
      </c>
      <c r="K86" s="424">
        <v>0.2</v>
      </c>
      <c r="L86" s="424">
        <f t="shared" si="68"/>
        <v>1071474.064</v>
      </c>
      <c r="M86" s="424">
        <f t="shared" si="69"/>
        <v>1271474.064</v>
      </c>
      <c r="N86" s="424">
        <f t="shared" si="70"/>
        <v>1622549.7439999999</v>
      </c>
      <c r="O86" s="424">
        <f t="shared" si="71"/>
        <v>4085896.2560000001</v>
      </c>
      <c r="P86" s="424">
        <f t="shared" si="72"/>
        <v>21000</v>
      </c>
      <c r="Q86" s="424">
        <f t="shared" si="73"/>
        <v>33000</v>
      </c>
      <c r="R86" s="424">
        <f t="shared" si="74"/>
        <v>75000</v>
      </c>
      <c r="S86" s="424">
        <f t="shared" si="75"/>
        <v>95000</v>
      </c>
      <c r="T86" s="424">
        <f t="shared" si="76"/>
        <v>336000</v>
      </c>
      <c r="U86" s="424">
        <f t="shared" si="77"/>
        <v>212615.10143999901</v>
      </c>
      <c r="V86" s="424">
        <f t="shared" si="78"/>
        <v>772615.10143999895</v>
      </c>
      <c r="W86" s="431">
        <v>12</v>
      </c>
      <c r="X86" s="424">
        <f t="shared" si="79"/>
        <v>64384.591786666599</v>
      </c>
      <c r="Y86" s="427"/>
      <c r="Z86" s="435">
        <f t="shared" si="80"/>
        <v>64384.591786666599</v>
      </c>
      <c r="AA86" s="424">
        <v>53384.053562666697</v>
      </c>
      <c r="AB86" s="436">
        <f t="shared" si="82"/>
        <v>11000.5382239999</v>
      </c>
      <c r="AC86" s="436" t="s">
        <v>198</v>
      </c>
      <c r="AD86" s="436"/>
      <c r="AE86" s="436"/>
    </row>
    <row r="87" spans="1:31" ht="24" customHeight="1" x14ac:dyDescent="0.15">
      <c r="A87" s="421">
        <v>75</v>
      </c>
      <c r="B87" s="9" t="s">
        <v>199</v>
      </c>
      <c r="C87" s="424">
        <v>510248.91666666698</v>
      </c>
      <c r="D87" s="423">
        <v>12</v>
      </c>
      <c r="E87" s="424">
        <f t="shared" si="81"/>
        <v>6122987</v>
      </c>
      <c r="F87" s="424">
        <f>'[8]JANUARY 2024'!$V$92*12</f>
        <v>6922.4970000000003</v>
      </c>
      <c r="G87" s="425">
        <v>374638.96</v>
      </c>
      <c r="H87" s="427"/>
      <c r="I87" s="424">
        <f t="shared" si="67"/>
        <v>5741425.5429999996</v>
      </c>
      <c r="J87" s="424">
        <v>200000</v>
      </c>
      <c r="K87" s="424">
        <v>0.2</v>
      </c>
      <c r="L87" s="424">
        <f t="shared" si="68"/>
        <v>1148285.1085999999</v>
      </c>
      <c r="M87" s="424">
        <f t="shared" si="69"/>
        <v>1348285.1085999999</v>
      </c>
      <c r="N87" s="424">
        <f t="shared" si="70"/>
        <v>1729846.5656000001</v>
      </c>
      <c r="O87" s="424">
        <f t="shared" si="71"/>
        <v>4393140.4343999997</v>
      </c>
      <c r="P87" s="424">
        <f t="shared" si="72"/>
        <v>21000</v>
      </c>
      <c r="Q87" s="424">
        <f t="shared" si="73"/>
        <v>33000</v>
      </c>
      <c r="R87" s="424">
        <f t="shared" si="74"/>
        <v>75000</v>
      </c>
      <c r="S87" s="424">
        <f t="shared" si="75"/>
        <v>95000</v>
      </c>
      <c r="T87" s="424">
        <f t="shared" si="76"/>
        <v>336000</v>
      </c>
      <c r="U87" s="424">
        <f t="shared" si="77"/>
        <v>286353.70425600099</v>
      </c>
      <c r="V87" s="424">
        <f t="shared" si="78"/>
        <v>846353.70425600104</v>
      </c>
      <c r="W87" s="431">
        <v>12</v>
      </c>
      <c r="X87" s="424">
        <f t="shared" si="79"/>
        <v>70529.475354666705</v>
      </c>
      <c r="Y87" s="427"/>
      <c r="Z87" s="424">
        <f t="shared" si="80"/>
        <v>70529.475354666705</v>
      </c>
      <c r="AA87" s="439">
        <v>41242.0361406667</v>
      </c>
      <c r="AB87" s="436">
        <f t="shared" si="82"/>
        <v>29287.439214000002</v>
      </c>
      <c r="AC87" s="436" t="s">
        <v>199</v>
      </c>
      <c r="AD87" s="436"/>
      <c r="AE87" s="436"/>
    </row>
    <row r="88" spans="1:31" ht="18" x14ac:dyDescent="0.15">
      <c r="A88" s="421">
        <v>76</v>
      </c>
      <c r="B88" s="9" t="s">
        <v>202</v>
      </c>
      <c r="C88" s="424">
        <v>400965.58333333302</v>
      </c>
      <c r="D88" s="423">
        <v>12</v>
      </c>
      <c r="E88" s="424">
        <f t="shared" ref="E88:E89" si="83">C88*D88</f>
        <v>4811587</v>
      </c>
      <c r="F88" s="424"/>
      <c r="G88" s="425">
        <v>288926.96000000002</v>
      </c>
      <c r="H88" s="427"/>
      <c r="I88" s="424">
        <f t="shared" si="67"/>
        <v>4522660.04</v>
      </c>
      <c r="J88" s="424">
        <v>200000</v>
      </c>
      <c r="K88" s="424">
        <v>0.2</v>
      </c>
      <c r="L88" s="424">
        <f t="shared" si="68"/>
        <v>904532.00799999898</v>
      </c>
      <c r="M88" s="424">
        <f t="shared" si="69"/>
        <v>1104532.0079999999</v>
      </c>
      <c r="N88" s="424">
        <f t="shared" si="70"/>
        <v>1393458.9680000001</v>
      </c>
      <c r="O88" s="424">
        <f t="shared" si="71"/>
        <v>3418128.0320000001</v>
      </c>
      <c r="P88" s="424">
        <f t="shared" si="72"/>
        <v>21000</v>
      </c>
      <c r="Q88" s="424">
        <f t="shared" si="73"/>
        <v>33000</v>
      </c>
      <c r="R88" s="424">
        <f t="shared" si="74"/>
        <v>75000</v>
      </c>
      <c r="S88" s="424">
        <f t="shared" si="75"/>
        <v>95000</v>
      </c>
      <c r="T88" s="424">
        <f t="shared" si="76"/>
        <v>336000</v>
      </c>
      <c r="U88" s="424">
        <f t="shared" si="77"/>
        <v>52350.727679999203</v>
      </c>
      <c r="V88" s="424">
        <f t="shared" si="78"/>
        <v>612350.72767999896</v>
      </c>
      <c r="W88" s="431">
        <v>12</v>
      </c>
      <c r="X88" s="424">
        <f t="shared" si="79"/>
        <v>51029.227306666602</v>
      </c>
      <c r="Y88" s="427"/>
      <c r="Z88" s="435">
        <f t="shared" si="80"/>
        <v>51029.227306666602</v>
      </c>
      <c r="AA88" s="424">
        <v>45414.4562526667</v>
      </c>
      <c r="AB88" s="436">
        <f t="shared" ref="AB88:AB89" si="84">Z88-AA88</f>
        <v>5614.7710539998998</v>
      </c>
      <c r="AC88" s="436" t="s">
        <v>202</v>
      </c>
      <c r="AD88" s="436"/>
      <c r="AE88" s="436"/>
    </row>
    <row r="89" spans="1:31" ht="18" x14ac:dyDescent="0.15">
      <c r="A89" s="421"/>
      <c r="B89" s="9" t="s">
        <v>204</v>
      </c>
      <c r="C89" s="424">
        <v>330631.91666666698</v>
      </c>
      <c r="D89" s="423">
        <v>12</v>
      </c>
      <c r="E89" s="424">
        <f t="shared" si="83"/>
        <v>3967583</v>
      </c>
      <c r="F89" s="424"/>
      <c r="G89" s="425">
        <v>221406.64</v>
      </c>
      <c r="H89" s="427"/>
      <c r="I89" s="424">
        <f t="shared" si="67"/>
        <v>3746176.36</v>
      </c>
      <c r="J89" s="424">
        <v>200000</v>
      </c>
      <c r="K89" s="424">
        <v>0.2</v>
      </c>
      <c r="L89" s="424">
        <f t="shared" si="68"/>
        <v>749235.27200000104</v>
      </c>
      <c r="M89" s="424">
        <f t="shared" si="69"/>
        <v>949235.27200000104</v>
      </c>
      <c r="N89" s="424">
        <f t="shared" si="70"/>
        <v>1170641.912</v>
      </c>
      <c r="O89" s="424">
        <f t="shared" si="71"/>
        <v>2796941.088</v>
      </c>
      <c r="P89" s="424">
        <f t="shared" si="72"/>
        <v>21000</v>
      </c>
      <c r="Q89" s="424">
        <f t="shared" si="73"/>
        <v>33000</v>
      </c>
      <c r="R89" s="424">
        <f t="shared" si="74"/>
        <v>75000</v>
      </c>
      <c r="S89" s="424">
        <f t="shared" si="75"/>
        <v>95000</v>
      </c>
      <c r="T89" s="424">
        <f t="shared" si="76"/>
        <v>251357.628480001</v>
      </c>
      <c r="U89" s="424"/>
      <c r="V89" s="424">
        <f t="shared" si="78"/>
        <v>475357.628480001</v>
      </c>
      <c r="W89" s="431">
        <v>12</v>
      </c>
      <c r="X89" s="424">
        <f t="shared" si="79"/>
        <v>39613.135706666697</v>
      </c>
      <c r="Y89" s="427"/>
      <c r="Z89" s="435">
        <f t="shared" si="80"/>
        <v>39613.135706666697</v>
      </c>
      <c r="AA89" s="424">
        <v>33825.986562666702</v>
      </c>
      <c r="AB89" s="436">
        <f t="shared" si="84"/>
        <v>5787.14914400001</v>
      </c>
      <c r="AC89" s="436" t="s">
        <v>204</v>
      </c>
      <c r="AD89" s="436"/>
      <c r="AE89" s="436"/>
    </row>
    <row r="90" spans="1:31" ht="18" x14ac:dyDescent="0.2">
      <c r="A90" s="421"/>
      <c r="B90" s="18"/>
      <c r="C90" s="424"/>
      <c r="D90" s="423"/>
      <c r="E90" s="424"/>
      <c r="F90" s="424"/>
      <c r="G90" s="427"/>
      <c r="H90" s="427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31"/>
      <c r="X90" s="424"/>
      <c r="Y90" s="427"/>
      <c r="Z90" s="435"/>
      <c r="AA90" s="436"/>
      <c r="AB90" s="436"/>
      <c r="AC90" s="436"/>
      <c r="AD90" s="436"/>
      <c r="AE90" s="436"/>
    </row>
    <row r="91" spans="1:31" ht="18" x14ac:dyDescent="0.2">
      <c r="A91" s="421"/>
      <c r="B91" s="20"/>
      <c r="C91" s="424"/>
      <c r="D91" s="423"/>
      <c r="E91" s="424"/>
      <c r="F91" s="424"/>
      <c r="G91" s="427"/>
      <c r="H91" s="427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31"/>
      <c r="X91" s="424"/>
      <c r="Y91" s="427"/>
      <c r="Z91" s="435"/>
      <c r="AA91" s="436"/>
      <c r="AB91" s="436"/>
      <c r="AC91" s="436"/>
      <c r="AD91" s="436"/>
      <c r="AE91" s="436"/>
    </row>
    <row r="92" spans="1:31" ht="18" x14ac:dyDescent="0.15">
      <c r="A92" s="421">
        <v>78</v>
      </c>
      <c r="B92" s="18" t="s">
        <v>207</v>
      </c>
      <c r="C92" s="424"/>
      <c r="Z92" s="438"/>
      <c r="AC92" s="436"/>
      <c r="AD92" s="436"/>
      <c r="AE92" s="436"/>
    </row>
    <row r="93" spans="1:31" ht="31.5" x14ac:dyDescent="0.2">
      <c r="A93" s="421">
        <v>79</v>
      </c>
      <c r="B93" s="12" t="s">
        <v>208</v>
      </c>
      <c r="C93" s="424">
        <v>852373.16666666698</v>
      </c>
      <c r="D93" s="423">
        <v>12</v>
      </c>
      <c r="E93" s="424">
        <f>C93*D93</f>
        <v>10228478</v>
      </c>
      <c r="F93" s="424">
        <f>'[8]JANUARY 2024'!$V$98*12</f>
        <v>12795.950999999999</v>
      </c>
      <c r="G93" s="425">
        <v>731878.24</v>
      </c>
      <c r="H93" s="427"/>
      <c r="I93" s="424">
        <f>E93-F93-G93-H93</f>
        <v>9483803.8090000004</v>
      </c>
      <c r="J93" s="424">
        <v>200000</v>
      </c>
      <c r="K93" s="424">
        <v>0.2</v>
      </c>
      <c r="L93" s="424">
        <f>I93*K93</f>
        <v>1896760.7618</v>
      </c>
      <c r="M93" s="424">
        <f>J93+L93</f>
        <v>2096760.7618</v>
      </c>
      <c r="N93" s="424">
        <f>F93+G93+H93+M93</f>
        <v>2841434.9528000001</v>
      </c>
      <c r="O93" s="424">
        <f>E93-N93</f>
        <v>7387043.0471999999</v>
      </c>
      <c r="P93" s="424">
        <f>IF(O93&lt;300000,0.07*O93,21000)</f>
        <v>21000</v>
      </c>
      <c r="Q93" s="424">
        <f>IF((O93-300000)&lt;0,0,IF((O93-300000)&lt;300000,0.11*(O93-300000),33000))</f>
        <v>33000</v>
      </c>
      <c r="R93" s="424">
        <f>IF((O93-600000)&lt;0,0,IF((O93-600000)&lt;500000,0.15*(O93-600000),75000))</f>
        <v>75000</v>
      </c>
      <c r="S93" s="424">
        <f>IF((O93-1100000)&lt;0,0,IF((O93-1100000)&lt;500000,0.19*(O93-1100000),95000))</f>
        <v>95000</v>
      </c>
      <c r="T93" s="424">
        <f>IF((O93-1600000)&lt;0,0,IF((O93-1600000)&lt;1600000,0.21*(O93-1600000),336000))</f>
        <v>336000</v>
      </c>
      <c r="U93" s="424">
        <f>24%*(O93-3200000)</f>
        <v>1004890.3313279999</v>
      </c>
      <c r="V93" s="424">
        <f>P93+Q93+R93+S93+T93+U93</f>
        <v>1564890.3313279999</v>
      </c>
      <c r="W93" s="431">
        <v>12</v>
      </c>
      <c r="X93" s="424">
        <f>V93/W93</f>
        <v>130407.52761066701</v>
      </c>
      <c r="Y93" s="427"/>
      <c r="Z93" s="435">
        <f>X93</f>
        <v>130407.52761066701</v>
      </c>
      <c r="AA93" s="436">
        <v>82423.216202666707</v>
      </c>
      <c r="AB93" s="436">
        <f>Z93-AA93</f>
        <v>47984.311408000001</v>
      </c>
      <c r="AC93" s="436" t="s">
        <v>208</v>
      </c>
      <c r="AD93" s="436"/>
      <c r="AE93" s="436"/>
    </row>
    <row r="94" spans="1:31" ht="18" x14ac:dyDescent="0.15">
      <c r="A94" s="421">
        <v>80</v>
      </c>
      <c r="B94" s="9" t="s">
        <v>211</v>
      </c>
      <c r="C94" s="424">
        <v>526622.25</v>
      </c>
      <c r="D94" s="423">
        <v>12</v>
      </c>
      <c r="E94" s="424">
        <f t="shared" ref="E94:E96" si="85">C94*D94</f>
        <v>6319467</v>
      </c>
      <c r="F94" s="424"/>
      <c r="G94" s="425">
        <v>438357.36</v>
      </c>
      <c r="H94" s="427"/>
      <c r="I94" s="424">
        <f>E94-F94-G94-H94</f>
        <v>5881109.6399999997</v>
      </c>
      <c r="J94" s="424">
        <v>200000</v>
      </c>
      <c r="K94" s="424">
        <v>0.2</v>
      </c>
      <c r="L94" s="424">
        <f>I94*K94</f>
        <v>1176221.9280000001</v>
      </c>
      <c r="M94" s="424">
        <f>J94+L94</f>
        <v>1376221.9280000001</v>
      </c>
      <c r="N94" s="424">
        <f>F94+G94+H94+M94</f>
        <v>1814579.2879999999</v>
      </c>
      <c r="O94" s="424">
        <f>E94-N94</f>
        <v>4504887.7120000003</v>
      </c>
      <c r="P94" s="424">
        <f>IF(O94&lt;300000,0.07*O94,21000)</f>
        <v>21000</v>
      </c>
      <c r="Q94" s="424">
        <f>IF((O94-300000)&lt;0,0,IF((O94-300000)&lt;300000,0.11*(O94-300000),33000))</f>
        <v>33000</v>
      </c>
      <c r="R94" s="424">
        <f>IF((O94-600000)&lt;0,0,IF((O94-600000)&lt;500000,0.15*(O94-600000),75000))</f>
        <v>75000</v>
      </c>
      <c r="S94" s="424">
        <f>IF((O94-1100000)&lt;0,0,IF((O94-1100000)&lt;500000,0.19*(O94-1100000),95000))</f>
        <v>95000</v>
      </c>
      <c r="T94" s="424">
        <f>IF((O94-1600000)&lt;0,0,IF((O94-1600000)&lt;1600000,0.21*(O94-1600000),336000))</f>
        <v>336000</v>
      </c>
      <c r="U94" s="424">
        <f t="shared" ref="U94:U95" si="86">24%*(O94-3200000)</f>
        <v>313173.05088</v>
      </c>
      <c r="V94" s="424">
        <f>P94+Q94+R94+S94+T94+U94</f>
        <v>873173.05088</v>
      </c>
      <c r="W94" s="431">
        <v>12</v>
      </c>
      <c r="X94" s="424">
        <f>V94/W94</f>
        <v>72764.420906666695</v>
      </c>
      <c r="Y94" s="427"/>
      <c r="Z94" s="435">
        <f>X94</f>
        <v>72764.420906666695</v>
      </c>
      <c r="AA94" s="436">
        <v>82627.951418666693</v>
      </c>
      <c r="AB94" s="436">
        <f t="shared" ref="AB94:AB96" si="87">Z94-AA94</f>
        <v>-9863.5305120000394</v>
      </c>
      <c r="AC94" s="436" t="s">
        <v>211</v>
      </c>
      <c r="AD94" s="436"/>
      <c r="AE94" s="436"/>
    </row>
    <row r="95" spans="1:31" ht="31.5" x14ac:dyDescent="0.2">
      <c r="A95" s="421">
        <v>81</v>
      </c>
      <c r="B95" s="9" t="s">
        <v>217</v>
      </c>
      <c r="C95" s="424">
        <v>437895.16666666698</v>
      </c>
      <c r="D95" s="423">
        <v>12</v>
      </c>
      <c r="E95" s="424">
        <f t="shared" si="85"/>
        <v>5254742</v>
      </c>
      <c r="F95" s="424"/>
      <c r="G95" s="425">
        <v>362779.36</v>
      </c>
      <c r="H95" s="427"/>
      <c r="I95" s="424">
        <f>E95-F95-G95-H95</f>
        <v>4891962.6399999997</v>
      </c>
      <c r="J95" s="424">
        <v>200000</v>
      </c>
      <c r="K95" s="424">
        <v>0.2</v>
      </c>
      <c r="L95" s="424">
        <f>I95*K95</f>
        <v>978392.52800000098</v>
      </c>
      <c r="M95" s="424">
        <f>J95+L95</f>
        <v>1178392.5279999999</v>
      </c>
      <c r="N95" s="424">
        <f>F95+G95+H95+M95</f>
        <v>1541171.888</v>
      </c>
      <c r="O95" s="424">
        <f>E95-N95</f>
        <v>3713570.1120000002</v>
      </c>
      <c r="P95" s="424">
        <f>IF(O95&lt;300000,0.07*O95,21000)</f>
        <v>21000</v>
      </c>
      <c r="Q95" s="424">
        <f>IF((O95-300000)&lt;0,0,IF((O95-300000)&lt;300000,0.11*(O95-300000),33000))</f>
        <v>33000</v>
      </c>
      <c r="R95" s="424">
        <f>IF((O95-600000)&lt;0,0,IF((O95-600000)&lt;500000,0.15*(O95-600000),75000))</f>
        <v>75000</v>
      </c>
      <c r="S95" s="424">
        <f>IF((O95-1100000)&lt;0,0,IF((O95-1100000)&lt;500000,0.19*(O95-1100000),95000))</f>
        <v>95000</v>
      </c>
      <c r="T95" s="424">
        <f>IF((O95-1600000)&lt;0,0,IF((O95-1600000)&lt;1600000,0.21*(O95-1600000),336000))</f>
        <v>336000</v>
      </c>
      <c r="U95" s="424">
        <f t="shared" si="86"/>
        <v>123256.826880001</v>
      </c>
      <c r="V95" s="424">
        <f>P95+Q95+R95+S95+T95+U95</f>
        <v>683256.826880001</v>
      </c>
      <c r="W95" s="431">
        <v>12</v>
      </c>
      <c r="X95" s="424">
        <f>V95/W95</f>
        <v>56938.068906666696</v>
      </c>
      <c r="Y95" s="427"/>
      <c r="Z95" s="435">
        <f>X95</f>
        <v>56938.068906666696</v>
      </c>
      <c r="AA95" s="436">
        <v>43492.373376666699</v>
      </c>
      <c r="AB95" s="436">
        <f t="shared" si="87"/>
        <v>13445.695530000001</v>
      </c>
      <c r="AC95" s="436" t="s">
        <v>217</v>
      </c>
      <c r="AD95" s="436"/>
      <c r="AE95" s="436"/>
    </row>
    <row r="96" spans="1:31" ht="18" x14ac:dyDescent="0.15">
      <c r="A96" s="421"/>
      <c r="B96" s="9" t="s">
        <v>219</v>
      </c>
      <c r="C96" s="424">
        <v>360965.58333333302</v>
      </c>
      <c r="D96" s="423">
        <v>12</v>
      </c>
      <c r="E96" s="424">
        <f t="shared" si="85"/>
        <v>4331587</v>
      </c>
      <c r="F96" s="424"/>
      <c r="G96" s="425">
        <v>288926.96000000002</v>
      </c>
      <c r="H96" s="427"/>
      <c r="I96" s="424">
        <f>E96-F96-G96-H96</f>
        <v>4042660.04</v>
      </c>
      <c r="J96" s="424">
        <v>200000</v>
      </c>
      <c r="K96" s="424">
        <v>0.2</v>
      </c>
      <c r="L96" s="424">
        <f>I96*K96</f>
        <v>808532.00799999898</v>
      </c>
      <c r="M96" s="424">
        <f>J96+L96</f>
        <v>1008532.008</v>
      </c>
      <c r="N96" s="424">
        <f>F96+G96+H96+M96</f>
        <v>1297458.9680000001</v>
      </c>
      <c r="O96" s="424">
        <f>E96-N96</f>
        <v>3034128.0320000001</v>
      </c>
      <c r="P96" s="424">
        <f>IF(O96&lt;300000,0.07*O96,21000)</f>
        <v>21000</v>
      </c>
      <c r="Q96" s="424">
        <f>IF((O96-300000)&lt;0,0,IF((O96-300000)&lt;300000,0.11*(O96-300000),33000))</f>
        <v>33000</v>
      </c>
      <c r="R96" s="424">
        <f>IF((O96-600000)&lt;0,0,IF((O96-600000)&lt;500000,0.15*(O96-600000),75000))</f>
        <v>75000</v>
      </c>
      <c r="S96" s="424">
        <f>IF((O96-1100000)&lt;0,0,IF((O96-1100000)&lt;500000,0.19*(O96-1100000),95000))</f>
        <v>95000</v>
      </c>
      <c r="T96" s="424">
        <f>IF((O96-1600000)&lt;0,0,IF((O96-1600000)&lt;1600000,0.21*(O96-1600000),336000))</f>
        <v>301166.88671999902</v>
      </c>
      <c r="U96" s="424"/>
      <c r="V96" s="424">
        <f>P96+Q96+R96+S96+T96+U96</f>
        <v>525166.88671999902</v>
      </c>
      <c r="W96" s="431">
        <v>12</v>
      </c>
      <c r="X96" s="424">
        <f>V96/W96</f>
        <v>43763.907226666597</v>
      </c>
      <c r="Y96" s="427"/>
      <c r="Z96" s="435">
        <f>X96</f>
        <v>43763.907226666597</v>
      </c>
      <c r="AA96" s="436">
        <v>34968.882414666703</v>
      </c>
      <c r="AB96" s="436">
        <f t="shared" si="87"/>
        <v>8795.0248119999105</v>
      </c>
      <c r="AC96" s="436" t="s">
        <v>219</v>
      </c>
      <c r="AD96" s="436"/>
      <c r="AE96" s="436"/>
    </row>
    <row r="97" spans="1:31" ht="18" x14ac:dyDescent="0.15">
      <c r="A97" s="421"/>
      <c r="B97" s="18" t="s">
        <v>111</v>
      </c>
      <c r="C97" s="424"/>
      <c r="D97" s="423"/>
      <c r="E97" s="424"/>
      <c r="F97" s="424"/>
      <c r="G97" s="427">
        <v>0</v>
      </c>
      <c r="H97" s="427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31"/>
      <c r="X97" s="424"/>
      <c r="Y97" s="427"/>
      <c r="Z97" s="435"/>
      <c r="AA97" s="436"/>
      <c r="AB97" s="436"/>
      <c r="AC97" s="436"/>
      <c r="AD97" s="436"/>
      <c r="AE97" s="436"/>
    </row>
    <row r="98" spans="1:31" ht="18" x14ac:dyDescent="0.2">
      <c r="A98" s="421">
        <v>83</v>
      </c>
      <c r="B98" s="20"/>
      <c r="C98" s="424"/>
      <c r="G98" s="259">
        <v>0</v>
      </c>
      <c r="Z98" s="438"/>
      <c r="AC98" s="436"/>
      <c r="AD98" s="436"/>
      <c r="AE98" s="436"/>
    </row>
    <row r="99" spans="1:31" ht="31.5" x14ac:dyDescent="0.2">
      <c r="A99" s="421">
        <v>84</v>
      </c>
      <c r="B99" s="18" t="s">
        <v>221</v>
      </c>
      <c r="C99" s="424"/>
      <c r="G99" s="259">
        <v>0</v>
      </c>
      <c r="Z99" s="438"/>
      <c r="AB99" s="259" t="s">
        <v>648</v>
      </c>
      <c r="AC99" s="436"/>
      <c r="AD99" s="436"/>
      <c r="AE99" s="436"/>
    </row>
    <row r="100" spans="1:31" ht="18" x14ac:dyDescent="0.15">
      <c r="A100" s="421">
        <v>85</v>
      </c>
      <c r="B100" s="9" t="s">
        <v>222</v>
      </c>
      <c r="C100" s="424">
        <v>1635720</v>
      </c>
      <c r="D100" s="423">
        <v>12</v>
      </c>
      <c r="E100" s="424">
        <f>C100*D100</f>
        <v>19628640</v>
      </c>
      <c r="F100" s="424"/>
      <c r="G100" s="425">
        <v>1378291.2</v>
      </c>
      <c r="H100" s="427"/>
      <c r="I100" s="424">
        <f t="shared" ref="I100:I105" si="88">E100-F100-G100-H100</f>
        <v>18250348.800000001</v>
      </c>
      <c r="J100" s="424">
        <v>200000</v>
      </c>
      <c r="K100" s="424">
        <v>0.2</v>
      </c>
      <c r="L100" s="424">
        <f t="shared" ref="L100:L106" si="89">I100*K100</f>
        <v>3650069.76</v>
      </c>
      <c r="M100" s="424">
        <f t="shared" ref="M100:M106" si="90">J100+L100</f>
        <v>3850069.76</v>
      </c>
      <c r="N100" s="424">
        <f t="shared" ref="N100:N105" si="91">F100+G100+H100+M100</f>
        <v>5228360.96</v>
      </c>
      <c r="O100" s="424">
        <f t="shared" ref="O100:O106" si="92">E100-N100</f>
        <v>14400279.039999999</v>
      </c>
      <c r="P100" s="424">
        <f t="shared" ref="P100:P106" si="93">IF(O100&lt;300000,0.07*O100,21000)</f>
        <v>21000</v>
      </c>
      <c r="Q100" s="424">
        <f t="shared" ref="Q100:Q106" si="94">IF((O100-300000)&lt;0,0,IF((O100-300000)&lt;300000,0.11*(O100-300000),33000))</f>
        <v>33000</v>
      </c>
      <c r="R100" s="424">
        <f t="shared" ref="R100:R106" si="95">IF((O100-600000)&lt;0,0,IF((O100-600000)&lt;500000,0.15*(O100-600000),75000))</f>
        <v>75000</v>
      </c>
      <c r="S100" s="424">
        <f t="shared" ref="S100:S106" si="96">IF((O100-1100000)&lt;0,0,IF((O100-1100000)&lt;500000,0.19*(O100-1100000),95000))</f>
        <v>95000</v>
      </c>
      <c r="T100" s="424">
        <f t="shared" ref="T100:T106" si="97">IF((O100-1600000)&lt;0,0,IF((O100-1600000)&lt;1600000,0.21*(O100-1600000),336000))</f>
        <v>336000</v>
      </c>
      <c r="U100" s="424">
        <f>24%*(O100-3200000)</f>
        <v>2688066.9696</v>
      </c>
      <c r="V100" s="424">
        <f t="shared" ref="V100:V106" si="98">P100+Q100+R100+S100+T100+U100</f>
        <v>3248066.9696</v>
      </c>
      <c r="W100" s="431">
        <v>12</v>
      </c>
      <c r="X100" s="424">
        <f t="shared" ref="X100:X106" si="99">V100/W100</f>
        <v>270672.24746666697</v>
      </c>
      <c r="Y100" s="427"/>
      <c r="Z100" s="435">
        <f t="shared" ref="Z100:Z106" si="100">X100</f>
        <v>270672.24746666697</v>
      </c>
      <c r="AA100" s="436">
        <v>180306.806858667</v>
      </c>
      <c r="AB100" s="436">
        <f>Z100-AA100</f>
        <v>90365.440607999597</v>
      </c>
      <c r="AC100" s="436" t="s">
        <v>222</v>
      </c>
      <c r="AD100" s="436"/>
      <c r="AE100" s="436"/>
    </row>
    <row r="101" spans="1:31" ht="18" x14ac:dyDescent="0.15">
      <c r="A101" s="421">
        <v>86</v>
      </c>
      <c r="B101" s="9" t="s">
        <v>224</v>
      </c>
      <c r="C101" s="424">
        <v>942373.16666666698</v>
      </c>
      <c r="D101" s="423">
        <v>12</v>
      </c>
      <c r="E101" s="424">
        <f t="shared" ref="E101:E106" si="101">C101*D101</f>
        <v>11308478</v>
      </c>
      <c r="F101" s="424">
        <f>'[8]JANUARY 2024'!$V$106*12</f>
        <v>12795.950999999999</v>
      </c>
      <c r="G101" s="425">
        <v>731878.24</v>
      </c>
      <c r="H101" s="427"/>
      <c r="I101" s="424">
        <f t="shared" si="88"/>
        <v>10563803.809</v>
      </c>
      <c r="J101" s="424">
        <v>200000</v>
      </c>
      <c r="K101" s="424">
        <v>0.2</v>
      </c>
      <c r="L101" s="424">
        <f t="shared" si="89"/>
        <v>2112760.7618</v>
      </c>
      <c r="M101" s="424">
        <f t="shared" si="90"/>
        <v>2312760.7618</v>
      </c>
      <c r="N101" s="424">
        <f t="shared" si="91"/>
        <v>3057434.9528000001</v>
      </c>
      <c r="O101" s="424">
        <f t="shared" si="92"/>
        <v>8251043.0471999999</v>
      </c>
      <c r="P101" s="424">
        <f t="shared" si="93"/>
        <v>21000</v>
      </c>
      <c r="Q101" s="424">
        <f t="shared" si="94"/>
        <v>33000</v>
      </c>
      <c r="R101" s="424">
        <f t="shared" si="95"/>
        <v>75000</v>
      </c>
      <c r="S101" s="424">
        <f t="shared" si="96"/>
        <v>95000</v>
      </c>
      <c r="T101" s="424">
        <f t="shared" si="97"/>
        <v>336000</v>
      </c>
      <c r="U101" s="424">
        <f>24%*(O101-3200000)</f>
        <v>1212250.3313279999</v>
      </c>
      <c r="V101" s="424">
        <f t="shared" si="98"/>
        <v>1772250.3313279999</v>
      </c>
      <c r="W101" s="431">
        <v>12</v>
      </c>
      <c r="X101" s="424">
        <f t="shared" si="99"/>
        <v>147687.52761066699</v>
      </c>
      <c r="Y101" s="427"/>
      <c r="Z101" s="435">
        <f t="shared" si="100"/>
        <v>147687.52761066699</v>
      </c>
      <c r="AA101" s="436">
        <v>99703.216202666707</v>
      </c>
      <c r="AB101" s="436">
        <f t="shared" ref="AB101:AB106" si="102">Z101-AA101</f>
        <v>47984.311408000001</v>
      </c>
      <c r="AC101" s="436" t="s">
        <v>224</v>
      </c>
      <c r="AD101" s="436"/>
      <c r="AE101" s="436"/>
    </row>
    <row r="102" spans="1:31" ht="18" x14ac:dyDescent="0.15">
      <c r="A102" s="421">
        <v>87</v>
      </c>
      <c r="B102" s="9" t="s">
        <v>226</v>
      </c>
      <c r="C102" s="424">
        <v>603237.85519166698</v>
      </c>
      <c r="D102" s="423">
        <v>12</v>
      </c>
      <c r="E102" s="424">
        <f t="shared" si="101"/>
        <v>7238854.2622999996</v>
      </c>
      <c r="F102" s="424">
        <f>'[8]JANUARY 2024'!$V$107*12</f>
        <v>7901.79</v>
      </c>
      <c r="G102" s="425">
        <v>424132.72</v>
      </c>
      <c r="H102" s="427"/>
      <c r="I102" s="424">
        <f t="shared" si="88"/>
        <v>6806819.7522999998</v>
      </c>
      <c r="J102" s="424">
        <v>200000</v>
      </c>
      <c r="K102" s="424">
        <v>0.2</v>
      </c>
      <c r="L102" s="424">
        <f t="shared" si="89"/>
        <v>1361363.95046</v>
      </c>
      <c r="M102" s="424">
        <f t="shared" si="90"/>
        <v>1561363.95046</v>
      </c>
      <c r="N102" s="424">
        <f t="shared" si="91"/>
        <v>1993398.46046</v>
      </c>
      <c r="O102" s="424">
        <f t="shared" si="92"/>
        <v>5245455.8018399999</v>
      </c>
      <c r="P102" s="424">
        <f t="shared" si="93"/>
        <v>21000</v>
      </c>
      <c r="Q102" s="424">
        <f t="shared" si="94"/>
        <v>33000</v>
      </c>
      <c r="R102" s="424">
        <f t="shared" si="95"/>
        <v>75000</v>
      </c>
      <c r="S102" s="424">
        <f t="shared" si="96"/>
        <v>95000</v>
      </c>
      <c r="T102" s="424">
        <f t="shared" si="97"/>
        <v>336000</v>
      </c>
      <c r="U102" s="424">
        <f>24%*(O102-3200000)</f>
        <v>490909.39244160103</v>
      </c>
      <c r="V102" s="424">
        <f t="shared" si="98"/>
        <v>1050909.3924416001</v>
      </c>
      <c r="W102" s="431">
        <v>12</v>
      </c>
      <c r="X102" s="424">
        <f t="shared" si="99"/>
        <v>87575.782703466699</v>
      </c>
      <c r="Y102" s="427"/>
      <c r="Z102" s="435">
        <f t="shared" si="100"/>
        <v>87575.782703466699</v>
      </c>
      <c r="AA102" s="436">
        <v>180180.378218667</v>
      </c>
      <c r="AB102" s="436">
        <f t="shared" si="102"/>
        <v>-92604.595515200301</v>
      </c>
      <c r="AC102" s="436" t="s">
        <v>226</v>
      </c>
      <c r="AD102" s="436"/>
      <c r="AE102" s="436"/>
    </row>
    <row r="103" spans="1:31" ht="18" x14ac:dyDescent="0.15">
      <c r="A103" s="421">
        <v>88</v>
      </c>
      <c r="B103" s="9" t="s">
        <v>228</v>
      </c>
      <c r="C103" s="424">
        <v>601625.033321667</v>
      </c>
      <c r="D103" s="423">
        <v>12</v>
      </c>
      <c r="E103" s="424">
        <f t="shared" si="101"/>
        <v>7219500.3998600002</v>
      </c>
      <c r="F103" s="424"/>
      <c r="G103" s="425">
        <v>424132.72</v>
      </c>
      <c r="H103" s="427"/>
      <c r="I103" s="424">
        <f t="shared" si="88"/>
        <v>6795367.6798599996</v>
      </c>
      <c r="J103" s="424">
        <v>200000</v>
      </c>
      <c r="K103" s="424">
        <v>0.2</v>
      </c>
      <c r="L103" s="424">
        <f t="shared" si="89"/>
        <v>1359073.5359720001</v>
      </c>
      <c r="M103" s="424">
        <f t="shared" si="90"/>
        <v>1559073.5359720001</v>
      </c>
      <c r="N103" s="424">
        <f t="shared" si="91"/>
        <v>1983206.2559720001</v>
      </c>
      <c r="O103" s="424">
        <f t="shared" si="92"/>
        <v>5236294.1438880004</v>
      </c>
      <c r="P103" s="424">
        <f t="shared" si="93"/>
        <v>21000</v>
      </c>
      <c r="Q103" s="424">
        <f t="shared" si="94"/>
        <v>33000</v>
      </c>
      <c r="R103" s="424">
        <f t="shared" si="95"/>
        <v>75000</v>
      </c>
      <c r="S103" s="424">
        <f t="shared" si="96"/>
        <v>95000</v>
      </c>
      <c r="T103" s="424">
        <f t="shared" si="97"/>
        <v>336000</v>
      </c>
      <c r="U103" s="424">
        <f>0.24*(O103-3200000)</f>
        <v>488710.59453312098</v>
      </c>
      <c r="V103" s="424">
        <f t="shared" si="98"/>
        <v>1048710.59453312</v>
      </c>
      <c r="W103" s="431">
        <v>12</v>
      </c>
      <c r="X103" s="424">
        <f t="shared" si="99"/>
        <v>87392.5495444267</v>
      </c>
      <c r="Y103" s="427"/>
      <c r="Z103" s="435">
        <f t="shared" si="100"/>
        <v>87392.5495444267</v>
      </c>
      <c r="AA103" s="436">
        <v>99907.951418666693</v>
      </c>
      <c r="AB103" s="436">
        <f t="shared" si="102"/>
        <v>-12515.40187424</v>
      </c>
      <c r="AC103" s="436" t="s">
        <v>228</v>
      </c>
      <c r="AD103" s="436"/>
      <c r="AE103" s="436"/>
    </row>
    <row r="104" spans="1:31" ht="18" x14ac:dyDescent="0.15">
      <c r="A104" s="421">
        <v>89</v>
      </c>
      <c r="B104" s="9" t="s">
        <v>230</v>
      </c>
      <c r="C104" s="424">
        <v>374481.86414666701</v>
      </c>
      <c r="D104" s="423">
        <v>12</v>
      </c>
      <c r="E104" s="424">
        <f t="shared" si="101"/>
        <v>4493782.3697600001</v>
      </c>
      <c r="F104" s="424"/>
      <c r="G104" s="425">
        <v>239182.48</v>
      </c>
      <c r="H104" s="427"/>
      <c r="I104" s="424">
        <f t="shared" si="88"/>
        <v>4254599.8897599997</v>
      </c>
      <c r="J104" s="424">
        <v>200000</v>
      </c>
      <c r="K104" s="424">
        <v>0.2</v>
      </c>
      <c r="L104" s="424">
        <f t="shared" si="89"/>
        <v>850919.97795200103</v>
      </c>
      <c r="M104" s="424">
        <f t="shared" si="90"/>
        <v>1050919.977952</v>
      </c>
      <c r="N104" s="424">
        <f t="shared" si="91"/>
        <v>1290102.457952</v>
      </c>
      <c r="O104" s="424">
        <f t="shared" si="92"/>
        <v>3203679.9118079999</v>
      </c>
      <c r="P104" s="424">
        <f t="shared" si="93"/>
        <v>21000</v>
      </c>
      <c r="Q104" s="424">
        <f t="shared" si="94"/>
        <v>33000</v>
      </c>
      <c r="R104" s="424">
        <f t="shared" si="95"/>
        <v>75000</v>
      </c>
      <c r="S104" s="424">
        <f t="shared" si="96"/>
        <v>95000</v>
      </c>
      <c r="T104" s="424">
        <f t="shared" si="97"/>
        <v>336000</v>
      </c>
      <c r="U104" s="424">
        <f>0.24*(O104-3200000)</f>
        <v>883.17883392076897</v>
      </c>
      <c r="V104" s="424">
        <f t="shared" si="98"/>
        <v>560883.17883392097</v>
      </c>
      <c r="W104" s="431">
        <v>12</v>
      </c>
      <c r="X104" s="424">
        <f t="shared" si="99"/>
        <v>46740.264902826697</v>
      </c>
      <c r="Y104" s="427"/>
      <c r="Z104" s="435">
        <f t="shared" si="100"/>
        <v>46740.264902826697</v>
      </c>
      <c r="AA104" s="436">
        <v>58941.101743466701</v>
      </c>
      <c r="AB104" s="436">
        <f t="shared" si="102"/>
        <v>-12200.83684064</v>
      </c>
      <c r="AC104" s="436" t="s">
        <v>230</v>
      </c>
      <c r="AD104" s="436"/>
      <c r="AE104" s="436"/>
    </row>
    <row r="105" spans="1:31" ht="31.5" x14ac:dyDescent="0.2">
      <c r="A105" s="421"/>
      <c r="B105" s="16" t="s">
        <v>233</v>
      </c>
      <c r="C105" s="424">
        <v>367926.02100000001</v>
      </c>
      <c r="D105" s="423">
        <v>12</v>
      </c>
      <c r="E105" s="424">
        <f t="shared" si="101"/>
        <v>4415112.2520000003</v>
      </c>
      <c r="F105" s="424"/>
      <c r="G105" s="425">
        <v>233257.2</v>
      </c>
      <c r="H105" s="427"/>
      <c r="I105" s="424">
        <f t="shared" si="88"/>
        <v>4181855.0520000001</v>
      </c>
      <c r="J105" s="424">
        <v>200000</v>
      </c>
      <c r="K105" s="424">
        <v>0.2</v>
      </c>
      <c r="L105" s="424">
        <f t="shared" si="89"/>
        <v>836371.01040000003</v>
      </c>
      <c r="M105" s="424">
        <f t="shared" si="90"/>
        <v>1036371.0104</v>
      </c>
      <c r="N105" s="424">
        <f t="shared" si="91"/>
        <v>1269628.2104</v>
      </c>
      <c r="O105" s="424">
        <f t="shared" si="92"/>
        <v>3145484.0416000001</v>
      </c>
      <c r="P105" s="424">
        <f t="shared" si="93"/>
        <v>21000</v>
      </c>
      <c r="Q105" s="424">
        <f t="shared" si="94"/>
        <v>33000</v>
      </c>
      <c r="R105" s="424">
        <f t="shared" si="95"/>
        <v>75000</v>
      </c>
      <c r="S105" s="424">
        <f t="shared" si="96"/>
        <v>95000</v>
      </c>
      <c r="T105" s="424">
        <f t="shared" si="97"/>
        <v>324551.648736</v>
      </c>
      <c r="U105" s="424"/>
      <c r="V105" s="424">
        <f t="shared" si="98"/>
        <v>548551.64873599994</v>
      </c>
      <c r="W105" s="431">
        <v>12</v>
      </c>
      <c r="X105" s="424">
        <f t="shared" si="99"/>
        <v>45712.637394666701</v>
      </c>
      <c r="Y105" s="427"/>
      <c r="Z105" s="435">
        <f t="shared" si="100"/>
        <v>45712.637394666701</v>
      </c>
      <c r="AA105" s="436">
        <v>58631.439944426696</v>
      </c>
      <c r="AB105" s="436">
        <f t="shared" si="102"/>
        <v>-12918.802549759999</v>
      </c>
      <c r="AC105" s="436" t="s">
        <v>233</v>
      </c>
      <c r="AD105" s="436"/>
      <c r="AE105" s="436"/>
    </row>
    <row r="106" spans="1:31" ht="18" x14ac:dyDescent="0.15">
      <c r="A106" s="421"/>
      <c r="B106" s="16" t="s">
        <v>234</v>
      </c>
      <c r="C106" s="424">
        <v>355198.112111667</v>
      </c>
      <c r="D106" s="423">
        <v>12</v>
      </c>
      <c r="E106" s="424">
        <f t="shared" si="101"/>
        <v>4262377.3453400005</v>
      </c>
      <c r="G106" s="425">
        <v>221406.64</v>
      </c>
      <c r="H106" s="427"/>
      <c r="I106" s="424">
        <f>E106-F107-G106-H106</f>
        <v>4040970.7053399999</v>
      </c>
      <c r="J106" s="424">
        <v>200000</v>
      </c>
      <c r="K106" s="424">
        <v>0.2</v>
      </c>
      <c r="L106" s="424">
        <f t="shared" si="89"/>
        <v>808194.14106800104</v>
      </c>
      <c r="M106" s="424">
        <f t="shared" si="90"/>
        <v>1008194.141068</v>
      </c>
      <c r="N106" s="424">
        <f>F107+G106+H106+M106</f>
        <v>1229600.781068</v>
      </c>
      <c r="O106" s="424">
        <f t="shared" si="92"/>
        <v>3032776.564272</v>
      </c>
      <c r="P106" s="424">
        <f t="shared" si="93"/>
        <v>21000</v>
      </c>
      <c r="Q106" s="424">
        <f t="shared" si="94"/>
        <v>33000</v>
      </c>
      <c r="R106" s="424">
        <f t="shared" si="95"/>
        <v>75000</v>
      </c>
      <c r="S106" s="424">
        <f t="shared" si="96"/>
        <v>95000</v>
      </c>
      <c r="T106" s="424">
        <f t="shared" si="97"/>
        <v>300883.07849712099</v>
      </c>
      <c r="U106" s="424"/>
      <c r="V106" s="424">
        <f t="shared" si="98"/>
        <v>524883.07849712099</v>
      </c>
      <c r="W106" s="431">
        <v>12</v>
      </c>
      <c r="X106" s="424">
        <f t="shared" si="99"/>
        <v>43740.256541426701</v>
      </c>
      <c r="Y106" s="427"/>
      <c r="Z106" s="435">
        <f t="shared" si="100"/>
        <v>43740.256541426701</v>
      </c>
      <c r="AA106" s="436">
        <v>31871.335203306699</v>
      </c>
      <c r="AB106" s="436">
        <f t="shared" si="102"/>
        <v>11868.921338120001</v>
      </c>
      <c r="AC106" s="436" t="s">
        <v>234</v>
      </c>
      <c r="AD106" s="436"/>
      <c r="AE106" s="436"/>
    </row>
    <row r="107" spans="1:31" ht="18" x14ac:dyDescent="0.15">
      <c r="A107" s="421"/>
      <c r="B107" s="18" t="s">
        <v>111</v>
      </c>
      <c r="C107" s="424"/>
      <c r="D107" s="423"/>
      <c r="E107" s="424"/>
      <c r="F107" s="424"/>
      <c r="G107" s="425"/>
      <c r="H107" s="427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31"/>
      <c r="X107" s="424"/>
      <c r="Y107" s="427"/>
      <c r="Z107" s="435"/>
      <c r="AA107" s="436"/>
      <c r="AB107" s="436"/>
      <c r="AC107" s="436"/>
      <c r="AD107" s="436"/>
      <c r="AE107" s="436"/>
    </row>
    <row r="108" spans="1:31" ht="18" x14ac:dyDescent="0.2">
      <c r="A108" s="421">
        <v>90</v>
      </c>
      <c r="B108" s="18"/>
      <c r="C108" s="424"/>
      <c r="G108" s="425"/>
      <c r="U108" s="424"/>
      <c r="Z108" s="438"/>
      <c r="AC108" s="436"/>
      <c r="AD108" s="436"/>
      <c r="AE108" s="436"/>
    </row>
    <row r="109" spans="1:31" ht="31.5" x14ac:dyDescent="0.2">
      <c r="A109" s="421">
        <v>91</v>
      </c>
      <c r="B109" s="18" t="s">
        <v>235</v>
      </c>
      <c r="C109" s="424"/>
      <c r="G109" s="425"/>
      <c r="U109" s="424"/>
      <c r="Z109" s="438"/>
      <c r="AC109" s="436"/>
      <c r="AD109" s="436"/>
      <c r="AE109" s="436"/>
    </row>
    <row r="110" spans="1:31" ht="31.5" x14ac:dyDescent="0.2">
      <c r="A110" s="421">
        <v>92</v>
      </c>
      <c r="B110" s="12" t="s">
        <v>152</v>
      </c>
      <c r="C110" s="424">
        <v>761396.83333333302</v>
      </c>
      <c r="D110" s="423">
        <v>12</v>
      </c>
      <c r="E110" s="424">
        <f>C110*D110</f>
        <v>9136762</v>
      </c>
      <c r="F110" s="424">
        <f>'[8]JANUARY 2024'!$V$115*12</f>
        <v>9678.9599999999991</v>
      </c>
      <c r="G110" s="425">
        <v>577340.96</v>
      </c>
      <c r="H110" s="427"/>
      <c r="I110" s="424">
        <f>E110-F110-G110-H110</f>
        <v>8549742.0799999908</v>
      </c>
      <c r="J110" s="424">
        <v>200000</v>
      </c>
      <c r="K110" s="424">
        <v>0.2</v>
      </c>
      <c r="L110" s="424">
        <f>I110*K110</f>
        <v>1709948.416</v>
      </c>
      <c r="M110" s="424">
        <f>J110+L110</f>
        <v>1909948.416</v>
      </c>
      <c r="N110" s="424">
        <f>F110+G110+H110+M110</f>
        <v>2496968.3360000001</v>
      </c>
      <c r="O110" s="424">
        <f>E110-N110</f>
        <v>6639793.6639999999</v>
      </c>
      <c r="P110" s="424">
        <f>IF(O110&lt;300000,0.07*O110,21000)</f>
        <v>21000</v>
      </c>
      <c r="Q110" s="424">
        <f>IF((O110-300000)&lt;0,0,IF((O110-300000)&lt;300000,0.11*(O110-300000),33000))</f>
        <v>33000</v>
      </c>
      <c r="R110" s="424">
        <f>IF((O110-600000)&lt;0,0,IF((O110-600000)&lt;500000,0.15*(O110-600000),75000))</f>
        <v>75000</v>
      </c>
      <c r="S110" s="424">
        <f>IF((O110-1100000)&lt;0,0,IF((O110-1100000)&lt;500000,0.19*(O110-1100000),95000))</f>
        <v>95000</v>
      </c>
      <c r="T110" s="424">
        <f>IF((O110-1600000)&lt;0,0,IF((O110-1600000)&lt;1600000,0.21*(O110-1600000),336000))</f>
        <v>336000</v>
      </c>
      <c r="U110" s="424">
        <f t="shared" ref="U110:U141" si="103">0.24*(O110-3200000)</f>
        <v>825550.47935999895</v>
      </c>
      <c r="V110" s="424">
        <f>P110+Q110+R110+S110+T110+U110</f>
        <v>1385550.47936</v>
      </c>
      <c r="W110" s="431">
        <v>12</v>
      </c>
      <c r="X110" s="424">
        <f>V110/W110</f>
        <v>115462.53994666701</v>
      </c>
      <c r="Y110" s="427"/>
      <c r="Z110" s="435">
        <f>X110</f>
        <v>115462.53994666701</v>
      </c>
      <c r="AA110" s="436">
        <v>77610.116906666706</v>
      </c>
      <c r="AB110" s="436">
        <f>Z110-AA110</f>
        <v>37852.4230399999</v>
      </c>
      <c r="AC110" s="436"/>
      <c r="AD110" s="436"/>
      <c r="AE110" s="436"/>
    </row>
    <row r="111" spans="1:31" ht="18" x14ac:dyDescent="0.15">
      <c r="A111" s="421">
        <v>93</v>
      </c>
      <c r="B111" s="9" t="s">
        <v>236</v>
      </c>
      <c r="C111" s="424">
        <v>487895.16666666698</v>
      </c>
      <c r="D111" s="423">
        <v>12</v>
      </c>
      <c r="E111" s="424">
        <f t="shared" ref="E111:E112" si="104">C111*D111</f>
        <v>5854742</v>
      </c>
      <c r="F111" s="424"/>
      <c r="G111" s="425">
        <v>362779.36</v>
      </c>
      <c r="H111" s="427"/>
      <c r="I111" s="424">
        <f>E111-F111-G111-H111</f>
        <v>5491962.6399999997</v>
      </c>
      <c r="J111" s="424">
        <v>200000</v>
      </c>
      <c r="K111" s="424">
        <v>0.2</v>
      </c>
      <c r="L111" s="424">
        <f>I111*K111</f>
        <v>1098392.5279999999</v>
      </c>
      <c r="M111" s="424">
        <f>J111+L111</f>
        <v>1298392.5279999999</v>
      </c>
      <c r="N111" s="424">
        <f>F111+G111+H111+M111</f>
        <v>1661171.888</v>
      </c>
      <c r="O111" s="424">
        <f>E111-N111</f>
        <v>4193570.1120000002</v>
      </c>
      <c r="P111" s="424">
        <f>IF(O111&lt;300000,0.07*O111,21000)</f>
        <v>21000</v>
      </c>
      <c r="Q111" s="424">
        <f>IF((O111-300000)&lt;0,0,IF((O111-300000)&lt;300000,0.11*(O111-300000),33000))</f>
        <v>33000</v>
      </c>
      <c r="R111" s="424">
        <f>IF((O111-600000)&lt;0,0,IF((O111-600000)&lt;500000,0.15*(O111-600000),75000))</f>
        <v>75000</v>
      </c>
      <c r="S111" s="424">
        <f>IF((O111-1100000)&lt;0,0,IF((O111-1100000)&lt;500000,0.19*(O111-1100000),95000))</f>
        <v>95000</v>
      </c>
      <c r="T111" s="424">
        <f>IF((O111-1600000)&lt;0,0,IF((O111-1600000)&lt;1600000,0.21*(O111-1600000),336000))</f>
        <v>336000</v>
      </c>
      <c r="U111" s="424">
        <f t="shared" si="103"/>
        <v>238456.826880001</v>
      </c>
      <c r="V111" s="424">
        <f>P111+Q111+R111+S111+T111+U111</f>
        <v>798456.826880001</v>
      </c>
      <c r="W111" s="431">
        <v>12</v>
      </c>
      <c r="X111" s="424">
        <f>V111/W111</f>
        <v>66538.068906666696</v>
      </c>
      <c r="Y111" s="427"/>
      <c r="Z111" s="435">
        <f>X111</f>
        <v>66538.068906666696</v>
      </c>
      <c r="AA111" s="436">
        <v>43368.882414666703</v>
      </c>
      <c r="AB111" s="436">
        <f t="shared" ref="AB111:AB112" si="105">Z111-AA111</f>
        <v>23169.186492000001</v>
      </c>
      <c r="AC111" s="436"/>
      <c r="AD111" s="436"/>
      <c r="AE111" s="436"/>
    </row>
    <row r="112" spans="1:31" ht="18" x14ac:dyDescent="0.15">
      <c r="A112" s="421">
        <v>94</v>
      </c>
      <c r="B112" s="9" t="s">
        <v>177</v>
      </c>
      <c r="C112" s="430">
        <v>450086.5</v>
      </c>
      <c r="D112" s="423">
        <v>12</v>
      </c>
      <c r="E112" s="424">
        <f t="shared" si="104"/>
        <v>5401038</v>
      </c>
      <c r="F112" s="424">
        <f>'[8]JANUARY 2024'!$V$117*12</f>
        <v>6919.4549999999999</v>
      </c>
      <c r="G112" s="425">
        <v>374483.04</v>
      </c>
      <c r="H112" s="427"/>
      <c r="I112" s="424">
        <f>E112-F112-G112-H112</f>
        <v>5019635.5049999999</v>
      </c>
      <c r="J112" s="424">
        <v>200000</v>
      </c>
      <c r="K112" s="424">
        <v>0.2</v>
      </c>
      <c r="L112" s="424">
        <f>I112*K112</f>
        <v>1003927.101</v>
      </c>
      <c r="M112" s="424">
        <f>J112+L112</f>
        <v>1203927.101</v>
      </c>
      <c r="N112" s="424">
        <f>F112+G112+H112+M112</f>
        <v>1585329.5959999999</v>
      </c>
      <c r="O112" s="424">
        <f>E112-N112</f>
        <v>3815708.4040000001</v>
      </c>
      <c r="P112" s="424">
        <f>IF(O112&lt;300000,0.07*O112,21000)</f>
        <v>21000</v>
      </c>
      <c r="Q112" s="424">
        <f>IF((O112-300000)&lt;0,0,IF((O112-300000)&lt;300000,0.11*(O112-300000),33000))</f>
        <v>33000</v>
      </c>
      <c r="R112" s="424">
        <f>IF((O112-600000)&lt;0,0,IF((O112-600000)&lt;500000,0.15*(O112-600000),75000))</f>
        <v>75000</v>
      </c>
      <c r="S112" s="424">
        <f>IF((O112-1100000)&lt;0,0,IF((O112-1100000)&lt;500000,0.19*(O112-1100000),95000))</f>
        <v>95000</v>
      </c>
      <c r="T112" s="424">
        <f>IF((O112-1600000)&lt;0,0,IF((O112-1600000)&lt;1600000,0.21*(O112-1600000),336000))</f>
        <v>336000</v>
      </c>
      <c r="U112" s="424">
        <f t="shared" si="103"/>
        <v>147770.01696000001</v>
      </c>
      <c r="V112" s="424">
        <f>P112+Q112+R112+S112+T112+U112</f>
        <v>707770.01696000004</v>
      </c>
      <c r="W112" s="431">
        <v>12</v>
      </c>
      <c r="X112" s="424">
        <f>V112/W112</f>
        <v>58980.834746666696</v>
      </c>
      <c r="Y112" s="427"/>
      <c r="Z112" s="435">
        <f>X112</f>
        <v>58980.834746666696</v>
      </c>
      <c r="AA112" s="436">
        <v>35221.954086666701</v>
      </c>
      <c r="AB112" s="436">
        <f t="shared" si="105"/>
        <v>23758.880659999999</v>
      </c>
      <c r="AC112" s="436"/>
      <c r="AD112" s="436"/>
      <c r="AE112" s="436"/>
    </row>
    <row r="113" spans="1:31" ht="18" x14ac:dyDescent="0.2">
      <c r="A113" s="421">
        <v>95</v>
      </c>
      <c r="B113" s="18"/>
      <c r="C113" s="424"/>
      <c r="D113" s="423"/>
      <c r="E113" s="424"/>
      <c r="F113" s="424"/>
      <c r="G113" s="427"/>
      <c r="H113" s="427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31"/>
      <c r="X113" s="424"/>
      <c r="Y113" s="427"/>
      <c r="Z113" s="435"/>
      <c r="AA113" s="436"/>
      <c r="AB113" s="436"/>
      <c r="AC113" s="436"/>
      <c r="AD113" s="436"/>
      <c r="AE113" s="436"/>
    </row>
    <row r="114" spans="1:31" ht="18" x14ac:dyDescent="0.2">
      <c r="A114" s="421">
        <v>96</v>
      </c>
      <c r="B114" s="20"/>
      <c r="C114" s="424"/>
      <c r="U114" s="437"/>
      <c r="Z114" s="438"/>
      <c r="AC114" s="436"/>
      <c r="AD114" s="436"/>
      <c r="AE114" s="436"/>
    </row>
    <row r="115" spans="1:31" ht="18" x14ac:dyDescent="0.15">
      <c r="A115" s="421">
        <v>97</v>
      </c>
      <c r="B115" s="18" t="s">
        <v>250</v>
      </c>
      <c r="C115" s="424"/>
      <c r="U115" s="437"/>
      <c r="Z115" s="438"/>
      <c r="AC115" s="436"/>
      <c r="AD115" s="436"/>
      <c r="AE115" s="436"/>
    </row>
    <row r="116" spans="1:31" ht="18" x14ac:dyDescent="0.15">
      <c r="A116" s="421">
        <v>98</v>
      </c>
      <c r="B116" s="9" t="s">
        <v>251</v>
      </c>
      <c r="C116" s="424">
        <v>1635720</v>
      </c>
      <c r="D116" s="423">
        <v>12</v>
      </c>
      <c r="E116" s="424">
        <f>C116*D116</f>
        <v>19628640</v>
      </c>
      <c r="F116" s="424">
        <f>2043.5005*12</f>
        <v>24522.006000000001</v>
      </c>
      <c r="G116" s="425">
        <v>1378291.2</v>
      </c>
      <c r="H116" s="427"/>
      <c r="I116" s="424">
        <f t="shared" ref="I116:I125" si="106">E116-F116-G116-H116</f>
        <v>18225826.794</v>
      </c>
      <c r="J116" s="424">
        <v>200000</v>
      </c>
      <c r="K116" s="424">
        <v>0.2</v>
      </c>
      <c r="L116" s="424">
        <f>I116*K116</f>
        <v>3645165.3588</v>
      </c>
      <c r="M116" s="424">
        <f>J116+L116</f>
        <v>3845165.3588</v>
      </c>
      <c r="N116" s="424">
        <f t="shared" ref="N116:N125" si="107">F116+G116+H116+M116</f>
        <v>5247978.5647999998</v>
      </c>
      <c r="O116" s="424">
        <f t="shared" ref="O116:O125" si="108">E116-N116</f>
        <v>14380661.4352</v>
      </c>
      <c r="P116" s="424">
        <f>IF(O116&lt;300000,0.07*O116,21000)</f>
        <v>21000</v>
      </c>
      <c r="Q116" s="424">
        <f>IF((O116-300000)&lt;0,0,IF((O116-300000)&lt;300000,0.11*(O116-300000),33000))</f>
        <v>33000</v>
      </c>
      <c r="R116" s="424">
        <f>IF((O116-600000)&lt;0,0,IF((O116-600000)&lt;500000,0.15*(O116-600000),75000))</f>
        <v>75000</v>
      </c>
      <c r="S116" s="424">
        <f>IF((O116-1100000)&lt;0,0,IF((O116-1100000)&lt;500000,0.19*(O116-1100000),95000))</f>
        <v>95000</v>
      </c>
      <c r="T116" s="424">
        <f>IF((O116-1600000)&lt;0,0,IF((O116-1600000)&lt;1600000,0.21*(O116-1600000),336000))</f>
        <v>336000</v>
      </c>
      <c r="U116" s="424">
        <f t="shared" si="103"/>
        <v>2683358.7444480001</v>
      </c>
      <c r="V116" s="424">
        <f>P116+Q116+R116+S116+T116+U116</f>
        <v>3243358.7444480001</v>
      </c>
      <c r="W116" s="431">
        <v>12</v>
      </c>
      <c r="X116" s="424">
        <f>V116/W116</f>
        <v>270279.89537066699</v>
      </c>
      <c r="Y116" s="427"/>
      <c r="Z116" s="435">
        <f>X116</f>
        <v>270279.89537066699</v>
      </c>
      <c r="AA116" s="436">
        <v>179914.45476266701</v>
      </c>
      <c r="AB116" s="436">
        <f>Z116-AA116</f>
        <v>90365.440607999699</v>
      </c>
      <c r="AC116" s="436"/>
      <c r="AD116" s="436"/>
      <c r="AE116" s="436"/>
    </row>
    <row r="117" spans="1:31" ht="18" x14ac:dyDescent="0.15">
      <c r="A117" s="421">
        <v>99</v>
      </c>
      <c r="B117" s="9" t="s">
        <v>253</v>
      </c>
      <c r="C117" s="424">
        <v>929203.58333333302</v>
      </c>
      <c r="D117" s="423">
        <v>12</v>
      </c>
      <c r="E117" s="424">
        <f t="shared" ref="E117:E125" si="109">C117*D117</f>
        <v>11150443</v>
      </c>
      <c r="F117" s="424">
        <f>1028.94225*12</f>
        <v>12347.307000000001</v>
      </c>
      <c r="G117" s="425">
        <v>709635.44</v>
      </c>
      <c r="H117" s="427"/>
      <c r="I117" s="424">
        <f t="shared" si="106"/>
        <v>10428460.253</v>
      </c>
      <c r="J117" s="424">
        <v>200000</v>
      </c>
      <c r="K117" s="424">
        <v>0.2</v>
      </c>
      <c r="L117" s="424">
        <f>I117*K117</f>
        <v>2085692.0506</v>
      </c>
      <c r="M117" s="424">
        <f>J117+L117</f>
        <v>2285692.0506000002</v>
      </c>
      <c r="N117" s="424">
        <f t="shared" si="107"/>
        <v>3007674.7976000002</v>
      </c>
      <c r="O117" s="424">
        <f t="shared" si="108"/>
        <v>8142768.2023999998</v>
      </c>
      <c r="P117" s="424">
        <f>IF(O117&lt;300000,0.07*O117,21000)</f>
        <v>21000</v>
      </c>
      <c r="Q117" s="424">
        <f>IF((O117-300000)&lt;0,0,IF((O117-300000)&lt;300000,0.11*(O117-300000),33000))</f>
        <v>33000</v>
      </c>
      <c r="R117" s="424">
        <f>IF((O117-600000)&lt;0,0,IF((O117-600000)&lt;500000,0.15*(O117-600000),75000))</f>
        <v>75000</v>
      </c>
      <c r="S117" s="424">
        <f>IF((O117-1100000)&lt;0,0,IF((O117-1100000)&lt;500000,0.19*(O117-1100000),95000))</f>
        <v>95000</v>
      </c>
      <c r="T117" s="424">
        <f>IF((O117-1600000)&lt;0,0,IF((O117-1600000)&lt;1600000,0.21*(O117-1600000),336000))</f>
        <v>336000</v>
      </c>
      <c r="U117" s="424">
        <f t="shared" si="103"/>
        <v>1186264.368576</v>
      </c>
      <c r="V117" s="424">
        <f>P117+Q117+R117+S117+T117+U117</f>
        <v>1746264.368576</v>
      </c>
      <c r="W117" s="431">
        <v>12</v>
      </c>
      <c r="X117" s="424">
        <f>V117/W117</f>
        <v>145522.03071466699</v>
      </c>
      <c r="Y117" s="427"/>
      <c r="Z117" s="435">
        <f>X117</f>
        <v>145522.03071466699</v>
      </c>
      <c r="AA117" s="436">
        <v>98995.956938666699</v>
      </c>
      <c r="AB117" s="436">
        <f t="shared" ref="AB117:AB125" si="110">Z117-AA117</f>
        <v>46526.073775999903</v>
      </c>
      <c r="AC117" s="436"/>
      <c r="AD117" s="436"/>
      <c r="AE117" s="436"/>
    </row>
    <row r="118" spans="1:31" ht="18" x14ac:dyDescent="0.15">
      <c r="A118" s="421"/>
      <c r="B118" s="12" t="s">
        <v>255</v>
      </c>
      <c r="C118" s="424">
        <v>830675.58333333302</v>
      </c>
      <c r="D118" s="423">
        <v>12</v>
      </c>
      <c r="E118" s="424">
        <f t="shared" si="109"/>
        <v>9968107</v>
      </c>
      <c r="F118" s="424">
        <f>837.6875*12</f>
        <v>10052.25</v>
      </c>
      <c r="G118" s="425">
        <v>595848.56000000006</v>
      </c>
      <c r="H118" s="427"/>
      <c r="I118" s="424">
        <f t="shared" si="106"/>
        <v>9362206.1899999995</v>
      </c>
      <c r="J118" s="424">
        <v>200000</v>
      </c>
      <c r="K118" s="424">
        <v>0.2</v>
      </c>
      <c r="L118" s="424">
        <f>I118*K118</f>
        <v>1872441.2379999999</v>
      </c>
      <c r="M118" s="424">
        <f>J118+L118</f>
        <v>2072441.2379999999</v>
      </c>
      <c r="N118" s="424">
        <f t="shared" si="107"/>
        <v>2678342.048</v>
      </c>
      <c r="O118" s="424">
        <f t="shared" si="108"/>
        <v>7289764.9519999996</v>
      </c>
      <c r="P118" s="424">
        <f>IF(O118&lt;300000,0.07*O118,21000)</f>
        <v>21000</v>
      </c>
      <c r="Q118" s="424">
        <f>IF((O118-300000)&lt;0,0,IF((O118-300000)&lt;300000,0.11*(O118-300000),33000))</f>
        <v>33000</v>
      </c>
      <c r="R118" s="424">
        <f>IF((O118-600000)&lt;0,0,IF((O118-600000)&lt;500000,0.15*(O118-600000),75000))</f>
        <v>75000</v>
      </c>
      <c r="S118" s="424">
        <f>IF((O118-1100000)&lt;0,0,IF((O118-1100000)&lt;500000,0.19*(O118-1100000),95000))</f>
        <v>95000</v>
      </c>
      <c r="T118" s="424">
        <f>IF((O118-1600000)&lt;0,0,IF((O118-1600000)&lt;1600000,0.21*(O118-1600000),336000))</f>
        <v>336000</v>
      </c>
      <c r="U118" s="424">
        <f t="shared" si="103"/>
        <v>981543.58847999899</v>
      </c>
      <c r="V118" s="424">
        <f>P118+Q118+R118+S118+T118+U118</f>
        <v>1541543.5884799999</v>
      </c>
      <c r="W118" s="431">
        <v>12</v>
      </c>
      <c r="X118" s="424">
        <f>V118/W118</f>
        <v>128461.965706667</v>
      </c>
      <c r="Y118" s="427"/>
      <c r="Z118" s="435">
        <f>X118</f>
        <v>128461.965706667</v>
      </c>
      <c r="AA118" s="436">
        <v>89396.103146666603</v>
      </c>
      <c r="AB118" s="436">
        <f t="shared" si="110"/>
        <v>39065.862560000001</v>
      </c>
      <c r="AC118" s="436"/>
      <c r="AD118" s="436"/>
      <c r="AE118" s="436"/>
    </row>
    <row r="119" spans="1:31" ht="18" x14ac:dyDescent="0.15">
      <c r="A119" s="421"/>
      <c r="B119" s="12" t="s">
        <v>556</v>
      </c>
      <c r="C119" s="424">
        <v>662118.08333333302</v>
      </c>
      <c r="D119" s="423">
        <v>12</v>
      </c>
      <c r="E119" s="424">
        <f t="shared" si="109"/>
        <v>7945417</v>
      </c>
      <c r="F119" s="424"/>
      <c r="G119" s="425">
        <v>0</v>
      </c>
      <c r="H119" s="427"/>
      <c r="I119" s="424">
        <f t="shared" si="106"/>
        <v>7945417</v>
      </c>
      <c r="J119" s="424">
        <v>200000</v>
      </c>
      <c r="K119" s="424">
        <v>0.2</v>
      </c>
      <c r="L119" s="424">
        <f>I119*K119</f>
        <v>1589083.4</v>
      </c>
      <c r="M119" s="424">
        <f>J119+L119</f>
        <v>1789083.4</v>
      </c>
      <c r="N119" s="424">
        <f t="shared" si="107"/>
        <v>1789083.4</v>
      </c>
      <c r="O119" s="424">
        <f t="shared" si="108"/>
        <v>6156333.5999999996</v>
      </c>
      <c r="P119" s="424">
        <f>IF(O119&lt;300000,0.07*O119,21000)</f>
        <v>21000</v>
      </c>
      <c r="Q119" s="424">
        <f>IF((O119-300000)&lt;0,0,IF((O119-300000)&lt;300000,0.11*(O119-300000),33000))</f>
        <v>33000</v>
      </c>
      <c r="R119" s="424">
        <f>IF((O119-600000)&lt;0,0,IF((O119-600000)&lt;500000,0.15*(O119-600000),75000))</f>
        <v>75000</v>
      </c>
      <c r="S119" s="424">
        <f>IF((O119-1100000)&lt;0,0,IF((O119-1100000)&lt;500000,0.19*(O119-1100000),95000))</f>
        <v>95000</v>
      </c>
      <c r="T119" s="424">
        <f>IF((O119-1600000)&lt;0,0,IF((O119-1600000)&lt;1600000,0.21*(O119-1600000),336000))</f>
        <v>336000</v>
      </c>
      <c r="U119" s="424">
        <f t="shared" si="103"/>
        <v>709520.06399999897</v>
      </c>
      <c r="V119" s="424">
        <f>P119+Q119+R119+S119+T119+U119</f>
        <v>1269520.064</v>
      </c>
      <c r="W119" s="431">
        <v>12</v>
      </c>
      <c r="X119" s="424">
        <f>V119/W119</f>
        <v>105793.338666667</v>
      </c>
      <c r="Y119" s="427"/>
      <c r="Z119" s="435">
        <f>X119</f>
        <v>105793.338666667</v>
      </c>
      <c r="AA119" s="436">
        <v>60214.677290666703</v>
      </c>
      <c r="AB119" s="436">
        <f t="shared" si="110"/>
        <v>45578.661375999902</v>
      </c>
      <c r="AC119" s="436"/>
      <c r="AD119" s="436"/>
      <c r="AE119" s="436"/>
    </row>
    <row r="120" spans="1:31" ht="18" x14ac:dyDescent="0.15">
      <c r="A120" s="421">
        <v>101</v>
      </c>
      <c r="B120" s="9" t="s">
        <v>257</v>
      </c>
      <c r="C120" s="424">
        <v>540498</v>
      </c>
      <c r="D120" s="423">
        <v>12</v>
      </c>
      <c r="E120" s="424">
        <f t="shared" si="109"/>
        <v>6485976</v>
      </c>
      <c r="F120" s="424"/>
      <c r="G120" s="425">
        <v>451678.08</v>
      </c>
      <c r="H120" s="427"/>
      <c r="I120" s="424">
        <f t="shared" si="106"/>
        <v>6034297.9199999999</v>
      </c>
      <c r="J120" s="424">
        <v>200000</v>
      </c>
      <c r="K120" s="424">
        <v>0.2</v>
      </c>
      <c r="L120" s="424">
        <f t="shared" ref="L120:L125" si="111">I120*K120</f>
        <v>1206859.584</v>
      </c>
      <c r="M120" s="424">
        <f t="shared" ref="M120:M125" si="112">J120+L120</f>
        <v>1406859.584</v>
      </c>
      <c r="N120" s="424">
        <f t="shared" si="107"/>
        <v>1858537.6640000001</v>
      </c>
      <c r="O120" s="424">
        <f t="shared" si="108"/>
        <v>4627438.3360000001</v>
      </c>
      <c r="P120" s="424">
        <f t="shared" ref="P120:P125" si="113">IF(O120&lt;300000,0.07*O120,21000)</f>
        <v>21000</v>
      </c>
      <c r="Q120" s="424">
        <f t="shared" ref="Q120:Q125" si="114">IF((O120-300000)&lt;0,0,IF((O120-300000)&lt;300000,0.11*(O120-300000),33000))</f>
        <v>33000</v>
      </c>
      <c r="R120" s="424">
        <f t="shared" ref="R120:R125" si="115">IF((O120-600000)&lt;0,0,IF((O120-600000)&lt;500000,0.15*(O120-600000),75000))</f>
        <v>75000</v>
      </c>
      <c r="S120" s="424">
        <f t="shared" ref="S120:S125" si="116">IF((O120-1100000)&lt;0,0,IF((O120-1100000)&lt;500000,0.19*(O120-1100000),95000))</f>
        <v>95000</v>
      </c>
      <c r="T120" s="424">
        <f t="shared" ref="T120:T125" si="117">IF((O120-1600000)&lt;0,0,IF((O120-1600000)&lt;1600000,0.21*(O120-1600000),336000))</f>
        <v>336000</v>
      </c>
      <c r="U120" s="424">
        <f t="shared" si="103"/>
        <v>342585.20064</v>
      </c>
      <c r="V120" s="424">
        <f t="shared" ref="V120:V125" si="118">P120+Q120+R120+S120+T120+U120</f>
        <v>902585.20064000005</v>
      </c>
      <c r="W120" s="431">
        <v>12</v>
      </c>
      <c r="X120" s="424">
        <f t="shared" ref="X120:X125" si="119">V120/W120</f>
        <v>75215.4333866667</v>
      </c>
      <c r="Y120" s="427"/>
      <c r="Z120" s="435">
        <f t="shared" ref="Z120:Z125" si="120">X120</f>
        <v>75215.4333866667</v>
      </c>
      <c r="AA120" s="436">
        <v>44846.6165886667</v>
      </c>
      <c r="AB120" s="436">
        <f t="shared" si="110"/>
        <v>30368.816798</v>
      </c>
      <c r="AC120" s="436"/>
      <c r="AD120" s="436"/>
      <c r="AE120" s="436"/>
    </row>
    <row r="121" spans="1:31" ht="18" x14ac:dyDescent="0.15">
      <c r="A121" s="421">
        <v>103</v>
      </c>
      <c r="B121" s="9" t="s">
        <v>259</v>
      </c>
      <c r="C121" s="424">
        <v>512746.5</v>
      </c>
      <c r="D121" s="423">
        <v>12</v>
      </c>
      <c r="E121" s="424">
        <f t="shared" si="109"/>
        <v>6152958</v>
      </c>
      <c r="F121" s="430">
        <f>646.3525*12</f>
        <v>7756.23</v>
      </c>
      <c r="G121" s="425">
        <v>425036.64</v>
      </c>
      <c r="H121" s="427"/>
      <c r="I121" s="424">
        <f t="shared" si="106"/>
        <v>5720165.1299999999</v>
      </c>
      <c r="J121" s="424">
        <v>200000</v>
      </c>
      <c r="K121" s="424">
        <v>0.2</v>
      </c>
      <c r="L121" s="424">
        <f t="shared" si="111"/>
        <v>1144033.0260000001</v>
      </c>
      <c r="M121" s="424">
        <f t="shared" si="112"/>
        <v>1344033.0260000001</v>
      </c>
      <c r="N121" s="424">
        <f t="shared" si="107"/>
        <v>1776825.8959999999</v>
      </c>
      <c r="O121" s="424">
        <f t="shared" si="108"/>
        <v>4376132.1040000003</v>
      </c>
      <c r="P121" s="424">
        <f t="shared" si="113"/>
        <v>21000</v>
      </c>
      <c r="Q121" s="424">
        <f t="shared" si="114"/>
        <v>33000</v>
      </c>
      <c r="R121" s="424">
        <f t="shared" si="115"/>
        <v>75000</v>
      </c>
      <c r="S121" s="424">
        <f t="shared" si="116"/>
        <v>95000</v>
      </c>
      <c r="T121" s="424">
        <f t="shared" si="117"/>
        <v>336000</v>
      </c>
      <c r="U121" s="424">
        <f t="shared" si="103"/>
        <v>282271.70496</v>
      </c>
      <c r="V121" s="424">
        <f t="shared" si="118"/>
        <v>842271.70496</v>
      </c>
      <c r="W121" s="431">
        <v>12</v>
      </c>
      <c r="X121" s="424">
        <f t="shared" si="119"/>
        <v>70189.308746666706</v>
      </c>
      <c r="Y121" s="427"/>
      <c r="Z121" s="435">
        <f t="shared" si="120"/>
        <v>70189.308746666706</v>
      </c>
      <c r="AA121" s="436">
        <v>42029.589186666701</v>
      </c>
      <c r="AB121" s="436">
        <f t="shared" si="110"/>
        <v>28159.719560000001</v>
      </c>
      <c r="AC121" s="436"/>
      <c r="AD121" s="436"/>
      <c r="AE121" s="436"/>
    </row>
    <row r="122" spans="1:31" ht="18" x14ac:dyDescent="0.15">
      <c r="A122" s="421">
        <v>105</v>
      </c>
      <c r="B122" s="9" t="s">
        <v>260</v>
      </c>
      <c r="C122" s="424">
        <v>526622.25</v>
      </c>
      <c r="D122" s="423">
        <v>12</v>
      </c>
      <c r="E122" s="424">
        <f t="shared" si="109"/>
        <v>6319467</v>
      </c>
      <c r="F122" s="430">
        <f>668.31625*12</f>
        <v>8019.7950000000001</v>
      </c>
      <c r="G122" s="425">
        <v>438357.36</v>
      </c>
      <c r="H122" s="427"/>
      <c r="I122" s="424">
        <f t="shared" si="106"/>
        <v>5873089.8449999997</v>
      </c>
      <c r="J122" s="424">
        <v>200000</v>
      </c>
      <c r="K122" s="424">
        <v>0.2</v>
      </c>
      <c r="L122" s="424">
        <f t="shared" si="111"/>
        <v>1174617.969</v>
      </c>
      <c r="M122" s="424">
        <f t="shared" si="112"/>
        <v>1374617.969</v>
      </c>
      <c r="N122" s="424">
        <f t="shared" si="107"/>
        <v>1820995.1240000001</v>
      </c>
      <c r="O122" s="424">
        <f t="shared" si="108"/>
        <v>4498471.8760000002</v>
      </c>
      <c r="P122" s="424">
        <f t="shared" si="113"/>
        <v>21000</v>
      </c>
      <c r="Q122" s="424">
        <f t="shared" si="114"/>
        <v>33000</v>
      </c>
      <c r="R122" s="424">
        <f t="shared" si="115"/>
        <v>75000</v>
      </c>
      <c r="S122" s="424">
        <f t="shared" si="116"/>
        <v>95000</v>
      </c>
      <c r="T122" s="424">
        <f t="shared" si="117"/>
        <v>336000</v>
      </c>
      <c r="U122" s="424">
        <f t="shared" si="103"/>
        <v>311633.25024000002</v>
      </c>
      <c r="V122" s="424">
        <f t="shared" si="118"/>
        <v>871633.25023999996</v>
      </c>
      <c r="W122" s="431">
        <v>12</v>
      </c>
      <c r="X122" s="424">
        <f t="shared" si="119"/>
        <v>72636.104186666693</v>
      </c>
      <c r="Y122" s="427"/>
      <c r="Z122" s="435">
        <f t="shared" si="120"/>
        <v>72636.104186666693</v>
      </c>
      <c r="AA122" s="436">
        <v>43380.096246666697</v>
      </c>
      <c r="AB122" s="436">
        <f t="shared" si="110"/>
        <v>29256.00794</v>
      </c>
      <c r="AC122" s="436"/>
      <c r="AD122" s="436"/>
      <c r="AE122" s="436"/>
    </row>
    <row r="123" spans="1:31" ht="18" x14ac:dyDescent="0.15">
      <c r="A123" s="421">
        <v>106</v>
      </c>
      <c r="B123" s="9" t="s">
        <v>263</v>
      </c>
      <c r="C123" s="424">
        <v>330481.66666666698</v>
      </c>
      <c r="D123" s="423">
        <v>12</v>
      </c>
      <c r="E123" s="424">
        <f t="shared" si="109"/>
        <v>3965780</v>
      </c>
      <c r="F123" s="424"/>
      <c r="G123" s="425">
        <v>259662.4</v>
      </c>
      <c r="H123" s="427"/>
      <c r="I123" s="424">
        <f t="shared" si="106"/>
        <v>3706117.6</v>
      </c>
      <c r="J123" s="424">
        <v>200000</v>
      </c>
      <c r="K123" s="424">
        <v>0.2</v>
      </c>
      <c r="L123" s="424">
        <f t="shared" si="111"/>
        <v>741223.52000000095</v>
      </c>
      <c r="M123" s="424">
        <f t="shared" si="112"/>
        <v>941223.52000000095</v>
      </c>
      <c r="N123" s="424">
        <f t="shared" si="107"/>
        <v>1200885.92</v>
      </c>
      <c r="O123" s="424">
        <f t="shared" si="108"/>
        <v>2764894.08</v>
      </c>
      <c r="P123" s="424">
        <f t="shared" si="113"/>
        <v>21000</v>
      </c>
      <c r="Q123" s="424">
        <f t="shared" si="114"/>
        <v>33000</v>
      </c>
      <c r="R123" s="424">
        <f t="shared" si="115"/>
        <v>75000</v>
      </c>
      <c r="S123" s="424">
        <f t="shared" si="116"/>
        <v>95000</v>
      </c>
      <c r="T123" s="424">
        <f t="shared" si="117"/>
        <v>244627.75680000099</v>
      </c>
      <c r="U123" s="424"/>
      <c r="V123" s="424">
        <f t="shared" si="118"/>
        <v>468627.75680000102</v>
      </c>
      <c r="W123" s="431">
        <v>12</v>
      </c>
      <c r="X123" s="424">
        <f t="shared" si="119"/>
        <v>39052.313066666698</v>
      </c>
      <c r="Y123" s="427"/>
      <c r="Z123" s="435">
        <f t="shared" si="120"/>
        <v>39052.313066666698</v>
      </c>
      <c r="AA123" s="436">
        <v>23036.012346666699</v>
      </c>
      <c r="AB123" s="436">
        <f t="shared" si="110"/>
        <v>16016.300719999999</v>
      </c>
      <c r="AC123" s="436"/>
      <c r="AD123" s="436"/>
      <c r="AE123" s="436"/>
    </row>
    <row r="124" spans="1:31" ht="18" x14ac:dyDescent="0.15">
      <c r="A124" s="421">
        <v>107</v>
      </c>
      <c r="B124" s="16" t="s">
        <v>265</v>
      </c>
      <c r="C124" s="424">
        <v>274459.75</v>
      </c>
      <c r="D124" s="423">
        <v>12</v>
      </c>
      <c r="E124" s="424">
        <f t="shared" si="109"/>
        <v>3293517</v>
      </c>
      <c r="F124" s="424"/>
      <c r="G124" s="425">
        <v>215481.36</v>
      </c>
      <c r="H124" s="427"/>
      <c r="I124" s="424">
        <f t="shared" si="106"/>
        <v>3078035.64</v>
      </c>
      <c r="J124" s="424">
        <v>200000</v>
      </c>
      <c r="K124" s="424">
        <v>0.2</v>
      </c>
      <c r="L124" s="424">
        <f t="shared" si="111"/>
        <v>615607.12800000003</v>
      </c>
      <c r="M124" s="424">
        <f t="shared" si="112"/>
        <v>815607.12800000003</v>
      </c>
      <c r="N124" s="424">
        <f t="shared" si="107"/>
        <v>1031088.488</v>
      </c>
      <c r="O124" s="424">
        <f t="shared" si="108"/>
        <v>2262428.5120000001</v>
      </c>
      <c r="P124" s="424">
        <f t="shared" si="113"/>
        <v>21000</v>
      </c>
      <c r="Q124" s="424">
        <f t="shared" si="114"/>
        <v>33000</v>
      </c>
      <c r="R124" s="424">
        <f t="shared" si="115"/>
        <v>75000</v>
      </c>
      <c r="S124" s="424">
        <f t="shared" si="116"/>
        <v>95000</v>
      </c>
      <c r="T124" s="424">
        <f t="shared" si="117"/>
        <v>139109.98752</v>
      </c>
      <c r="U124" s="424"/>
      <c r="V124" s="424">
        <f t="shared" si="118"/>
        <v>363109.98752000002</v>
      </c>
      <c r="W124" s="431">
        <v>12</v>
      </c>
      <c r="X124" s="424">
        <f t="shared" si="119"/>
        <v>30259.165626666701</v>
      </c>
      <c r="Y124" s="427"/>
      <c r="Z124" s="435">
        <f t="shared" si="120"/>
        <v>30259.165626666701</v>
      </c>
      <c r="AA124" s="436">
        <v>17042.713866666702</v>
      </c>
      <c r="AB124" s="436">
        <f t="shared" si="110"/>
        <v>13216.45176</v>
      </c>
      <c r="AC124" s="436"/>
      <c r="AD124" s="436"/>
      <c r="AE124" s="436"/>
    </row>
    <row r="125" spans="1:31" ht="18" x14ac:dyDescent="0.15">
      <c r="A125" s="421">
        <v>108</v>
      </c>
      <c r="B125" s="16" t="s">
        <v>267</v>
      </c>
      <c r="C125" s="424">
        <v>274459.75</v>
      </c>
      <c r="D125" s="423">
        <v>12</v>
      </c>
      <c r="E125" s="424">
        <f t="shared" si="109"/>
        <v>3293517</v>
      </c>
      <c r="F125" s="424"/>
      <c r="G125" s="425">
        <v>215481.36</v>
      </c>
      <c r="H125" s="427"/>
      <c r="I125" s="424">
        <f t="shared" si="106"/>
        <v>3078035.64</v>
      </c>
      <c r="J125" s="424">
        <v>200000</v>
      </c>
      <c r="K125" s="424">
        <v>0.2</v>
      </c>
      <c r="L125" s="424">
        <f t="shared" si="111"/>
        <v>615607.12800000003</v>
      </c>
      <c r="M125" s="424">
        <f t="shared" si="112"/>
        <v>815607.12800000003</v>
      </c>
      <c r="N125" s="424">
        <f t="shared" si="107"/>
        <v>1031088.488</v>
      </c>
      <c r="O125" s="424">
        <f t="shared" si="108"/>
        <v>2262428.5120000001</v>
      </c>
      <c r="P125" s="424">
        <f t="shared" si="113"/>
        <v>21000</v>
      </c>
      <c r="Q125" s="424">
        <f t="shared" si="114"/>
        <v>33000</v>
      </c>
      <c r="R125" s="424">
        <f t="shared" si="115"/>
        <v>75000</v>
      </c>
      <c r="S125" s="424">
        <f t="shared" si="116"/>
        <v>95000</v>
      </c>
      <c r="T125" s="424">
        <f t="shared" si="117"/>
        <v>139109.98752</v>
      </c>
      <c r="U125" s="424"/>
      <c r="V125" s="424">
        <f t="shared" si="118"/>
        <v>363109.98752000002</v>
      </c>
      <c r="W125" s="431">
        <v>12</v>
      </c>
      <c r="X125" s="424">
        <f t="shared" si="119"/>
        <v>30259.165626666701</v>
      </c>
      <c r="Y125" s="427"/>
      <c r="Z125" s="435">
        <f t="shared" si="120"/>
        <v>30259.165626666701</v>
      </c>
      <c r="AA125" s="436">
        <v>17042.713866666702</v>
      </c>
      <c r="AB125" s="436">
        <f t="shared" si="110"/>
        <v>13216.45176</v>
      </c>
      <c r="AC125" s="436"/>
      <c r="AD125" s="436"/>
      <c r="AE125" s="436"/>
    </row>
    <row r="126" spans="1:31" ht="18" x14ac:dyDescent="0.15">
      <c r="A126" s="421">
        <v>109</v>
      </c>
      <c r="B126" s="18" t="s">
        <v>111</v>
      </c>
      <c r="C126" s="424"/>
      <c r="D126" s="423"/>
      <c r="E126" s="424"/>
      <c r="F126" s="424"/>
      <c r="G126" s="427"/>
      <c r="H126" s="427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31"/>
      <c r="X126" s="424"/>
      <c r="Y126" s="427"/>
      <c r="Z126" s="435"/>
      <c r="AA126" s="436"/>
      <c r="AB126" s="436"/>
      <c r="AC126" s="436"/>
      <c r="AD126" s="436"/>
      <c r="AE126" s="436"/>
    </row>
    <row r="127" spans="1:31" ht="18" x14ac:dyDescent="0.2">
      <c r="A127" s="421">
        <v>110</v>
      </c>
      <c r="B127" s="20"/>
      <c r="C127" s="424"/>
      <c r="U127" s="437"/>
      <c r="Z127" s="438"/>
      <c r="AC127" s="436"/>
      <c r="AD127" s="436"/>
      <c r="AE127" s="436"/>
    </row>
    <row r="128" spans="1:31" ht="18" x14ac:dyDescent="0.15">
      <c r="A128" s="421">
        <v>111</v>
      </c>
      <c r="B128" s="18" t="s">
        <v>270</v>
      </c>
      <c r="C128" s="424"/>
      <c r="U128" s="437"/>
      <c r="Z128" s="438"/>
      <c r="AC128" s="436"/>
      <c r="AD128" s="436"/>
      <c r="AE128" s="436"/>
    </row>
    <row r="129" spans="1:31" ht="18" x14ac:dyDescent="0.15">
      <c r="A129" s="421">
        <v>112</v>
      </c>
      <c r="B129" s="9" t="s">
        <v>557</v>
      </c>
      <c r="C129" s="424">
        <v>1535720</v>
      </c>
      <c r="D129" s="423">
        <v>12</v>
      </c>
      <c r="E129" s="424">
        <f>C129*D129</f>
        <v>18428640</v>
      </c>
      <c r="F129" s="424"/>
      <c r="G129" s="425">
        <v>1378291.2</v>
      </c>
      <c r="H129" s="427"/>
      <c r="I129" s="424">
        <f t="shared" ref="I129:I187" si="121">E129-F129-G129-H129</f>
        <v>17050348.800000001</v>
      </c>
      <c r="J129" s="424">
        <v>200000</v>
      </c>
      <c r="K129" s="424">
        <v>0.2</v>
      </c>
      <c r="L129" s="424">
        <f t="shared" ref="L129:L187" si="122">I129*K129</f>
        <v>3410069.76</v>
      </c>
      <c r="M129" s="424">
        <f t="shared" ref="M129:M187" si="123">J129+L129</f>
        <v>3610069.76</v>
      </c>
      <c r="N129" s="424">
        <f t="shared" ref="N129:N187" si="124">F129+G129+H129+M129</f>
        <v>4988360.96</v>
      </c>
      <c r="O129" s="424">
        <f t="shared" ref="O129:O187" si="125">E129-N129</f>
        <v>13440279.039999999</v>
      </c>
      <c r="P129" s="424">
        <f t="shared" ref="P129:P187" si="126">IF(O129&lt;300000,0.07*O129,21000)</f>
        <v>21000</v>
      </c>
      <c r="Q129" s="424">
        <f t="shared" ref="Q129:Q187" si="127">IF((O129-300000)&lt;0,0,IF((O129-300000)&lt;300000,0.11*(O129-300000),33000))</f>
        <v>33000</v>
      </c>
      <c r="R129" s="424">
        <f t="shared" ref="R129:R187" si="128">IF((O129-600000)&lt;0,0,IF((O129-600000)&lt;500000,0.15*(O129-600000),75000))</f>
        <v>75000</v>
      </c>
      <c r="S129" s="424">
        <f t="shared" ref="S129:S187" si="129">IF((O129-1100000)&lt;0,0,IF((O129-1100000)&lt;500000,0.19*(O129-1100000),95000))</f>
        <v>95000</v>
      </c>
      <c r="T129" s="424">
        <f t="shared" ref="T129:T187" si="130">IF((O129-1600000)&lt;0,0,IF((O129-1600000)&lt;1600000,0.21*(O129-1600000),336000))</f>
        <v>336000</v>
      </c>
      <c r="U129" s="424">
        <f t="shared" si="103"/>
        <v>2457666.9696</v>
      </c>
      <c r="V129" s="424">
        <f>P129+Q129+R129+S129+T129+U129</f>
        <v>3017666.9696</v>
      </c>
      <c r="W129" s="431">
        <v>12</v>
      </c>
      <c r="X129" s="424">
        <f t="shared" ref="X129:X187" si="131">V129/W129</f>
        <v>251472.247466667</v>
      </c>
      <c r="Y129" s="427"/>
      <c r="Z129" s="435">
        <f t="shared" ref="Z129:Z187" si="132">X129</f>
        <v>251472.247466667</v>
      </c>
      <c r="AA129" s="436">
        <v>161106.806858667</v>
      </c>
      <c r="AB129" s="436">
        <f>Z129-AA129</f>
        <v>90365.440607999597</v>
      </c>
      <c r="AC129" s="436"/>
      <c r="AD129" s="436"/>
      <c r="AE129" s="436"/>
    </row>
    <row r="130" spans="1:31" ht="18" x14ac:dyDescent="0.15">
      <c r="A130" s="421">
        <v>113</v>
      </c>
      <c r="B130" s="9" t="s">
        <v>559</v>
      </c>
      <c r="C130" s="424">
        <v>852373.16666666698</v>
      </c>
      <c r="D130" s="423">
        <v>12</v>
      </c>
      <c r="E130" s="424">
        <f t="shared" ref="E130:E187" si="133">C130*D130</f>
        <v>10228478</v>
      </c>
      <c r="F130" s="424"/>
      <c r="G130" s="425">
        <v>0</v>
      </c>
      <c r="H130" s="427"/>
      <c r="I130" s="424">
        <f t="shared" si="121"/>
        <v>10228478</v>
      </c>
      <c r="J130" s="424">
        <v>200000</v>
      </c>
      <c r="K130" s="424">
        <v>0.2</v>
      </c>
      <c r="L130" s="424">
        <f t="shared" si="122"/>
        <v>2045695.6</v>
      </c>
      <c r="M130" s="424">
        <f t="shared" si="123"/>
        <v>2245695.6</v>
      </c>
      <c r="N130" s="424">
        <f t="shared" si="124"/>
        <v>2245695.6</v>
      </c>
      <c r="O130" s="424">
        <f t="shared" si="125"/>
        <v>7982782.4000000004</v>
      </c>
      <c r="P130" s="424">
        <f t="shared" si="126"/>
        <v>21000</v>
      </c>
      <c r="Q130" s="424">
        <f t="shared" si="127"/>
        <v>33000</v>
      </c>
      <c r="R130" s="424">
        <f t="shared" si="128"/>
        <v>75000</v>
      </c>
      <c r="S130" s="424">
        <f t="shared" si="129"/>
        <v>95000</v>
      </c>
      <c r="T130" s="424">
        <f t="shared" si="130"/>
        <v>336000</v>
      </c>
      <c r="U130" s="424">
        <f t="shared" si="103"/>
        <v>1147867.7760000001</v>
      </c>
      <c r="V130" s="424">
        <f>P130+Q130+R130+S130+T130+U130</f>
        <v>1707867.7760000001</v>
      </c>
      <c r="W130" s="431">
        <v>12</v>
      </c>
      <c r="X130" s="424">
        <f t="shared" si="131"/>
        <v>142322.31466666699</v>
      </c>
      <c r="Y130" s="427"/>
      <c r="Z130" s="435">
        <f t="shared" si="132"/>
        <v>142322.31466666699</v>
      </c>
      <c r="AA130" s="436">
        <v>82627.951418666693</v>
      </c>
      <c r="AB130" s="436">
        <f t="shared" ref="AB130:AB187" si="134">Z130-AA130</f>
        <v>59694.363248000001</v>
      </c>
      <c r="AC130" s="436"/>
      <c r="AD130" s="436"/>
      <c r="AE130" s="436"/>
    </row>
    <row r="131" spans="1:31" ht="18" x14ac:dyDescent="0.15">
      <c r="A131" s="421">
        <v>114</v>
      </c>
      <c r="B131" s="12" t="s">
        <v>274</v>
      </c>
      <c r="C131" s="424">
        <v>902373.16666666698</v>
      </c>
      <c r="D131" s="423">
        <v>12</v>
      </c>
      <c r="E131" s="424">
        <f t="shared" si="133"/>
        <v>10828478</v>
      </c>
      <c r="F131" s="424">
        <f>1066.32925*12</f>
        <v>12795.950999999999</v>
      </c>
      <c r="G131" s="425">
        <v>731878.24</v>
      </c>
      <c r="H131" s="427"/>
      <c r="I131" s="424">
        <f t="shared" si="121"/>
        <v>10083803.809</v>
      </c>
      <c r="J131" s="424">
        <v>200000</v>
      </c>
      <c r="K131" s="424">
        <v>0.2</v>
      </c>
      <c r="L131" s="424">
        <f t="shared" si="122"/>
        <v>2016760.7618</v>
      </c>
      <c r="M131" s="424">
        <f t="shared" si="123"/>
        <v>2216760.7618</v>
      </c>
      <c r="N131" s="424">
        <f t="shared" si="124"/>
        <v>2961434.9528000001</v>
      </c>
      <c r="O131" s="424">
        <f t="shared" si="125"/>
        <v>7867043.0471999999</v>
      </c>
      <c r="P131" s="424">
        <f t="shared" si="126"/>
        <v>21000</v>
      </c>
      <c r="Q131" s="424">
        <f t="shared" si="127"/>
        <v>33000</v>
      </c>
      <c r="R131" s="424">
        <f t="shared" si="128"/>
        <v>75000</v>
      </c>
      <c r="S131" s="424">
        <f t="shared" si="129"/>
        <v>95000</v>
      </c>
      <c r="T131" s="424">
        <f t="shared" si="130"/>
        <v>336000</v>
      </c>
      <c r="U131" s="424">
        <f t="shared" si="103"/>
        <v>1120090.3313279999</v>
      </c>
      <c r="V131" s="424">
        <f>P131+Q131+R131+S131+T131+U131</f>
        <v>1680090.3313279999</v>
      </c>
      <c r="W131" s="431">
        <v>12</v>
      </c>
      <c r="X131" s="424">
        <f t="shared" si="131"/>
        <v>140007.52761066699</v>
      </c>
      <c r="Y131" s="427"/>
      <c r="Z131" s="435">
        <f t="shared" si="132"/>
        <v>140007.52761066699</v>
      </c>
      <c r="AA131" s="436">
        <v>92023.216202666707</v>
      </c>
      <c r="AB131" s="436">
        <f t="shared" si="134"/>
        <v>47984.311408000001</v>
      </c>
      <c r="AC131" s="436"/>
      <c r="AD131" s="436"/>
      <c r="AE131" s="436"/>
    </row>
    <row r="132" spans="1:31" ht="18" x14ac:dyDescent="0.15">
      <c r="A132" s="421">
        <v>115</v>
      </c>
      <c r="B132" s="9" t="s">
        <v>276</v>
      </c>
      <c r="C132" s="424">
        <v>554373.75</v>
      </c>
      <c r="D132" s="423">
        <v>12</v>
      </c>
      <c r="E132" s="424">
        <f t="shared" si="133"/>
        <v>6652485</v>
      </c>
      <c r="F132" s="424">
        <f>712.24525*12</f>
        <v>8546.9429999999993</v>
      </c>
      <c r="G132" s="425">
        <v>464998.8</v>
      </c>
      <c r="H132" s="427"/>
      <c r="I132" s="424">
        <f t="shared" si="121"/>
        <v>6178939.2570000002</v>
      </c>
      <c r="J132" s="424">
        <v>200000</v>
      </c>
      <c r="K132" s="424">
        <v>0.2</v>
      </c>
      <c r="L132" s="424">
        <f t="shared" si="122"/>
        <v>1235787.8514</v>
      </c>
      <c r="M132" s="424">
        <f t="shared" si="123"/>
        <v>1435787.8514</v>
      </c>
      <c r="N132" s="424">
        <f t="shared" si="124"/>
        <v>1909333.5944000001</v>
      </c>
      <c r="O132" s="424">
        <f t="shared" si="125"/>
        <v>4743151.4056000002</v>
      </c>
      <c r="P132" s="424">
        <f t="shared" si="126"/>
        <v>21000</v>
      </c>
      <c r="Q132" s="424">
        <f t="shared" si="127"/>
        <v>33000</v>
      </c>
      <c r="R132" s="424">
        <f t="shared" si="128"/>
        <v>75000</v>
      </c>
      <c r="S132" s="424">
        <f t="shared" si="129"/>
        <v>95000</v>
      </c>
      <c r="T132" s="424">
        <f t="shared" si="130"/>
        <v>336000</v>
      </c>
      <c r="U132" s="424">
        <f t="shared" si="103"/>
        <v>370356.337344</v>
      </c>
      <c r="V132" s="424">
        <f t="shared" ref="V132:V187" si="135">P132+Q132+R132+S132+T132+U132</f>
        <v>930356.337344</v>
      </c>
      <c r="W132" s="431">
        <v>12</v>
      </c>
      <c r="X132" s="424">
        <f t="shared" si="131"/>
        <v>77529.694778666701</v>
      </c>
      <c r="Y132" s="427"/>
      <c r="Z132" s="435">
        <f t="shared" si="132"/>
        <v>77529.694778666701</v>
      </c>
      <c r="AA132" s="436">
        <v>46081.202598666699</v>
      </c>
      <c r="AB132" s="436">
        <f t="shared" si="134"/>
        <v>31448.492180000001</v>
      </c>
      <c r="AC132" s="436"/>
      <c r="AD132" s="436"/>
      <c r="AE132" s="436"/>
    </row>
    <row r="133" spans="1:31" ht="18" x14ac:dyDescent="0.15">
      <c r="A133" s="421">
        <v>116</v>
      </c>
      <c r="B133" s="9" t="s">
        <v>278</v>
      </c>
      <c r="C133" s="424">
        <v>554373.75</v>
      </c>
      <c r="D133" s="423">
        <v>12</v>
      </c>
      <c r="E133" s="424">
        <f t="shared" si="133"/>
        <v>6652485</v>
      </c>
      <c r="F133" s="424">
        <f>712.24525*12</f>
        <v>8546.9429999999993</v>
      </c>
      <c r="G133" s="425">
        <v>464998.8</v>
      </c>
      <c r="H133" s="427"/>
      <c r="I133" s="424">
        <f t="shared" si="121"/>
        <v>6178939.2570000002</v>
      </c>
      <c r="J133" s="424">
        <v>200000</v>
      </c>
      <c r="K133" s="424">
        <v>0.2</v>
      </c>
      <c r="L133" s="424">
        <f t="shared" si="122"/>
        <v>1235787.8514</v>
      </c>
      <c r="M133" s="424">
        <f t="shared" si="123"/>
        <v>1435787.8514</v>
      </c>
      <c r="N133" s="424">
        <f t="shared" si="124"/>
        <v>1909333.5944000001</v>
      </c>
      <c r="O133" s="424">
        <f t="shared" si="125"/>
        <v>4743151.4056000002</v>
      </c>
      <c r="P133" s="424">
        <f t="shared" si="126"/>
        <v>21000</v>
      </c>
      <c r="Q133" s="424">
        <f t="shared" si="127"/>
        <v>33000</v>
      </c>
      <c r="R133" s="424">
        <f t="shared" si="128"/>
        <v>75000</v>
      </c>
      <c r="S133" s="424">
        <f t="shared" si="129"/>
        <v>95000</v>
      </c>
      <c r="T133" s="424">
        <f t="shared" si="130"/>
        <v>336000</v>
      </c>
      <c r="U133" s="424">
        <f t="shared" si="103"/>
        <v>370356.337344</v>
      </c>
      <c r="V133" s="424">
        <f t="shared" si="135"/>
        <v>930356.337344</v>
      </c>
      <c r="W133" s="431">
        <v>12</v>
      </c>
      <c r="X133" s="424">
        <f t="shared" si="131"/>
        <v>77529.694778666701</v>
      </c>
      <c r="Y133" s="427"/>
      <c r="Z133" s="435">
        <f t="shared" si="132"/>
        <v>77529.694778666701</v>
      </c>
      <c r="AA133" s="436">
        <v>46081.202598666699</v>
      </c>
      <c r="AB133" s="436">
        <f t="shared" si="134"/>
        <v>31448.492180000001</v>
      </c>
      <c r="AC133" s="436"/>
      <c r="AD133" s="436"/>
      <c r="AE133" s="436"/>
    </row>
    <row r="134" spans="1:31" ht="18" x14ac:dyDescent="0.15">
      <c r="A134" s="421">
        <v>117</v>
      </c>
      <c r="B134" s="9" t="s">
        <v>280</v>
      </c>
      <c r="C134" s="424">
        <v>554373.75</v>
      </c>
      <c r="D134" s="423">
        <v>12</v>
      </c>
      <c r="E134" s="424">
        <f t="shared" si="133"/>
        <v>6652485</v>
      </c>
      <c r="F134" s="424">
        <f>712.24525*12</f>
        <v>8546.9429999999993</v>
      </c>
      <c r="G134" s="425">
        <v>464998.8</v>
      </c>
      <c r="H134" s="427"/>
      <c r="I134" s="424">
        <f t="shared" si="121"/>
        <v>6178939.2570000002</v>
      </c>
      <c r="J134" s="424">
        <v>200000</v>
      </c>
      <c r="K134" s="424">
        <v>0.2</v>
      </c>
      <c r="L134" s="424">
        <f t="shared" si="122"/>
        <v>1235787.8514</v>
      </c>
      <c r="M134" s="424">
        <f t="shared" si="123"/>
        <v>1435787.8514</v>
      </c>
      <c r="N134" s="424">
        <f t="shared" si="124"/>
        <v>1909333.5944000001</v>
      </c>
      <c r="O134" s="424">
        <f t="shared" si="125"/>
        <v>4743151.4056000002</v>
      </c>
      <c r="P134" s="424">
        <f t="shared" si="126"/>
        <v>21000</v>
      </c>
      <c r="Q134" s="424">
        <f t="shared" si="127"/>
        <v>33000</v>
      </c>
      <c r="R134" s="424">
        <f t="shared" si="128"/>
        <v>75000</v>
      </c>
      <c r="S134" s="424">
        <f t="shared" si="129"/>
        <v>95000</v>
      </c>
      <c r="T134" s="424">
        <f t="shared" si="130"/>
        <v>336000</v>
      </c>
      <c r="U134" s="424">
        <f t="shared" si="103"/>
        <v>370356.337344</v>
      </c>
      <c r="V134" s="424">
        <f t="shared" si="135"/>
        <v>930356.337344</v>
      </c>
      <c r="W134" s="431">
        <v>12</v>
      </c>
      <c r="X134" s="424">
        <f t="shared" si="131"/>
        <v>77529.694778666701</v>
      </c>
      <c r="Y134" s="427"/>
      <c r="Z134" s="435">
        <f t="shared" si="132"/>
        <v>77529.694778666701</v>
      </c>
      <c r="AA134" s="436">
        <v>46081.202598666699</v>
      </c>
      <c r="AB134" s="436">
        <f t="shared" si="134"/>
        <v>31448.492180000001</v>
      </c>
      <c r="AC134" s="436"/>
      <c r="AD134" s="436"/>
      <c r="AE134" s="436"/>
    </row>
    <row r="135" spans="1:31" ht="18" x14ac:dyDescent="0.15">
      <c r="A135" s="421">
        <v>118</v>
      </c>
      <c r="B135" s="9" t="s">
        <v>213</v>
      </c>
      <c r="C135" s="424">
        <v>450086.5</v>
      </c>
      <c r="D135" s="423">
        <v>12</v>
      </c>
      <c r="E135" s="424">
        <f t="shared" si="133"/>
        <v>5401038</v>
      </c>
      <c r="F135" s="424">
        <f>576.62125*12</f>
        <v>6919.4549999999999</v>
      </c>
      <c r="G135" s="425">
        <v>374483.04</v>
      </c>
      <c r="H135" s="427"/>
      <c r="I135" s="424">
        <f t="shared" si="121"/>
        <v>5019635.5049999999</v>
      </c>
      <c r="J135" s="424">
        <v>200000</v>
      </c>
      <c r="K135" s="424">
        <v>0.2</v>
      </c>
      <c r="L135" s="424">
        <f t="shared" si="122"/>
        <v>1003927.101</v>
      </c>
      <c r="M135" s="424">
        <f t="shared" si="123"/>
        <v>1203927.101</v>
      </c>
      <c r="N135" s="424">
        <f t="shared" si="124"/>
        <v>1585329.5959999999</v>
      </c>
      <c r="O135" s="424">
        <f t="shared" si="125"/>
        <v>3815708.4040000001</v>
      </c>
      <c r="P135" s="424">
        <f t="shared" si="126"/>
        <v>21000</v>
      </c>
      <c r="Q135" s="424">
        <f t="shared" si="127"/>
        <v>33000</v>
      </c>
      <c r="R135" s="424">
        <f t="shared" si="128"/>
        <v>75000</v>
      </c>
      <c r="S135" s="424">
        <f t="shared" si="129"/>
        <v>95000</v>
      </c>
      <c r="T135" s="424">
        <f t="shared" si="130"/>
        <v>336000</v>
      </c>
      <c r="U135" s="424">
        <f t="shared" si="103"/>
        <v>147770.01696000001</v>
      </c>
      <c r="V135" s="424">
        <f t="shared" si="135"/>
        <v>707770.01696000004</v>
      </c>
      <c r="W135" s="431">
        <v>12</v>
      </c>
      <c r="X135" s="424">
        <f t="shared" si="131"/>
        <v>58980.834746666696</v>
      </c>
      <c r="Y135" s="427"/>
      <c r="Z135" s="435">
        <f t="shared" si="132"/>
        <v>58980.834746666696</v>
      </c>
      <c r="AA135" s="436">
        <v>35221.954086666701</v>
      </c>
      <c r="AB135" s="436">
        <f t="shared" si="134"/>
        <v>23758.880659999999</v>
      </c>
      <c r="AC135" s="436"/>
      <c r="AD135" s="436"/>
      <c r="AE135" s="436"/>
    </row>
    <row r="136" spans="1:31" ht="18" x14ac:dyDescent="0.15">
      <c r="A136" s="421">
        <v>119</v>
      </c>
      <c r="B136" s="9" t="s">
        <v>281</v>
      </c>
      <c r="C136" s="424">
        <v>450086.5</v>
      </c>
      <c r="D136" s="423">
        <v>12</v>
      </c>
      <c r="E136" s="424">
        <f t="shared" si="133"/>
        <v>5401038</v>
      </c>
      <c r="F136" s="424"/>
      <c r="G136" s="425">
        <v>374483.04</v>
      </c>
      <c r="H136" s="427"/>
      <c r="I136" s="424">
        <f t="shared" si="121"/>
        <v>5026554.96</v>
      </c>
      <c r="J136" s="424">
        <v>200000</v>
      </c>
      <c r="K136" s="424">
        <v>0.2</v>
      </c>
      <c r="L136" s="424">
        <f t="shared" si="122"/>
        <v>1005310.992</v>
      </c>
      <c r="M136" s="424">
        <f t="shared" si="123"/>
        <v>1205310.9920000001</v>
      </c>
      <c r="N136" s="424">
        <f t="shared" si="124"/>
        <v>1579794.0319999999</v>
      </c>
      <c r="O136" s="424">
        <f t="shared" si="125"/>
        <v>3821243.9679999999</v>
      </c>
      <c r="P136" s="424">
        <f t="shared" si="126"/>
        <v>21000</v>
      </c>
      <c r="Q136" s="424">
        <f t="shared" si="127"/>
        <v>33000</v>
      </c>
      <c r="R136" s="424">
        <f t="shared" si="128"/>
        <v>75000</v>
      </c>
      <c r="S136" s="424">
        <f t="shared" si="129"/>
        <v>95000</v>
      </c>
      <c r="T136" s="424">
        <f t="shared" si="130"/>
        <v>336000</v>
      </c>
      <c r="U136" s="424">
        <f t="shared" si="103"/>
        <v>149098.55231999999</v>
      </c>
      <c r="V136" s="424">
        <f t="shared" si="135"/>
        <v>709098.55232000002</v>
      </c>
      <c r="W136" s="431">
        <v>12</v>
      </c>
      <c r="X136" s="424">
        <f t="shared" si="131"/>
        <v>59091.5460266667</v>
      </c>
      <c r="Y136" s="427"/>
      <c r="Z136" s="435">
        <f t="shared" si="132"/>
        <v>59091.5460266667</v>
      </c>
      <c r="AA136" s="436">
        <v>35318.826456666699</v>
      </c>
      <c r="AB136" s="436">
        <f t="shared" si="134"/>
        <v>23772.719570000001</v>
      </c>
      <c r="AC136" s="436"/>
      <c r="AD136" s="436"/>
      <c r="AE136" s="436"/>
    </row>
    <row r="137" spans="1:31" ht="18" x14ac:dyDescent="0.15">
      <c r="A137" s="421">
        <v>120</v>
      </c>
      <c r="B137" s="9" t="s">
        <v>282</v>
      </c>
      <c r="C137" s="424">
        <v>450086.5</v>
      </c>
      <c r="D137" s="423">
        <v>12</v>
      </c>
      <c r="E137" s="424">
        <f t="shared" si="133"/>
        <v>5401038</v>
      </c>
      <c r="F137" s="424"/>
      <c r="G137" s="425">
        <v>374483.04</v>
      </c>
      <c r="H137" s="427"/>
      <c r="I137" s="424">
        <f t="shared" si="121"/>
        <v>5026554.96</v>
      </c>
      <c r="J137" s="424">
        <v>200000</v>
      </c>
      <c r="K137" s="424">
        <v>0.2</v>
      </c>
      <c r="L137" s="424">
        <f t="shared" si="122"/>
        <v>1005310.992</v>
      </c>
      <c r="M137" s="424">
        <f t="shared" si="123"/>
        <v>1205310.9920000001</v>
      </c>
      <c r="N137" s="424">
        <f t="shared" si="124"/>
        <v>1579794.0319999999</v>
      </c>
      <c r="O137" s="424">
        <f t="shared" si="125"/>
        <v>3821243.9679999999</v>
      </c>
      <c r="P137" s="424">
        <f t="shared" si="126"/>
        <v>21000</v>
      </c>
      <c r="Q137" s="424">
        <f t="shared" si="127"/>
        <v>33000</v>
      </c>
      <c r="R137" s="424">
        <f t="shared" si="128"/>
        <v>75000</v>
      </c>
      <c r="S137" s="424">
        <f t="shared" si="129"/>
        <v>95000</v>
      </c>
      <c r="T137" s="424">
        <f t="shared" si="130"/>
        <v>336000</v>
      </c>
      <c r="U137" s="424">
        <f t="shared" si="103"/>
        <v>149098.55231999999</v>
      </c>
      <c r="V137" s="424">
        <f t="shared" si="135"/>
        <v>709098.55232000002</v>
      </c>
      <c r="W137" s="431">
        <v>12</v>
      </c>
      <c r="X137" s="424">
        <f t="shared" si="131"/>
        <v>59091.5460266667</v>
      </c>
      <c r="Y137" s="427"/>
      <c r="Z137" s="435">
        <f t="shared" si="132"/>
        <v>59091.5460266667</v>
      </c>
      <c r="AA137" s="436">
        <v>35318.826456666699</v>
      </c>
      <c r="AB137" s="436">
        <f t="shared" si="134"/>
        <v>23772.719570000001</v>
      </c>
      <c r="AC137" s="436"/>
      <c r="AD137" s="436"/>
      <c r="AE137" s="436"/>
    </row>
    <row r="138" spans="1:31" ht="31.5" x14ac:dyDescent="0.2">
      <c r="A138" s="421">
        <v>121</v>
      </c>
      <c r="B138" s="9" t="s">
        <v>284</v>
      </c>
      <c r="C138" s="424">
        <v>437895.16666666698</v>
      </c>
      <c r="D138" s="423">
        <v>12</v>
      </c>
      <c r="E138" s="424">
        <f t="shared" si="133"/>
        <v>5254742</v>
      </c>
      <c r="F138" s="424"/>
      <c r="G138" s="425">
        <v>362779.36</v>
      </c>
      <c r="H138" s="427"/>
      <c r="I138" s="424">
        <f t="shared" si="121"/>
        <v>4891962.6399999997</v>
      </c>
      <c r="J138" s="424">
        <v>200000</v>
      </c>
      <c r="K138" s="424">
        <v>0.2</v>
      </c>
      <c r="L138" s="424">
        <f t="shared" si="122"/>
        <v>978392.52800000098</v>
      </c>
      <c r="M138" s="424">
        <f t="shared" si="123"/>
        <v>1178392.5279999999</v>
      </c>
      <c r="N138" s="424">
        <f t="shared" si="124"/>
        <v>1541171.888</v>
      </c>
      <c r="O138" s="424">
        <f t="shared" si="125"/>
        <v>3713570.1120000002</v>
      </c>
      <c r="P138" s="424">
        <f t="shared" si="126"/>
        <v>21000</v>
      </c>
      <c r="Q138" s="424">
        <f t="shared" si="127"/>
        <v>33000</v>
      </c>
      <c r="R138" s="424">
        <f t="shared" si="128"/>
        <v>75000</v>
      </c>
      <c r="S138" s="424">
        <f t="shared" si="129"/>
        <v>95000</v>
      </c>
      <c r="T138" s="424">
        <f t="shared" si="130"/>
        <v>336000</v>
      </c>
      <c r="U138" s="424">
        <f t="shared" si="103"/>
        <v>123256.826880001</v>
      </c>
      <c r="V138" s="424">
        <f t="shared" si="135"/>
        <v>683256.826880001</v>
      </c>
      <c r="W138" s="431">
        <v>12</v>
      </c>
      <c r="X138" s="424">
        <f t="shared" si="131"/>
        <v>56938.068906666696</v>
      </c>
      <c r="Y138" s="427"/>
      <c r="Z138" s="435">
        <f t="shared" si="132"/>
        <v>56938.068906666696</v>
      </c>
      <c r="AA138" s="436">
        <v>34968.882414666703</v>
      </c>
      <c r="AB138" s="436">
        <f t="shared" si="134"/>
        <v>21969.186492000001</v>
      </c>
      <c r="AC138" s="436"/>
      <c r="AD138" s="436"/>
      <c r="AE138" s="436"/>
    </row>
    <row r="139" spans="1:31" ht="18" x14ac:dyDescent="0.15">
      <c r="A139" s="421">
        <v>122</v>
      </c>
      <c r="B139" s="9" t="s">
        <v>286</v>
      </c>
      <c r="C139" s="424">
        <v>425703.83333333302</v>
      </c>
      <c r="D139" s="423">
        <v>12</v>
      </c>
      <c r="E139" s="424">
        <f t="shared" si="133"/>
        <v>5108446</v>
      </c>
      <c r="F139" s="424">
        <f>538.022*12</f>
        <v>6456.2640000000001</v>
      </c>
      <c r="G139" s="425">
        <v>351075.68</v>
      </c>
      <c r="H139" s="427"/>
      <c r="I139" s="424">
        <f t="shared" si="121"/>
        <v>4750914.0559999999</v>
      </c>
      <c r="J139" s="424">
        <v>200000</v>
      </c>
      <c r="K139" s="424">
        <v>0.2</v>
      </c>
      <c r="L139" s="424">
        <f t="shared" si="122"/>
        <v>950182.81119999895</v>
      </c>
      <c r="M139" s="424">
        <f t="shared" si="123"/>
        <v>1150182.8112000001</v>
      </c>
      <c r="N139" s="424">
        <f t="shared" si="124"/>
        <v>1507714.7552</v>
      </c>
      <c r="O139" s="424">
        <f t="shared" si="125"/>
        <v>3600731.2448</v>
      </c>
      <c r="P139" s="424">
        <f t="shared" si="126"/>
        <v>21000</v>
      </c>
      <c r="Q139" s="424">
        <f t="shared" si="127"/>
        <v>33000</v>
      </c>
      <c r="R139" s="424">
        <f t="shared" si="128"/>
        <v>75000</v>
      </c>
      <c r="S139" s="424">
        <f t="shared" si="129"/>
        <v>95000</v>
      </c>
      <c r="T139" s="424">
        <f t="shared" si="130"/>
        <v>336000</v>
      </c>
      <c r="U139" s="424">
        <f t="shared" si="103"/>
        <v>96175.498751999199</v>
      </c>
      <c r="V139" s="424">
        <f t="shared" si="135"/>
        <v>656175.498751999</v>
      </c>
      <c r="W139" s="431">
        <v>12</v>
      </c>
      <c r="X139" s="424">
        <f t="shared" si="131"/>
        <v>54681.2915626666</v>
      </c>
      <c r="Y139" s="427"/>
      <c r="Z139" s="435">
        <f t="shared" si="132"/>
        <v>54681.2915626666</v>
      </c>
      <c r="AA139" s="436">
        <v>32848.563402666703</v>
      </c>
      <c r="AB139" s="436">
        <f t="shared" si="134"/>
        <v>21832.728159999901</v>
      </c>
      <c r="AC139" s="436"/>
      <c r="AD139" s="436"/>
      <c r="AE139" s="436"/>
    </row>
    <row r="140" spans="1:31" ht="18" x14ac:dyDescent="0.15">
      <c r="A140" s="421">
        <v>123</v>
      </c>
      <c r="B140" s="9" t="s">
        <v>60</v>
      </c>
      <c r="C140" s="424">
        <v>450086.5</v>
      </c>
      <c r="D140" s="423">
        <v>12</v>
      </c>
      <c r="E140" s="424">
        <f t="shared" si="133"/>
        <v>5401038</v>
      </c>
      <c r="F140" s="424">
        <f>576.62125*12</f>
        <v>6919.4549999999999</v>
      </c>
      <c r="G140" s="425">
        <v>374483.04</v>
      </c>
      <c r="H140" s="427"/>
      <c r="I140" s="424">
        <f t="shared" si="121"/>
        <v>5019635.5049999999</v>
      </c>
      <c r="J140" s="424">
        <v>200000</v>
      </c>
      <c r="K140" s="424">
        <v>0.2</v>
      </c>
      <c r="L140" s="424">
        <f t="shared" si="122"/>
        <v>1003927.101</v>
      </c>
      <c r="M140" s="424">
        <f t="shared" si="123"/>
        <v>1203927.101</v>
      </c>
      <c r="N140" s="424">
        <f t="shared" si="124"/>
        <v>1585329.5959999999</v>
      </c>
      <c r="O140" s="424">
        <f t="shared" si="125"/>
        <v>3815708.4040000001</v>
      </c>
      <c r="P140" s="424">
        <f t="shared" si="126"/>
        <v>21000</v>
      </c>
      <c r="Q140" s="424">
        <f t="shared" si="127"/>
        <v>33000</v>
      </c>
      <c r="R140" s="424">
        <f t="shared" si="128"/>
        <v>75000</v>
      </c>
      <c r="S140" s="424">
        <f t="shared" si="129"/>
        <v>95000</v>
      </c>
      <c r="T140" s="424">
        <f t="shared" si="130"/>
        <v>336000</v>
      </c>
      <c r="U140" s="424">
        <f t="shared" si="103"/>
        <v>147770.01696000001</v>
      </c>
      <c r="V140" s="424">
        <f t="shared" si="135"/>
        <v>707770.01696000004</v>
      </c>
      <c r="W140" s="431">
        <v>12</v>
      </c>
      <c r="X140" s="424">
        <f t="shared" si="131"/>
        <v>58980.834746666696</v>
      </c>
      <c r="Y140" s="427"/>
      <c r="Z140" s="435">
        <f t="shared" si="132"/>
        <v>58980.834746666696</v>
      </c>
      <c r="AA140" s="436">
        <v>35221.954086666701</v>
      </c>
      <c r="AB140" s="436">
        <f t="shared" si="134"/>
        <v>23758.880659999999</v>
      </c>
      <c r="AC140" s="436"/>
      <c r="AD140" s="436"/>
      <c r="AE140" s="436"/>
    </row>
    <row r="141" spans="1:31" ht="18" x14ac:dyDescent="0.15">
      <c r="A141" s="421">
        <v>124</v>
      </c>
      <c r="B141" s="16" t="s">
        <v>288</v>
      </c>
      <c r="C141" s="424">
        <v>413512.5</v>
      </c>
      <c r="D141" s="423">
        <v>12</v>
      </c>
      <c r="E141" s="424">
        <f t="shared" si="133"/>
        <v>4962150</v>
      </c>
      <c r="F141" s="424">
        <v>0</v>
      </c>
      <c r="G141" s="425">
        <v>339372</v>
      </c>
      <c r="H141" s="427"/>
      <c r="I141" s="424">
        <f t="shared" si="121"/>
        <v>4622778</v>
      </c>
      <c r="J141" s="424">
        <v>200000</v>
      </c>
      <c r="K141" s="424">
        <v>0.2</v>
      </c>
      <c r="L141" s="424">
        <f t="shared" si="122"/>
        <v>924555.6</v>
      </c>
      <c r="M141" s="424">
        <f t="shared" si="123"/>
        <v>1124555.6000000001</v>
      </c>
      <c r="N141" s="424">
        <f t="shared" si="124"/>
        <v>1463927.6</v>
      </c>
      <c r="O141" s="424">
        <f t="shared" si="125"/>
        <v>3498222.4</v>
      </c>
      <c r="P141" s="424">
        <f t="shared" si="126"/>
        <v>21000</v>
      </c>
      <c r="Q141" s="424">
        <f t="shared" si="127"/>
        <v>33000</v>
      </c>
      <c r="R141" s="424">
        <f t="shared" si="128"/>
        <v>75000</v>
      </c>
      <c r="S141" s="424">
        <f t="shared" si="129"/>
        <v>95000</v>
      </c>
      <c r="T141" s="424">
        <f t="shared" si="130"/>
        <v>336000</v>
      </c>
      <c r="U141" s="424">
        <f t="shared" si="103"/>
        <v>71573.376000000004</v>
      </c>
      <c r="V141" s="424">
        <f t="shared" si="135"/>
        <v>631573.37600000005</v>
      </c>
      <c r="W141" s="431">
        <v>12</v>
      </c>
      <c r="X141" s="424">
        <f t="shared" si="131"/>
        <v>52631.114666666697</v>
      </c>
      <c r="Y141" s="427"/>
      <c r="Z141" s="435">
        <f t="shared" si="132"/>
        <v>52631.114666666697</v>
      </c>
      <c r="AA141" s="436">
        <v>31749.175266666702</v>
      </c>
      <c r="AB141" s="436">
        <f t="shared" si="134"/>
        <v>20881.939399999999</v>
      </c>
      <c r="AC141" s="436"/>
      <c r="AD141" s="436"/>
      <c r="AE141" s="436"/>
    </row>
    <row r="142" spans="1:31" ht="18" x14ac:dyDescent="0.15">
      <c r="A142" s="421">
        <v>125</v>
      </c>
      <c r="B142" s="9" t="s">
        <v>290</v>
      </c>
      <c r="C142" s="424">
        <v>368901.5</v>
      </c>
      <c r="D142" s="423">
        <v>12</v>
      </c>
      <c r="E142" s="424">
        <f t="shared" si="133"/>
        <v>4426818</v>
      </c>
      <c r="F142" s="424"/>
      <c r="G142" s="425">
        <v>296545.44</v>
      </c>
      <c r="H142" s="427"/>
      <c r="I142" s="424">
        <f t="shared" si="121"/>
        <v>4130272.56</v>
      </c>
      <c r="J142" s="424">
        <v>200000</v>
      </c>
      <c r="K142" s="424">
        <v>0.2</v>
      </c>
      <c r="L142" s="424">
        <f t="shared" si="122"/>
        <v>826054.51199999999</v>
      </c>
      <c r="M142" s="424">
        <f t="shared" si="123"/>
        <v>1026054.512</v>
      </c>
      <c r="N142" s="424">
        <f t="shared" si="124"/>
        <v>1322599.952</v>
      </c>
      <c r="O142" s="424">
        <f t="shared" si="125"/>
        <v>3104218.048</v>
      </c>
      <c r="P142" s="424">
        <f t="shared" si="126"/>
        <v>21000</v>
      </c>
      <c r="Q142" s="424">
        <f t="shared" si="127"/>
        <v>33000</v>
      </c>
      <c r="R142" s="424">
        <f t="shared" si="128"/>
        <v>75000</v>
      </c>
      <c r="S142" s="424">
        <f t="shared" si="129"/>
        <v>95000</v>
      </c>
      <c r="T142" s="424">
        <f t="shared" si="130"/>
        <v>315885.79008000001</v>
      </c>
      <c r="U142" s="424"/>
      <c r="V142" s="424">
        <f t="shared" si="135"/>
        <v>539885.79007999995</v>
      </c>
      <c r="W142" s="431">
        <v>12</v>
      </c>
      <c r="X142" s="424">
        <f t="shared" si="131"/>
        <v>44990.482506666704</v>
      </c>
      <c r="Y142" s="427"/>
      <c r="Z142" s="435">
        <f t="shared" si="132"/>
        <v>44990.482506666704</v>
      </c>
      <c r="AA142" s="436">
        <v>27105.986562666702</v>
      </c>
      <c r="AB142" s="436">
        <f t="shared" si="134"/>
        <v>17884.495943999998</v>
      </c>
      <c r="AC142" s="436"/>
      <c r="AD142" s="436"/>
      <c r="AE142" s="436"/>
    </row>
    <row r="143" spans="1:31" ht="18" x14ac:dyDescent="0.15">
      <c r="A143" s="421">
        <v>126</v>
      </c>
      <c r="B143" s="9" t="s">
        <v>291</v>
      </c>
      <c r="C143" s="424">
        <v>376837.41666666698</v>
      </c>
      <c r="D143" s="423">
        <v>12</v>
      </c>
      <c r="E143" s="424">
        <f t="shared" si="133"/>
        <v>4522049</v>
      </c>
      <c r="F143" s="424">
        <f>469.4825*12</f>
        <v>5633.79</v>
      </c>
      <c r="G143" s="425">
        <v>304163.92</v>
      </c>
      <c r="H143" s="427"/>
      <c r="I143" s="424">
        <f t="shared" si="121"/>
        <v>4212251.29</v>
      </c>
      <c r="J143" s="424">
        <v>200000</v>
      </c>
      <c r="K143" s="424">
        <v>0.2</v>
      </c>
      <c r="L143" s="424">
        <f t="shared" si="122"/>
        <v>842450.25800000096</v>
      </c>
      <c r="M143" s="424">
        <f t="shared" si="123"/>
        <v>1042450.258</v>
      </c>
      <c r="N143" s="424">
        <f t="shared" si="124"/>
        <v>1352247.9680000001</v>
      </c>
      <c r="O143" s="424">
        <f t="shared" si="125"/>
        <v>3169801.0320000001</v>
      </c>
      <c r="P143" s="424">
        <f t="shared" si="126"/>
        <v>21000</v>
      </c>
      <c r="Q143" s="424">
        <f t="shared" si="127"/>
        <v>33000</v>
      </c>
      <c r="R143" s="424">
        <f t="shared" si="128"/>
        <v>75000</v>
      </c>
      <c r="S143" s="424">
        <f t="shared" si="129"/>
        <v>95000</v>
      </c>
      <c r="T143" s="424">
        <f t="shared" si="130"/>
        <v>329658.21672000102</v>
      </c>
      <c r="U143" s="424"/>
      <c r="V143" s="424">
        <f t="shared" si="135"/>
        <v>553658.21672000096</v>
      </c>
      <c r="W143" s="431">
        <v>12</v>
      </c>
      <c r="X143" s="424">
        <f t="shared" si="131"/>
        <v>46138.184726666703</v>
      </c>
      <c r="Y143" s="427"/>
      <c r="Z143" s="435">
        <f t="shared" si="132"/>
        <v>46138.184726666703</v>
      </c>
      <c r="AA143" s="436">
        <v>27794.206626666699</v>
      </c>
      <c r="AB143" s="436">
        <f t="shared" si="134"/>
        <v>18343.9781</v>
      </c>
      <c r="AC143" s="436"/>
      <c r="AD143" s="436"/>
      <c r="AE143" s="436"/>
    </row>
    <row r="144" spans="1:31" ht="18" x14ac:dyDescent="0.15">
      <c r="A144" s="421">
        <v>127</v>
      </c>
      <c r="B144" s="9" t="s">
        <v>293</v>
      </c>
      <c r="C144" s="424">
        <v>376837.41666666698</v>
      </c>
      <c r="D144" s="423">
        <v>12</v>
      </c>
      <c r="E144" s="424">
        <f t="shared" si="133"/>
        <v>4522049</v>
      </c>
      <c r="F144" s="424"/>
      <c r="G144" s="425">
        <v>304163.92</v>
      </c>
      <c r="H144" s="427"/>
      <c r="I144" s="424">
        <f t="shared" si="121"/>
        <v>4217885.08</v>
      </c>
      <c r="J144" s="424">
        <v>200000</v>
      </c>
      <c r="K144" s="424">
        <v>0.2</v>
      </c>
      <c r="L144" s="424">
        <f t="shared" si="122"/>
        <v>843577.01600000099</v>
      </c>
      <c r="M144" s="424">
        <f t="shared" si="123"/>
        <v>1043577.0159999999</v>
      </c>
      <c r="N144" s="424">
        <f t="shared" si="124"/>
        <v>1347740.936</v>
      </c>
      <c r="O144" s="424">
        <f t="shared" si="125"/>
        <v>3174308.0639999998</v>
      </c>
      <c r="P144" s="424">
        <f t="shared" si="126"/>
        <v>21000</v>
      </c>
      <c r="Q144" s="424">
        <f t="shared" si="127"/>
        <v>33000</v>
      </c>
      <c r="R144" s="424">
        <f t="shared" si="128"/>
        <v>75000</v>
      </c>
      <c r="S144" s="424">
        <f t="shared" si="129"/>
        <v>95000</v>
      </c>
      <c r="T144" s="424">
        <f t="shared" si="130"/>
        <v>330604.69344000099</v>
      </c>
      <c r="U144" s="424"/>
      <c r="V144" s="424">
        <f t="shared" si="135"/>
        <v>554604.69344000099</v>
      </c>
      <c r="W144" s="431">
        <v>12</v>
      </c>
      <c r="X144" s="424">
        <f t="shared" si="131"/>
        <v>46217.057786666701</v>
      </c>
      <c r="Y144" s="427"/>
      <c r="Z144" s="435">
        <f t="shared" si="132"/>
        <v>46217.057786666701</v>
      </c>
      <c r="AA144" s="436">
        <v>27873.079686666701</v>
      </c>
      <c r="AB144" s="436">
        <f t="shared" si="134"/>
        <v>18343.9781</v>
      </c>
      <c r="AC144" s="436"/>
      <c r="AD144" s="436"/>
      <c r="AE144" s="436"/>
    </row>
    <row r="145" spans="1:31" ht="18" x14ac:dyDescent="0.15">
      <c r="A145" s="421">
        <v>128</v>
      </c>
      <c r="B145" s="9" t="s">
        <v>294</v>
      </c>
      <c r="C145" s="424">
        <v>360965.58333333302</v>
      </c>
      <c r="D145" s="423">
        <v>12</v>
      </c>
      <c r="E145" s="424">
        <f t="shared" si="133"/>
        <v>4331587</v>
      </c>
      <c r="F145" s="424"/>
      <c r="G145" s="425">
        <v>288926.96000000002</v>
      </c>
      <c r="H145" s="427"/>
      <c r="I145" s="424">
        <f t="shared" si="121"/>
        <v>4042660.04</v>
      </c>
      <c r="J145" s="424">
        <v>200000</v>
      </c>
      <c r="K145" s="424">
        <v>0.2</v>
      </c>
      <c r="L145" s="424">
        <f t="shared" si="122"/>
        <v>808532.00799999898</v>
      </c>
      <c r="M145" s="424">
        <f t="shared" si="123"/>
        <v>1008532.008</v>
      </c>
      <c r="N145" s="424">
        <f t="shared" si="124"/>
        <v>1297458.9680000001</v>
      </c>
      <c r="O145" s="424">
        <f t="shared" si="125"/>
        <v>3034128.0320000001</v>
      </c>
      <c r="P145" s="424">
        <f t="shared" si="126"/>
        <v>21000</v>
      </c>
      <c r="Q145" s="424">
        <f t="shared" si="127"/>
        <v>33000</v>
      </c>
      <c r="R145" s="424">
        <f t="shared" si="128"/>
        <v>75000</v>
      </c>
      <c r="S145" s="424">
        <f t="shared" si="129"/>
        <v>95000</v>
      </c>
      <c r="T145" s="424">
        <f t="shared" si="130"/>
        <v>301166.88671999902</v>
      </c>
      <c r="U145" s="424"/>
      <c r="V145" s="424">
        <f t="shared" si="135"/>
        <v>525166.88671999902</v>
      </c>
      <c r="W145" s="431">
        <v>12</v>
      </c>
      <c r="X145" s="424">
        <f t="shared" si="131"/>
        <v>43763.907226666597</v>
      </c>
      <c r="Y145" s="427"/>
      <c r="Z145" s="435">
        <f t="shared" si="132"/>
        <v>43763.907226666597</v>
      </c>
      <c r="AA145" s="436">
        <v>27105.986562666702</v>
      </c>
      <c r="AB145" s="436">
        <f t="shared" si="134"/>
        <v>16657.920663999899</v>
      </c>
      <c r="AC145" s="436"/>
      <c r="AD145" s="436"/>
      <c r="AE145" s="436"/>
    </row>
    <row r="146" spans="1:31" ht="31.5" x14ac:dyDescent="0.2">
      <c r="A146" s="421">
        <v>129</v>
      </c>
      <c r="B146" s="9" t="s">
        <v>296</v>
      </c>
      <c r="C146" s="424">
        <v>323165.33333333302</v>
      </c>
      <c r="D146" s="423">
        <v>12</v>
      </c>
      <c r="E146" s="424">
        <f t="shared" si="133"/>
        <v>3877984</v>
      </c>
      <c r="F146" s="424"/>
      <c r="G146" s="425">
        <v>252638.72</v>
      </c>
      <c r="H146" s="427"/>
      <c r="I146" s="424">
        <f t="shared" si="121"/>
        <v>3625345.28</v>
      </c>
      <c r="J146" s="424">
        <v>200000</v>
      </c>
      <c r="K146" s="424">
        <v>0.2</v>
      </c>
      <c r="L146" s="424">
        <f t="shared" si="122"/>
        <v>725069.05599999905</v>
      </c>
      <c r="M146" s="424">
        <f t="shared" si="123"/>
        <v>925069.05599999905</v>
      </c>
      <c r="N146" s="424">
        <f t="shared" si="124"/>
        <v>1177707.7760000001</v>
      </c>
      <c r="O146" s="424">
        <f t="shared" si="125"/>
        <v>2700276.2239999999</v>
      </c>
      <c r="P146" s="424">
        <f t="shared" si="126"/>
        <v>21000</v>
      </c>
      <c r="Q146" s="424">
        <f t="shared" si="127"/>
        <v>33000</v>
      </c>
      <c r="R146" s="424">
        <f t="shared" si="128"/>
        <v>75000</v>
      </c>
      <c r="S146" s="424">
        <f t="shared" si="129"/>
        <v>95000</v>
      </c>
      <c r="T146" s="424">
        <f t="shared" si="130"/>
        <v>231058.00703999901</v>
      </c>
      <c r="U146" s="424"/>
      <c r="V146" s="424">
        <f t="shared" si="135"/>
        <v>455058.00703999901</v>
      </c>
      <c r="W146" s="431">
        <v>12</v>
      </c>
      <c r="X146" s="424">
        <f t="shared" si="131"/>
        <v>37921.500586666603</v>
      </c>
      <c r="Y146" s="427"/>
      <c r="Z146" s="435">
        <f t="shared" si="132"/>
        <v>37921.500586666603</v>
      </c>
      <c r="AA146" s="436">
        <v>22338.4826046667</v>
      </c>
      <c r="AB146" s="436">
        <f t="shared" si="134"/>
        <v>15583.017981999899</v>
      </c>
      <c r="AC146" s="436"/>
      <c r="AD146" s="436"/>
      <c r="AE146" s="436"/>
    </row>
    <row r="147" spans="1:31" ht="18" x14ac:dyDescent="0.15">
      <c r="A147" s="421">
        <v>130</v>
      </c>
      <c r="B147" s="9" t="s">
        <v>298</v>
      </c>
      <c r="C147" s="424">
        <v>368901.5</v>
      </c>
      <c r="D147" s="423">
        <v>12</v>
      </c>
      <c r="E147" s="424">
        <f t="shared" si="133"/>
        <v>4426818</v>
      </c>
      <c r="F147" s="424"/>
      <c r="G147" s="425">
        <v>296545.44</v>
      </c>
      <c r="H147" s="427"/>
      <c r="I147" s="424">
        <f t="shared" si="121"/>
        <v>4130272.56</v>
      </c>
      <c r="J147" s="424">
        <v>200000</v>
      </c>
      <c r="K147" s="424">
        <v>0.2</v>
      </c>
      <c r="L147" s="424">
        <f t="shared" si="122"/>
        <v>826054.51199999999</v>
      </c>
      <c r="M147" s="424">
        <f t="shared" si="123"/>
        <v>1026054.512</v>
      </c>
      <c r="N147" s="424">
        <f t="shared" si="124"/>
        <v>1322599.952</v>
      </c>
      <c r="O147" s="424">
        <f t="shared" si="125"/>
        <v>3104218.048</v>
      </c>
      <c r="P147" s="424">
        <f t="shared" si="126"/>
        <v>21000</v>
      </c>
      <c r="Q147" s="424">
        <f t="shared" si="127"/>
        <v>33000</v>
      </c>
      <c r="R147" s="424">
        <f t="shared" si="128"/>
        <v>75000</v>
      </c>
      <c r="S147" s="424">
        <f t="shared" si="129"/>
        <v>95000</v>
      </c>
      <c r="T147" s="424">
        <f t="shared" si="130"/>
        <v>315885.79008000001</v>
      </c>
      <c r="U147" s="424"/>
      <c r="V147" s="424">
        <f t="shared" si="135"/>
        <v>539885.79007999995</v>
      </c>
      <c r="W147" s="431">
        <v>12</v>
      </c>
      <c r="X147" s="424">
        <f t="shared" si="131"/>
        <v>44990.482506666704</v>
      </c>
      <c r="Y147" s="427"/>
      <c r="Z147" s="435">
        <f t="shared" si="132"/>
        <v>44990.482506666704</v>
      </c>
      <c r="AA147" s="436">
        <v>27105.986562666702</v>
      </c>
      <c r="AB147" s="436">
        <f t="shared" si="134"/>
        <v>17884.495943999998</v>
      </c>
      <c r="AC147" s="436"/>
      <c r="AD147" s="436"/>
      <c r="AE147" s="436"/>
    </row>
    <row r="148" spans="1:31" ht="18" x14ac:dyDescent="0.15">
      <c r="A148" s="421">
        <v>131</v>
      </c>
      <c r="B148" s="9" t="s">
        <v>301</v>
      </c>
      <c r="C148" s="424">
        <v>330481.66666666698</v>
      </c>
      <c r="D148" s="423">
        <v>12</v>
      </c>
      <c r="E148" s="424">
        <f t="shared" si="133"/>
        <v>3965780</v>
      </c>
      <c r="F148" s="424"/>
      <c r="G148" s="425">
        <v>259662.4</v>
      </c>
      <c r="H148" s="427"/>
      <c r="I148" s="424">
        <f t="shared" si="121"/>
        <v>3706117.6</v>
      </c>
      <c r="J148" s="424">
        <v>200000</v>
      </c>
      <c r="K148" s="424">
        <v>0.2</v>
      </c>
      <c r="L148" s="424">
        <f t="shared" si="122"/>
        <v>741223.52000000095</v>
      </c>
      <c r="M148" s="424">
        <f t="shared" si="123"/>
        <v>941223.52000000095</v>
      </c>
      <c r="N148" s="424">
        <f t="shared" si="124"/>
        <v>1200885.92</v>
      </c>
      <c r="O148" s="424">
        <f t="shared" si="125"/>
        <v>2764894.08</v>
      </c>
      <c r="P148" s="424">
        <f t="shared" si="126"/>
        <v>21000</v>
      </c>
      <c r="Q148" s="424">
        <f t="shared" si="127"/>
        <v>33000</v>
      </c>
      <c r="R148" s="424">
        <f t="shared" si="128"/>
        <v>75000</v>
      </c>
      <c r="S148" s="424">
        <f t="shared" si="129"/>
        <v>95000</v>
      </c>
      <c r="T148" s="424">
        <f t="shared" si="130"/>
        <v>244627.75680000099</v>
      </c>
      <c r="U148" s="424"/>
      <c r="V148" s="424">
        <f t="shared" si="135"/>
        <v>468627.75680000102</v>
      </c>
      <c r="W148" s="431">
        <v>12</v>
      </c>
      <c r="X148" s="424">
        <f t="shared" si="131"/>
        <v>39052.313066666698</v>
      </c>
      <c r="Y148" s="427"/>
      <c r="Z148" s="435">
        <f t="shared" si="132"/>
        <v>39052.313066666698</v>
      </c>
      <c r="AA148" s="436">
        <v>23036.012346666699</v>
      </c>
      <c r="AB148" s="436">
        <f t="shared" si="134"/>
        <v>16016.300719999999</v>
      </c>
      <c r="AC148" s="436"/>
      <c r="AD148" s="436"/>
      <c r="AE148" s="436"/>
    </row>
    <row r="149" spans="1:31" ht="18" x14ac:dyDescent="0.15">
      <c r="A149" s="421">
        <v>132</v>
      </c>
      <c r="B149" s="9" t="s">
        <v>303</v>
      </c>
      <c r="C149" s="424">
        <v>368901.5</v>
      </c>
      <c r="D149" s="423">
        <v>12</v>
      </c>
      <c r="E149" s="424">
        <f t="shared" si="133"/>
        <v>4426818</v>
      </c>
      <c r="F149" s="424">
        <f>457.041*12</f>
        <v>5484.4920000000002</v>
      </c>
      <c r="G149" s="425">
        <v>296545.44</v>
      </c>
      <c r="H149" s="427"/>
      <c r="I149" s="424">
        <f t="shared" si="121"/>
        <v>4124788.068</v>
      </c>
      <c r="J149" s="424">
        <v>200000</v>
      </c>
      <c r="K149" s="424">
        <v>0.2</v>
      </c>
      <c r="L149" s="424">
        <f t="shared" si="122"/>
        <v>824957.61360000004</v>
      </c>
      <c r="M149" s="424">
        <f t="shared" si="123"/>
        <v>1024957.6136</v>
      </c>
      <c r="N149" s="424">
        <f t="shared" si="124"/>
        <v>1326987.5456000001</v>
      </c>
      <c r="O149" s="424">
        <f t="shared" si="125"/>
        <v>3099830.4544000002</v>
      </c>
      <c r="P149" s="424">
        <f t="shared" si="126"/>
        <v>21000</v>
      </c>
      <c r="Q149" s="424">
        <f t="shared" si="127"/>
        <v>33000</v>
      </c>
      <c r="R149" s="424">
        <f t="shared" si="128"/>
        <v>75000</v>
      </c>
      <c r="S149" s="424">
        <f t="shared" si="129"/>
        <v>95000</v>
      </c>
      <c r="T149" s="424">
        <f t="shared" si="130"/>
        <v>314964.39542399999</v>
      </c>
      <c r="U149" s="424"/>
      <c r="V149" s="424">
        <f t="shared" si="135"/>
        <v>538964.39542399999</v>
      </c>
      <c r="W149" s="431">
        <v>12</v>
      </c>
      <c r="X149" s="424">
        <f t="shared" si="131"/>
        <v>44913.699618666702</v>
      </c>
      <c r="Y149" s="427"/>
      <c r="Z149" s="435">
        <f t="shared" si="132"/>
        <v>44913.699618666702</v>
      </c>
      <c r="AA149" s="436">
        <v>27029.2036746667</v>
      </c>
      <c r="AB149" s="436">
        <f t="shared" si="134"/>
        <v>17884.495943999998</v>
      </c>
      <c r="AC149" s="436"/>
      <c r="AD149" s="436"/>
      <c r="AE149" s="436"/>
    </row>
    <row r="150" spans="1:31" ht="18" x14ac:dyDescent="0.15">
      <c r="A150" s="421">
        <v>133</v>
      </c>
      <c r="B150" s="9" t="s">
        <v>305</v>
      </c>
      <c r="C150" s="424">
        <v>330481.66666666698</v>
      </c>
      <c r="D150" s="423">
        <v>12</v>
      </c>
      <c r="E150" s="424">
        <f t="shared" si="133"/>
        <v>3965780</v>
      </c>
      <c r="F150" s="424"/>
      <c r="G150" s="425">
        <v>259662.4</v>
      </c>
      <c r="H150" s="427"/>
      <c r="I150" s="424">
        <f t="shared" si="121"/>
        <v>3706117.6</v>
      </c>
      <c r="J150" s="424">
        <v>200000</v>
      </c>
      <c r="K150" s="424">
        <v>0.2</v>
      </c>
      <c r="L150" s="424">
        <f t="shared" si="122"/>
        <v>741223.52000000095</v>
      </c>
      <c r="M150" s="424">
        <f t="shared" si="123"/>
        <v>941223.52000000095</v>
      </c>
      <c r="N150" s="424">
        <f t="shared" si="124"/>
        <v>1200885.92</v>
      </c>
      <c r="O150" s="424">
        <f t="shared" si="125"/>
        <v>2764894.08</v>
      </c>
      <c r="P150" s="424">
        <f t="shared" si="126"/>
        <v>21000</v>
      </c>
      <c r="Q150" s="424">
        <f t="shared" si="127"/>
        <v>33000</v>
      </c>
      <c r="R150" s="424">
        <f t="shared" si="128"/>
        <v>75000</v>
      </c>
      <c r="S150" s="424">
        <f t="shared" si="129"/>
        <v>95000</v>
      </c>
      <c r="T150" s="424">
        <f t="shared" si="130"/>
        <v>244627.75680000099</v>
      </c>
      <c r="U150" s="424"/>
      <c r="V150" s="424">
        <f t="shared" si="135"/>
        <v>468627.75680000102</v>
      </c>
      <c r="W150" s="431">
        <v>12</v>
      </c>
      <c r="X150" s="424">
        <f t="shared" si="131"/>
        <v>39052.313066666698</v>
      </c>
      <c r="Y150" s="427"/>
      <c r="Z150" s="435">
        <f t="shared" si="132"/>
        <v>39052.313066666698</v>
      </c>
      <c r="AA150" s="436">
        <v>22338.4826046667</v>
      </c>
      <c r="AB150" s="436">
        <f t="shared" si="134"/>
        <v>16713.830462000002</v>
      </c>
      <c r="AC150" s="436"/>
      <c r="AD150" s="436"/>
      <c r="AE150" s="436"/>
    </row>
    <row r="151" spans="1:31" ht="18" x14ac:dyDescent="0.15">
      <c r="A151" s="421">
        <v>134</v>
      </c>
      <c r="B151" s="16" t="s">
        <v>307</v>
      </c>
      <c r="C151" s="424">
        <v>315849</v>
      </c>
      <c r="D151" s="423">
        <v>12</v>
      </c>
      <c r="E151" s="424">
        <f t="shared" si="133"/>
        <v>3790188</v>
      </c>
      <c r="F151" s="424"/>
      <c r="G151" s="425">
        <v>245615.04</v>
      </c>
      <c r="H151" s="427"/>
      <c r="I151" s="424">
        <f t="shared" si="121"/>
        <v>3544572.96</v>
      </c>
      <c r="J151" s="424">
        <v>200000</v>
      </c>
      <c r="K151" s="424">
        <v>0.2</v>
      </c>
      <c r="L151" s="424">
        <f t="shared" si="122"/>
        <v>708914.59199999995</v>
      </c>
      <c r="M151" s="424">
        <f t="shared" si="123"/>
        <v>908914.59199999995</v>
      </c>
      <c r="N151" s="424">
        <f t="shared" si="124"/>
        <v>1154529.632</v>
      </c>
      <c r="O151" s="424">
        <f t="shared" si="125"/>
        <v>2635658.3679999998</v>
      </c>
      <c r="P151" s="424">
        <f t="shared" si="126"/>
        <v>21000</v>
      </c>
      <c r="Q151" s="424">
        <f t="shared" si="127"/>
        <v>33000</v>
      </c>
      <c r="R151" s="424">
        <f t="shared" si="128"/>
        <v>75000</v>
      </c>
      <c r="S151" s="424">
        <f t="shared" si="129"/>
        <v>95000</v>
      </c>
      <c r="T151" s="424">
        <f t="shared" si="130"/>
        <v>217488.25727999999</v>
      </c>
      <c r="U151" s="424"/>
      <c r="V151" s="424">
        <f t="shared" si="135"/>
        <v>441488.25728000002</v>
      </c>
      <c r="W151" s="431">
        <v>12</v>
      </c>
      <c r="X151" s="424">
        <f t="shared" si="131"/>
        <v>36790.688106666697</v>
      </c>
      <c r="Y151" s="427"/>
      <c r="Z151" s="435">
        <f t="shared" si="132"/>
        <v>36790.688106666697</v>
      </c>
      <c r="AA151" s="436">
        <v>21640.952862666702</v>
      </c>
      <c r="AB151" s="436">
        <f t="shared" si="134"/>
        <v>15149.735244</v>
      </c>
      <c r="AC151" s="436"/>
      <c r="AD151" s="436"/>
      <c r="AE151" s="436"/>
    </row>
    <row r="152" spans="1:31" ht="18" x14ac:dyDescent="0.15">
      <c r="A152" s="421">
        <v>135</v>
      </c>
      <c r="B152" s="16" t="s">
        <v>312</v>
      </c>
      <c r="C152" s="424">
        <v>274459.75</v>
      </c>
      <c r="D152" s="423">
        <v>12</v>
      </c>
      <c r="E152" s="424">
        <f t="shared" si="133"/>
        <v>3293517</v>
      </c>
      <c r="F152" s="424">
        <v>0</v>
      </c>
      <c r="G152" s="425">
        <v>215481.36</v>
      </c>
      <c r="H152" s="427"/>
      <c r="I152" s="424">
        <f t="shared" si="121"/>
        <v>3078035.64</v>
      </c>
      <c r="J152" s="424">
        <v>200000</v>
      </c>
      <c r="K152" s="424">
        <v>0.2</v>
      </c>
      <c r="L152" s="424">
        <f t="shared" si="122"/>
        <v>615607.12800000003</v>
      </c>
      <c r="M152" s="424">
        <f t="shared" si="123"/>
        <v>815607.12800000003</v>
      </c>
      <c r="N152" s="424">
        <f t="shared" si="124"/>
        <v>1031088.488</v>
      </c>
      <c r="O152" s="424">
        <f t="shared" si="125"/>
        <v>2262428.5120000001</v>
      </c>
      <c r="P152" s="424">
        <f t="shared" si="126"/>
        <v>21000</v>
      </c>
      <c r="Q152" s="424">
        <f t="shared" si="127"/>
        <v>33000</v>
      </c>
      <c r="R152" s="424">
        <f t="shared" si="128"/>
        <v>75000</v>
      </c>
      <c r="S152" s="424">
        <f t="shared" si="129"/>
        <v>95000</v>
      </c>
      <c r="T152" s="424">
        <f t="shared" si="130"/>
        <v>139109.98752</v>
      </c>
      <c r="U152" s="424"/>
      <c r="V152" s="424">
        <f t="shared" si="135"/>
        <v>363109.98752000002</v>
      </c>
      <c r="W152" s="431">
        <v>12</v>
      </c>
      <c r="X152" s="424">
        <f t="shared" si="131"/>
        <v>30259.165626666701</v>
      </c>
      <c r="Y152" s="427"/>
      <c r="Z152" s="435">
        <f t="shared" si="132"/>
        <v>30259.165626666701</v>
      </c>
      <c r="AA152" s="436">
        <v>17042.713866666702</v>
      </c>
      <c r="AB152" s="436">
        <f t="shared" si="134"/>
        <v>13216.45176</v>
      </c>
      <c r="AC152" s="436"/>
      <c r="AD152" s="436"/>
      <c r="AE152" s="436"/>
    </row>
    <row r="153" spans="1:31" ht="18" x14ac:dyDescent="0.15">
      <c r="A153" s="421">
        <v>136</v>
      </c>
      <c r="B153" s="16" t="s">
        <v>314</v>
      </c>
      <c r="C153" s="424">
        <v>274459.75</v>
      </c>
      <c r="D153" s="423">
        <v>12</v>
      </c>
      <c r="E153" s="424">
        <f t="shared" si="133"/>
        <v>3293517</v>
      </c>
      <c r="F153" s="424">
        <v>0</v>
      </c>
      <c r="G153" s="425">
        <v>215481.36</v>
      </c>
      <c r="H153" s="427"/>
      <c r="I153" s="424">
        <f t="shared" si="121"/>
        <v>3078035.64</v>
      </c>
      <c r="J153" s="424">
        <v>200000</v>
      </c>
      <c r="K153" s="424">
        <v>0.2</v>
      </c>
      <c r="L153" s="424">
        <f t="shared" si="122"/>
        <v>615607.12800000003</v>
      </c>
      <c r="M153" s="424">
        <f t="shared" si="123"/>
        <v>815607.12800000003</v>
      </c>
      <c r="N153" s="424">
        <f t="shared" si="124"/>
        <v>1031088.488</v>
      </c>
      <c r="O153" s="424">
        <f t="shared" si="125"/>
        <v>2262428.5120000001</v>
      </c>
      <c r="P153" s="424">
        <f t="shared" si="126"/>
        <v>21000</v>
      </c>
      <c r="Q153" s="424">
        <f t="shared" si="127"/>
        <v>33000</v>
      </c>
      <c r="R153" s="424">
        <f t="shared" si="128"/>
        <v>75000</v>
      </c>
      <c r="S153" s="424">
        <f t="shared" si="129"/>
        <v>95000</v>
      </c>
      <c r="T153" s="424">
        <f t="shared" si="130"/>
        <v>139109.98752</v>
      </c>
      <c r="U153" s="424"/>
      <c r="V153" s="424">
        <f t="shared" si="135"/>
        <v>363109.98752000002</v>
      </c>
      <c r="W153" s="431">
        <v>12</v>
      </c>
      <c r="X153" s="424">
        <f t="shared" si="131"/>
        <v>30259.165626666701</v>
      </c>
      <c r="Y153" s="427"/>
      <c r="Z153" s="435">
        <f t="shared" si="132"/>
        <v>30259.165626666701</v>
      </c>
      <c r="AA153" s="436">
        <v>17042.713866666702</v>
      </c>
      <c r="AB153" s="436">
        <f t="shared" si="134"/>
        <v>13216.45176</v>
      </c>
      <c r="AC153" s="436"/>
      <c r="AD153" s="436"/>
      <c r="AE153" s="436"/>
    </row>
    <row r="154" spans="1:31" ht="31.5" x14ac:dyDescent="0.2">
      <c r="A154" s="421">
        <v>137</v>
      </c>
      <c r="B154" s="16" t="s">
        <v>316</v>
      </c>
      <c r="C154" s="424">
        <v>274459.75</v>
      </c>
      <c r="D154" s="423">
        <v>12</v>
      </c>
      <c r="E154" s="424">
        <f t="shared" si="133"/>
        <v>3293517</v>
      </c>
      <c r="F154" s="424">
        <v>0</v>
      </c>
      <c r="G154" s="425">
        <v>215481.36</v>
      </c>
      <c r="H154" s="427"/>
      <c r="I154" s="424">
        <f t="shared" si="121"/>
        <v>3078035.64</v>
      </c>
      <c r="J154" s="424">
        <v>200000</v>
      </c>
      <c r="K154" s="424">
        <v>0.2</v>
      </c>
      <c r="L154" s="424">
        <f t="shared" si="122"/>
        <v>615607.12800000003</v>
      </c>
      <c r="M154" s="424">
        <f t="shared" si="123"/>
        <v>815607.12800000003</v>
      </c>
      <c r="N154" s="424">
        <f t="shared" si="124"/>
        <v>1031088.488</v>
      </c>
      <c r="O154" s="424">
        <f t="shared" si="125"/>
        <v>2262428.5120000001</v>
      </c>
      <c r="P154" s="424">
        <f t="shared" si="126"/>
        <v>21000</v>
      </c>
      <c r="Q154" s="424">
        <f t="shared" si="127"/>
        <v>33000</v>
      </c>
      <c r="R154" s="424">
        <f t="shared" si="128"/>
        <v>75000</v>
      </c>
      <c r="S154" s="424">
        <f t="shared" si="129"/>
        <v>95000</v>
      </c>
      <c r="T154" s="424">
        <f t="shared" si="130"/>
        <v>139109.98752</v>
      </c>
      <c r="U154" s="424"/>
      <c r="V154" s="424">
        <f t="shared" si="135"/>
        <v>363109.98752000002</v>
      </c>
      <c r="W154" s="431">
        <v>12</v>
      </c>
      <c r="X154" s="424">
        <f t="shared" si="131"/>
        <v>30259.165626666701</v>
      </c>
      <c r="Y154" s="427"/>
      <c r="Z154" s="435">
        <f t="shared" si="132"/>
        <v>30259.165626666701</v>
      </c>
      <c r="AA154" s="436">
        <v>17042.713866666702</v>
      </c>
      <c r="AB154" s="436">
        <f t="shared" si="134"/>
        <v>13216.45176</v>
      </c>
      <c r="AC154" s="436"/>
      <c r="AD154" s="436"/>
      <c r="AE154" s="436"/>
    </row>
    <row r="155" spans="1:31" ht="18" x14ac:dyDescent="0.15">
      <c r="A155" s="421">
        <v>138</v>
      </c>
      <c r="B155" s="16" t="s">
        <v>318</v>
      </c>
      <c r="C155" s="424">
        <v>280631.91666666698</v>
      </c>
      <c r="D155" s="423">
        <v>12</v>
      </c>
      <c r="E155" s="424">
        <f t="shared" si="133"/>
        <v>3367583</v>
      </c>
      <c r="F155" s="424">
        <v>0</v>
      </c>
      <c r="G155" s="425">
        <v>221406.64</v>
      </c>
      <c r="H155" s="427"/>
      <c r="I155" s="424">
        <f t="shared" si="121"/>
        <v>3146176.36</v>
      </c>
      <c r="J155" s="424">
        <v>200000</v>
      </c>
      <c r="K155" s="424">
        <v>0.2</v>
      </c>
      <c r="L155" s="424">
        <f t="shared" si="122"/>
        <v>629235.27200000104</v>
      </c>
      <c r="M155" s="424">
        <f t="shared" si="123"/>
        <v>829235.27200000104</v>
      </c>
      <c r="N155" s="424">
        <f t="shared" si="124"/>
        <v>1050641.912</v>
      </c>
      <c r="O155" s="424">
        <f t="shared" si="125"/>
        <v>2316941.088</v>
      </c>
      <c r="P155" s="424">
        <f t="shared" si="126"/>
        <v>21000</v>
      </c>
      <c r="Q155" s="424">
        <f t="shared" si="127"/>
        <v>33000</v>
      </c>
      <c r="R155" s="424">
        <f t="shared" si="128"/>
        <v>75000</v>
      </c>
      <c r="S155" s="424">
        <f t="shared" si="129"/>
        <v>95000</v>
      </c>
      <c r="T155" s="424">
        <f t="shared" si="130"/>
        <v>150557.628480001</v>
      </c>
      <c r="U155" s="424"/>
      <c r="V155" s="424">
        <f t="shared" si="135"/>
        <v>374557.628480001</v>
      </c>
      <c r="W155" s="431">
        <v>12</v>
      </c>
      <c r="X155" s="424">
        <f t="shared" si="131"/>
        <v>31213.135706666701</v>
      </c>
      <c r="Y155" s="427"/>
      <c r="Z155" s="435">
        <f t="shared" si="132"/>
        <v>31213.135706666701</v>
      </c>
      <c r="AA155" s="436">
        <v>17572.885002666699</v>
      </c>
      <c r="AB155" s="436">
        <f t="shared" si="134"/>
        <v>13640.250704</v>
      </c>
      <c r="AC155" s="436"/>
      <c r="AD155" s="436"/>
      <c r="AE155" s="436"/>
    </row>
    <row r="156" spans="1:31" ht="18" x14ac:dyDescent="0.15">
      <c r="A156" s="421">
        <v>139</v>
      </c>
      <c r="B156" s="16" t="s">
        <v>320</v>
      </c>
      <c r="C156" s="424">
        <v>274459.75</v>
      </c>
      <c r="D156" s="423">
        <v>12</v>
      </c>
      <c r="E156" s="424">
        <f t="shared" si="133"/>
        <v>3293517</v>
      </c>
      <c r="F156" s="424">
        <v>0</v>
      </c>
      <c r="G156" s="425">
        <v>215481.36</v>
      </c>
      <c r="H156" s="427"/>
      <c r="I156" s="424">
        <f t="shared" si="121"/>
        <v>3078035.64</v>
      </c>
      <c r="J156" s="424">
        <v>200000</v>
      </c>
      <c r="K156" s="424">
        <v>0.2</v>
      </c>
      <c r="L156" s="424">
        <f t="shared" si="122"/>
        <v>615607.12800000003</v>
      </c>
      <c r="M156" s="424">
        <f t="shared" si="123"/>
        <v>815607.12800000003</v>
      </c>
      <c r="N156" s="424">
        <f t="shared" si="124"/>
        <v>1031088.488</v>
      </c>
      <c r="O156" s="424">
        <f t="shared" si="125"/>
        <v>2262428.5120000001</v>
      </c>
      <c r="P156" s="424">
        <f t="shared" si="126"/>
        <v>21000</v>
      </c>
      <c r="Q156" s="424">
        <f t="shared" si="127"/>
        <v>33000</v>
      </c>
      <c r="R156" s="424">
        <f t="shared" si="128"/>
        <v>75000</v>
      </c>
      <c r="S156" s="424">
        <f t="shared" si="129"/>
        <v>95000</v>
      </c>
      <c r="T156" s="424">
        <f t="shared" si="130"/>
        <v>139109.98752</v>
      </c>
      <c r="U156" s="424"/>
      <c r="V156" s="424">
        <f t="shared" si="135"/>
        <v>363109.98752000002</v>
      </c>
      <c r="W156" s="431">
        <v>12</v>
      </c>
      <c r="X156" s="424">
        <f t="shared" si="131"/>
        <v>30259.165626666701</v>
      </c>
      <c r="Y156" s="427"/>
      <c r="Z156" s="435">
        <f t="shared" si="132"/>
        <v>30259.165626666701</v>
      </c>
      <c r="AA156" s="436">
        <v>17042.713866666702</v>
      </c>
      <c r="AB156" s="436">
        <f t="shared" si="134"/>
        <v>13216.45176</v>
      </c>
      <c r="AC156" s="436"/>
      <c r="AD156" s="436"/>
      <c r="AE156" s="436"/>
    </row>
    <row r="157" spans="1:31" ht="18" x14ac:dyDescent="0.15">
      <c r="A157" s="421">
        <v>140</v>
      </c>
      <c r="B157" s="9" t="s">
        <v>329</v>
      </c>
      <c r="C157" s="424">
        <v>202598.16666666701</v>
      </c>
      <c r="D157" s="423">
        <v>12</v>
      </c>
      <c r="E157" s="424">
        <f t="shared" si="133"/>
        <v>2431178</v>
      </c>
      <c r="F157" s="424">
        <f>263.19*12</f>
        <v>3158.28</v>
      </c>
      <c r="G157" s="425">
        <v>161854.24</v>
      </c>
      <c r="H157" s="427"/>
      <c r="I157" s="424">
        <f t="shared" si="121"/>
        <v>2266165.48</v>
      </c>
      <c r="J157" s="424">
        <v>200000</v>
      </c>
      <c r="K157" s="424">
        <v>0.2</v>
      </c>
      <c r="L157" s="424">
        <f t="shared" si="122"/>
        <v>453233.09600000101</v>
      </c>
      <c r="M157" s="424">
        <f t="shared" si="123"/>
        <v>653233.09600000095</v>
      </c>
      <c r="N157" s="424">
        <f t="shared" si="124"/>
        <v>818245.61600000097</v>
      </c>
      <c r="O157" s="424">
        <f t="shared" si="125"/>
        <v>1612932.3840000001</v>
      </c>
      <c r="P157" s="424">
        <f t="shared" si="126"/>
        <v>21000</v>
      </c>
      <c r="Q157" s="424">
        <f t="shared" si="127"/>
        <v>33000</v>
      </c>
      <c r="R157" s="424">
        <f t="shared" si="128"/>
        <v>75000</v>
      </c>
      <c r="S157" s="424">
        <f t="shared" si="129"/>
        <v>95000</v>
      </c>
      <c r="T157" s="424">
        <f t="shared" si="130"/>
        <v>2715.8006400006998</v>
      </c>
      <c r="U157" s="424"/>
      <c r="V157" s="424">
        <f t="shared" si="135"/>
        <v>226715.80064000099</v>
      </c>
      <c r="W157" s="431">
        <v>12</v>
      </c>
      <c r="X157" s="424">
        <f t="shared" si="131"/>
        <v>18892.9833866667</v>
      </c>
      <c r="Y157" s="427"/>
      <c r="Z157" s="435">
        <f t="shared" si="132"/>
        <v>18892.9833866667</v>
      </c>
      <c r="AA157" s="436">
        <v>10739.3048</v>
      </c>
      <c r="AB157" s="436">
        <f t="shared" si="134"/>
        <v>8153.6785866667296</v>
      </c>
      <c r="AC157" s="436"/>
      <c r="AD157" s="436"/>
      <c r="AE157" s="436"/>
    </row>
    <row r="158" spans="1:31" ht="18" x14ac:dyDescent="0.15">
      <c r="A158" s="421">
        <v>141</v>
      </c>
      <c r="B158" s="9" t="s">
        <v>332</v>
      </c>
      <c r="C158" s="424">
        <v>205598.16666666701</v>
      </c>
      <c r="D158" s="423">
        <v>12</v>
      </c>
      <c r="E158" s="424">
        <f t="shared" si="133"/>
        <v>2467178</v>
      </c>
      <c r="F158" s="424"/>
      <c r="G158" s="425">
        <v>161854.24</v>
      </c>
      <c r="H158" s="427"/>
      <c r="I158" s="424">
        <f t="shared" si="121"/>
        <v>2305323.7599999998</v>
      </c>
      <c r="J158" s="424">
        <v>200000</v>
      </c>
      <c r="K158" s="424">
        <v>0.2</v>
      </c>
      <c r="L158" s="424">
        <f t="shared" si="122"/>
        <v>461064.75200000103</v>
      </c>
      <c r="M158" s="424">
        <f t="shared" si="123"/>
        <v>661064.75200000103</v>
      </c>
      <c r="N158" s="424">
        <f t="shared" si="124"/>
        <v>822918.99200000102</v>
      </c>
      <c r="O158" s="424">
        <f t="shared" si="125"/>
        <v>1644259.0079999999</v>
      </c>
      <c r="P158" s="424">
        <f t="shared" si="126"/>
        <v>21000</v>
      </c>
      <c r="Q158" s="424">
        <f t="shared" si="127"/>
        <v>33000</v>
      </c>
      <c r="R158" s="424">
        <f t="shared" si="128"/>
        <v>75000</v>
      </c>
      <c r="S158" s="424">
        <f t="shared" si="129"/>
        <v>95000</v>
      </c>
      <c r="T158" s="424">
        <f t="shared" si="130"/>
        <v>9294.39168000067</v>
      </c>
      <c r="U158" s="424"/>
      <c r="V158" s="424">
        <f t="shared" si="135"/>
        <v>233294.39168000099</v>
      </c>
      <c r="W158" s="431">
        <v>12</v>
      </c>
      <c r="X158" s="424">
        <f t="shared" si="131"/>
        <v>19441.199306666698</v>
      </c>
      <c r="Y158" s="427"/>
      <c r="Z158" s="435">
        <f t="shared" si="132"/>
        <v>19441.199306666698</v>
      </c>
      <c r="AA158" s="436">
        <v>11232.457626666701</v>
      </c>
      <c r="AB158" s="436">
        <f t="shared" si="134"/>
        <v>8208.7416800000192</v>
      </c>
      <c r="AC158" s="436"/>
      <c r="AD158" s="436"/>
      <c r="AE158" s="436"/>
    </row>
    <row r="159" spans="1:31" ht="15.75" customHeight="1" x14ac:dyDescent="0.15">
      <c r="A159" s="421">
        <v>142</v>
      </c>
      <c r="B159" s="9" t="s">
        <v>333</v>
      </c>
      <c r="C159" s="424">
        <v>202598.16666666701</v>
      </c>
      <c r="D159" s="423">
        <v>12</v>
      </c>
      <c r="E159" s="424">
        <f t="shared" si="133"/>
        <v>2431178</v>
      </c>
      <c r="F159" s="424"/>
      <c r="G159" s="425">
        <v>161854.24</v>
      </c>
      <c r="H159" s="427"/>
      <c r="I159" s="424">
        <f t="shared" si="121"/>
        <v>2269323.7599999998</v>
      </c>
      <c r="J159" s="424">
        <v>200000</v>
      </c>
      <c r="K159" s="424">
        <v>0.2</v>
      </c>
      <c r="L159" s="424">
        <f t="shared" si="122"/>
        <v>453864.75200000103</v>
      </c>
      <c r="M159" s="424">
        <f t="shared" si="123"/>
        <v>653864.75200000103</v>
      </c>
      <c r="N159" s="424">
        <f t="shared" si="124"/>
        <v>815718.99200000102</v>
      </c>
      <c r="O159" s="424">
        <f t="shared" si="125"/>
        <v>1615459.0079999999</v>
      </c>
      <c r="P159" s="424">
        <f t="shared" si="126"/>
        <v>21000</v>
      </c>
      <c r="Q159" s="424">
        <f t="shared" si="127"/>
        <v>33000</v>
      </c>
      <c r="R159" s="424">
        <f t="shared" si="128"/>
        <v>75000</v>
      </c>
      <c r="S159" s="424">
        <f t="shared" si="129"/>
        <v>95000</v>
      </c>
      <c r="T159" s="424">
        <f t="shared" si="130"/>
        <v>3246.39168000067</v>
      </c>
      <c r="U159" s="424"/>
      <c r="V159" s="424">
        <f t="shared" si="135"/>
        <v>227246.39168000099</v>
      </c>
      <c r="W159" s="431">
        <v>12</v>
      </c>
      <c r="X159" s="424">
        <f t="shared" si="131"/>
        <v>18937.199306666698</v>
      </c>
      <c r="Y159" s="427"/>
      <c r="Z159" s="435">
        <f t="shared" si="132"/>
        <v>18937.199306666698</v>
      </c>
      <c r="AA159" s="436">
        <v>10776.457626666701</v>
      </c>
      <c r="AB159" s="436">
        <f t="shared" si="134"/>
        <v>8160.7416800000201</v>
      </c>
      <c r="AC159" s="436"/>
      <c r="AD159" s="436"/>
      <c r="AE159" s="436"/>
    </row>
    <row r="160" spans="1:31" ht="18" x14ac:dyDescent="0.15">
      <c r="A160" s="421">
        <v>143</v>
      </c>
      <c r="B160" s="9" t="s">
        <v>334</v>
      </c>
      <c r="C160" s="424">
        <v>202598.16666666701</v>
      </c>
      <c r="D160" s="423">
        <v>12</v>
      </c>
      <c r="E160" s="424">
        <f t="shared" si="133"/>
        <v>2431178</v>
      </c>
      <c r="F160" s="424">
        <f>263.19*12</f>
        <v>3158.28</v>
      </c>
      <c r="G160" s="425">
        <v>161854.24</v>
      </c>
      <c r="H160" s="427"/>
      <c r="I160" s="424">
        <f t="shared" si="121"/>
        <v>2266165.48</v>
      </c>
      <c r="J160" s="424">
        <v>200000</v>
      </c>
      <c r="K160" s="424">
        <v>0.2</v>
      </c>
      <c r="L160" s="424">
        <f t="shared" si="122"/>
        <v>453233.09600000101</v>
      </c>
      <c r="M160" s="424">
        <f t="shared" si="123"/>
        <v>653233.09600000095</v>
      </c>
      <c r="N160" s="424">
        <f t="shared" si="124"/>
        <v>818245.61600000097</v>
      </c>
      <c r="O160" s="424">
        <f t="shared" si="125"/>
        <v>1612932.3840000001</v>
      </c>
      <c r="P160" s="424">
        <f t="shared" si="126"/>
        <v>21000</v>
      </c>
      <c r="Q160" s="424">
        <f t="shared" si="127"/>
        <v>33000</v>
      </c>
      <c r="R160" s="424">
        <f t="shared" si="128"/>
        <v>75000</v>
      </c>
      <c r="S160" s="424">
        <f t="shared" si="129"/>
        <v>95000</v>
      </c>
      <c r="T160" s="424">
        <f t="shared" si="130"/>
        <v>2715.8006400006998</v>
      </c>
      <c r="U160" s="424"/>
      <c r="V160" s="424">
        <f t="shared" si="135"/>
        <v>226715.80064000099</v>
      </c>
      <c r="W160" s="431">
        <v>12</v>
      </c>
      <c r="X160" s="424">
        <f t="shared" si="131"/>
        <v>18892.9833866667</v>
      </c>
      <c r="Y160" s="427"/>
      <c r="Z160" s="435">
        <f t="shared" si="132"/>
        <v>18892.9833866667</v>
      </c>
      <c r="AA160" s="436">
        <v>10739.3048</v>
      </c>
      <c r="AB160" s="436">
        <f t="shared" si="134"/>
        <v>8153.6785866667296</v>
      </c>
      <c r="AC160" s="436"/>
      <c r="AD160" s="436"/>
      <c r="AE160" s="436"/>
    </row>
    <row r="161" spans="1:31" ht="18" x14ac:dyDescent="0.15">
      <c r="A161" s="421">
        <v>144</v>
      </c>
      <c r="B161" s="9" t="s">
        <v>335</v>
      </c>
      <c r="C161" s="424">
        <v>202598.16666666701</v>
      </c>
      <c r="D161" s="423">
        <v>12</v>
      </c>
      <c r="E161" s="424">
        <f t="shared" si="133"/>
        <v>2431178</v>
      </c>
      <c r="F161" s="424"/>
      <c r="G161" s="425">
        <v>161854.24</v>
      </c>
      <c r="H161" s="427"/>
      <c r="I161" s="424">
        <f t="shared" si="121"/>
        <v>2269323.7599999998</v>
      </c>
      <c r="J161" s="424">
        <v>200000</v>
      </c>
      <c r="K161" s="424">
        <v>0.2</v>
      </c>
      <c r="L161" s="424">
        <f t="shared" si="122"/>
        <v>453864.75200000103</v>
      </c>
      <c r="M161" s="424">
        <f t="shared" si="123"/>
        <v>653864.75200000103</v>
      </c>
      <c r="N161" s="424">
        <f t="shared" si="124"/>
        <v>815718.99200000102</v>
      </c>
      <c r="O161" s="424">
        <f t="shared" si="125"/>
        <v>1615459.0079999999</v>
      </c>
      <c r="P161" s="424">
        <f t="shared" si="126"/>
        <v>21000</v>
      </c>
      <c r="Q161" s="424">
        <f t="shared" si="127"/>
        <v>33000</v>
      </c>
      <c r="R161" s="424">
        <f t="shared" si="128"/>
        <v>75000</v>
      </c>
      <c r="S161" s="424">
        <f t="shared" si="129"/>
        <v>95000</v>
      </c>
      <c r="T161" s="424">
        <f t="shared" si="130"/>
        <v>3246.39168000067</v>
      </c>
      <c r="U161" s="424"/>
      <c r="V161" s="424">
        <f t="shared" si="135"/>
        <v>227246.39168000099</v>
      </c>
      <c r="W161" s="431">
        <v>12</v>
      </c>
      <c r="X161" s="424">
        <f t="shared" si="131"/>
        <v>18937.199306666698</v>
      </c>
      <c r="Y161" s="427"/>
      <c r="Z161" s="435">
        <f t="shared" si="132"/>
        <v>18937.199306666698</v>
      </c>
      <c r="AA161" s="436">
        <v>10776.457626666701</v>
      </c>
      <c r="AB161" s="436">
        <f t="shared" si="134"/>
        <v>8160.7416800000201</v>
      </c>
      <c r="AC161" s="436"/>
      <c r="AD161" s="436"/>
      <c r="AE161" s="436"/>
    </row>
    <row r="162" spans="1:31" ht="18" x14ac:dyDescent="0.15">
      <c r="A162" s="421">
        <v>145</v>
      </c>
      <c r="B162" s="9" t="s">
        <v>336</v>
      </c>
      <c r="C162" s="424">
        <v>200336.83333333299</v>
      </c>
      <c r="D162" s="423">
        <v>12</v>
      </c>
      <c r="E162" s="424">
        <f t="shared" si="133"/>
        <v>2404042</v>
      </c>
      <c r="F162" s="424"/>
      <c r="G162" s="425">
        <v>156803.35999999999</v>
      </c>
      <c r="H162" s="427"/>
      <c r="I162" s="424">
        <f t="shared" si="121"/>
        <v>2247238.64</v>
      </c>
      <c r="J162" s="424">
        <v>200000</v>
      </c>
      <c r="K162" s="424">
        <v>0.2</v>
      </c>
      <c r="L162" s="424">
        <f t="shared" si="122"/>
        <v>449447.72799999901</v>
      </c>
      <c r="M162" s="424">
        <f t="shared" si="123"/>
        <v>649447.72799999896</v>
      </c>
      <c r="N162" s="424">
        <f t="shared" si="124"/>
        <v>806251.08799999906</v>
      </c>
      <c r="O162" s="424">
        <f t="shared" si="125"/>
        <v>1597790.912</v>
      </c>
      <c r="P162" s="424">
        <f t="shared" si="126"/>
        <v>21000</v>
      </c>
      <c r="Q162" s="424">
        <f t="shared" si="127"/>
        <v>33000</v>
      </c>
      <c r="R162" s="424">
        <f t="shared" si="128"/>
        <v>75000</v>
      </c>
      <c r="S162" s="424">
        <f t="shared" si="129"/>
        <v>94580.273279999397</v>
      </c>
      <c r="T162" s="424">
        <f t="shared" si="130"/>
        <v>0</v>
      </c>
      <c r="U162" s="424"/>
      <c r="V162" s="424">
        <f t="shared" si="135"/>
        <v>223580.273279999</v>
      </c>
      <c r="W162" s="431">
        <v>12</v>
      </c>
      <c r="X162" s="424">
        <f t="shared" si="131"/>
        <v>18631.6894399999</v>
      </c>
      <c r="Y162" s="427"/>
      <c r="Z162" s="435">
        <f t="shared" si="132"/>
        <v>18631.6894399999</v>
      </c>
      <c r="AA162" s="436">
        <v>11232.457626666701</v>
      </c>
      <c r="AB162" s="436">
        <f t="shared" si="134"/>
        <v>7399.2318133332501</v>
      </c>
      <c r="AC162" s="436"/>
      <c r="AD162" s="436"/>
      <c r="AE162" s="436"/>
    </row>
    <row r="163" spans="1:31" ht="18" x14ac:dyDescent="0.15">
      <c r="A163" s="421">
        <v>146</v>
      </c>
      <c r="B163" s="9" t="s">
        <v>338</v>
      </c>
      <c r="C163" s="424">
        <v>197336.83333333299</v>
      </c>
      <c r="D163" s="423">
        <v>12</v>
      </c>
      <c r="E163" s="424">
        <f t="shared" si="133"/>
        <v>2368042</v>
      </c>
      <c r="F163" s="424"/>
      <c r="G163" s="425">
        <v>156803.35999999999</v>
      </c>
      <c r="H163" s="427"/>
      <c r="I163" s="424">
        <f t="shared" si="121"/>
        <v>2211238.64</v>
      </c>
      <c r="J163" s="424">
        <v>200000</v>
      </c>
      <c r="K163" s="424">
        <v>0.2</v>
      </c>
      <c r="L163" s="424">
        <f t="shared" si="122"/>
        <v>442247.72799999901</v>
      </c>
      <c r="M163" s="424">
        <f t="shared" si="123"/>
        <v>642247.72799999896</v>
      </c>
      <c r="N163" s="424">
        <f t="shared" si="124"/>
        <v>799051.08799999906</v>
      </c>
      <c r="O163" s="424">
        <f t="shared" si="125"/>
        <v>1568990.912</v>
      </c>
      <c r="P163" s="424">
        <f t="shared" si="126"/>
        <v>21000</v>
      </c>
      <c r="Q163" s="424">
        <f t="shared" si="127"/>
        <v>33000</v>
      </c>
      <c r="R163" s="424">
        <f t="shared" si="128"/>
        <v>75000</v>
      </c>
      <c r="S163" s="424">
        <f t="shared" si="129"/>
        <v>89108.273279999397</v>
      </c>
      <c r="T163" s="424">
        <f t="shared" si="130"/>
        <v>0</v>
      </c>
      <c r="U163" s="424"/>
      <c r="V163" s="424">
        <f t="shared" si="135"/>
        <v>218108.273279999</v>
      </c>
      <c r="W163" s="431">
        <v>12</v>
      </c>
      <c r="X163" s="424">
        <f t="shared" si="131"/>
        <v>18175.6894399999</v>
      </c>
      <c r="Y163" s="427"/>
      <c r="Z163" s="435">
        <f t="shared" si="132"/>
        <v>18175.6894399999</v>
      </c>
      <c r="AA163" s="436">
        <v>10776.457626666701</v>
      </c>
      <c r="AB163" s="436">
        <f t="shared" si="134"/>
        <v>7399.2318133332501</v>
      </c>
      <c r="AC163" s="436"/>
      <c r="AD163" s="436"/>
      <c r="AE163" s="436"/>
    </row>
    <row r="164" spans="1:31" ht="18" x14ac:dyDescent="0.15">
      <c r="A164" s="421">
        <v>147</v>
      </c>
      <c r="B164" s="12" t="s">
        <v>339</v>
      </c>
      <c r="C164" s="424">
        <v>200336.83333333299</v>
      </c>
      <c r="D164" s="423">
        <v>12</v>
      </c>
      <c r="E164" s="424">
        <f t="shared" si="133"/>
        <v>2404042</v>
      </c>
      <c r="F164" s="424"/>
      <c r="G164" s="425">
        <v>156803.35999999999</v>
      </c>
      <c r="H164" s="427"/>
      <c r="I164" s="424">
        <f t="shared" si="121"/>
        <v>2247238.64</v>
      </c>
      <c r="J164" s="424">
        <v>200000</v>
      </c>
      <c r="K164" s="424">
        <v>0.2</v>
      </c>
      <c r="L164" s="424">
        <f t="shared" si="122"/>
        <v>449447.72799999901</v>
      </c>
      <c r="M164" s="424">
        <f t="shared" si="123"/>
        <v>649447.72799999896</v>
      </c>
      <c r="N164" s="424">
        <f t="shared" si="124"/>
        <v>806251.08799999906</v>
      </c>
      <c r="O164" s="424">
        <f t="shared" si="125"/>
        <v>1597790.912</v>
      </c>
      <c r="P164" s="424">
        <f t="shared" si="126"/>
        <v>21000</v>
      </c>
      <c r="Q164" s="424">
        <f t="shared" si="127"/>
        <v>33000</v>
      </c>
      <c r="R164" s="424">
        <f t="shared" si="128"/>
        <v>75000</v>
      </c>
      <c r="S164" s="424">
        <f t="shared" si="129"/>
        <v>94580.273279999397</v>
      </c>
      <c r="T164" s="424">
        <f t="shared" si="130"/>
        <v>0</v>
      </c>
      <c r="U164" s="424"/>
      <c r="V164" s="424">
        <f t="shared" si="135"/>
        <v>223580.273279999</v>
      </c>
      <c r="W164" s="431">
        <v>12</v>
      </c>
      <c r="X164" s="424">
        <f t="shared" si="131"/>
        <v>18631.6894399999</v>
      </c>
      <c r="Y164" s="427"/>
      <c r="Z164" s="435">
        <f t="shared" si="132"/>
        <v>18631.6894399999</v>
      </c>
      <c r="AA164" s="436">
        <v>11232.457626666701</v>
      </c>
      <c r="AB164" s="436">
        <f t="shared" si="134"/>
        <v>7399.2318133332501</v>
      </c>
      <c r="AC164" s="436"/>
      <c r="AD164" s="436"/>
      <c r="AE164" s="436"/>
    </row>
    <row r="165" spans="1:31" ht="18" x14ac:dyDescent="0.15">
      <c r="A165" s="421">
        <v>148</v>
      </c>
      <c r="B165" s="9" t="s">
        <v>340</v>
      </c>
      <c r="C165" s="424">
        <v>197336.83333333299</v>
      </c>
      <c r="D165" s="423">
        <v>12</v>
      </c>
      <c r="E165" s="424">
        <f t="shared" si="133"/>
        <v>2368042</v>
      </c>
      <c r="F165" s="424"/>
      <c r="G165" s="425">
        <v>156803.35999999999</v>
      </c>
      <c r="H165" s="427"/>
      <c r="I165" s="424">
        <f t="shared" si="121"/>
        <v>2211238.64</v>
      </c>
      <c r="J165" s="424">
        <v>200000</v>
      </c>
      <c r="K165" s="424">
        <v>0.2</v>
      </c>
      <c r="L165" s="424">
        <f t="shared" si="122"/>
        <v>442247.72799999901</v>
      </c>
      <c r="M165" s="424">
        <f t="shared" si="123"/>
        <v>642247.72799999896</v>
      </c>
      <c r="N165" s="424">
        <f t="shared" si="124"/>
        <v>799051.08799999906</v>
      </c>
      <c r="O165" s="424">
        <f t="shared" si="125"/>
        <v>1568990.912</v>
      </c>
      <c r="P165" s="424">
        <f t="shared" si="126"/>
        <v>21000</v>
      </c>
      <c r="Q165" s="424">
        <f t="shared" si="127"/>
        <v>33000</v>
      </c>
      <c r="R165" s="424">
        <f t="shared" si="128"/>
        <v>75000</v>
      </c>
      <c r="S165" s="424">
        <f t="shared" si="129"/>
        <v>89108.273279999397</v>
      </c>
      <c r="T165" s="424">
        <f t="shared" si="130"/>
        <v>0</v>
      </c>
      <c r="U165" s="424"/>
      <c r="V165" s="424">
        <f t="shared" si="135"/>
        <v>218108.273279999</v>
      </c>
      <c r="W165" s="431">
        <v>12</v>
      </c>
      <c r="X165" s="424">
        <f t="shared" si="131"/>
        <v>18175.6894399999</v>
      </c>
      <c r="Y165" s="427"/>
      <c r="Z165" s="435">
        <f t="shared" si="132"/>
        <v>18175.6894399999</v>
      </c>
      <c r="AA165" s="436">
        <v>10776.457626666701</v>
      </c>
      <c r="AB165" s="436">
        <f t="shared" si="134"/>
        <v>7399.2318133332501</v>
      </c>
      <c r="AC165" s="436"/>
      <c r="AD165" s="436"/>
      <c r="AE165" s="436"/>
    </row>
    <row r="166" spans="1:31" ht="18" x14ac:dyDescent="0.15">
      <c r="A166" s="421">
        <v>149</v>
      </c>
      <c r="B166" s="16" t="s">
        <v>341</v>
      </c>
      <c r="C166" s="424">
        <v>197336.83333333299</v>
      </c>
      <c r="D166" s="423">
        <v>12</v>
      </c>
      <c r="E166" s="424">
        <f t="shared" si="133"/>
        <v>2368042</v>
      </c>
      <c r="F166" s="424"/>
      <c r="G166" s="425">
        <v>156803.35999999999</v>
      </c>
      <c r="H166" s="427"/>
      <c r="I166" s="424">
        <f t="shared" si="121"/>
        <v>2211238.64</v>
      </c>
      <c r="J166" s="424">
        <v>200000</v>
      </c>
      <c r="K166" s="424">
        <v>0.2</v>
      </c>
      <c r="L166" s="424">
        <f t="shared" si="122"/>
        <v>442247.72799999901</v>
      </c>
      <c r="M166" s="424">
        <f t="shared" si="123"/>
        <v>642247.72799999896</v>
      </c>
      <c r="N166" s="424">
        <f t="shared" si="124"/>
        <v>799051.08799999906</v>
      </c>
      <c r="O166" s="424">
        <f t="shared" si="125"/>
        <v>1568990.912</v>
      </c>
      <c r="P166" s="424">
        <f t="shared" si="126"/>
        <v>21000</v>
      </c>
      <c r="Q166" s="424">
        <f t="shared" si="127"/>
        <v>33000</v>
      </c>
      <c r="R166" s="424">
        <f t="shared" si="128"/>
        <v>75000</v>
      </c>
      <c r="S166" s="424">
        <f t="shared" si="129"/>
        <v>89108.273279999397</v>
      </c>
      <c r="T166" s="424">
        <f t="shared" si="130"/>
        <v>0</v>
      </c>
      <c r="U166" s="424"/>
      <c r="V166" s="424">
        <f t="shared" si="135"/>
        <v>218108.273279999</v>
      </c>
      <c r="W166" s="431">
        <v>12</v>
      </c>
      <c r="X166" s="424">
        <f t="shared" si="131"/>
        <v>18175.6894399999</v>
      </c>
      <c r="Y166" s="427"/>
      <c r="Z166" s="435">
        <f t="shared" si="132"/>
        <v>18175.6894399999</v>
      </c>
      <c r="AA166" s="436">
        <v>10776.457626666701</v>
      </c>
      <c r="AB166" s="436">
        <f t="shared" si="134"/>
        <v>7399.2318133332501</v>
      </c>
      <c r="AC166" s="436"/>
      <c r="AD166" s="436"/>
      <c r="AE166" s="436"/>
    </row>
    <row r="167" spans="1:31" ht="18" x14ac:dyDescent="0.15">
      <c r="A167" s="421">
        <v>150</v>
      </c>
      <c r="B167" s="16" t="s">
        <v>342</v>
      </c>
      <c r="C167" s="424">
        <v>200336.83333333299</v>
      </c>
      <c r="D167" s="423">
        <v>12</v>
      </c>
      <c r="E167" s="424">
        <f t="shared" si="133"/>
        <v>2404042</v>
      </c>
      <c r="F167" s="424"/>
      <c r="G167" s="425">
        <v>156803.35999999999</v>
      </c>
      <c r="H167" s="427"/>
      <c r="I167" s="424">
        <f t="shared" si="121"/>
        <v>2247238.64</v>
      </c>
      <c r="J167" s="424">
        <v>200000</v>
      </c>
      <c r="K167" s="424">
        <v>0.2</v>
      </c>
      <c r="L167" s="424">
        <f t="shared" si="122"/>
        <v>449447.72799999901</v>
      </c>
      <c r="M167" s="424">
        <f t="shared" si="123"/>
        <v>649447.72799999896</v>
      </c>
      <c r="N167" s="424">
        <f t="shared" si="124"/>
        <v>806251.08799999906</v>
      </c>
      <c r="O167" s="424">
        <f t="shared" si="125"/>
        <v>1597790.912</v>
      </c>
      <c r="P167" s="424">
        <f t="shared" si="126"/>
        <v>21000</v>
      </c>
      <c r="Q167" s="424">
        <f t="shared" si="127"/>
        <v>33000</v>
      </c>
      <c r="R167" s="424">
        <f t="shared" si="128"/>
        <v>75000</v>
      </c>
      <c r="S167" s="424">
        <f t="shared" si="129"/>
        <v>94580.273279999397</v>
      </c>
      <c r="T167" s="424">
        <f t="shared" si="130"/>
        <v>0</v>
      </c>
      <c r="U167" s="424"/>
      <c r="V167" s="424">
        <f t="shared" si="135"/>
        <v>223580.273279999</v>
      </c>
      <c r="W167" s="431">
        <v>12</v>
      </c>
      <c r="X167" s="424">
        <f t="shared" si="131"/>
        <v>18631.6894399999</v>
      </c>
      <c r="Y167" s="427"/>
      <c r="Z167" s="435">
        <f t="shared" si="132"/>
        <v>18631.6894399999</v>
      </c>
      <c r="AA167" s="436">
        <v>11232.457626666701</v>
      </c>
      <c r="AB167" s="436">
        <f t="shared" si="134"/>
        <v>7399.2318133332501</v>
      </c>
      <c r="AC167" s="436"/>
      <c r="AD167" s="436"/>
      <c r="AE167" s="436"/>
    </row>
    <row r="168" spans="1:31" ht="31.5" x14ac:dyDescent="0.2">
      <c r="A168" s="421">
        <v>151</v>
      </c>
      <c r="B168" s="9" t="s">
        <v>343</v>
      </c>
      <c r="C168" s="424">
        <v>189814.16666666701</v>
      </c>
      <c r="D168" s="423">
        <v>12</v>
      </c>
      <c r="E168" s="424">
        <f t="shared" si="133"/>
        <v>2277770</v>
      </c>
      <c r="F168" s="424"/>
      <c r="G168" s="425">
        <v>146701.6</v>
      </c>
      <c r="H168" s="427"/>
      <c r="I168" s="424">
        <f t="shared" si="121"/>
        <v>2131068.4</v>
      </c>
      <c r="J168" s="424">
        <v>200000</v>
      </c>
      <c r="K168" s="424">
        <v>0.2</v>
      </c>
      <c r="L168" s="424">
        <f t="shared" si="122"/>
        <v>426213.68000000098</v>
      </c>
      <c r="M168" s="424">
        <f t="shared" si="123"/>
        <v>626213.68000000098</v>
      </c>
      <c r="N168" s="424">
        <f t="shared" si="124"/>
        <v>772915.28000000096</v>
      </c>
      <c r="O168" s="424">
        <f t="shared" si="125"/>
        <v>1504854.72</v>
      </c>
      <c r="P168" s="424">
        <f t="shared" si="126"/>
        <v>21000</v>
      </c>
      <c r="Q168" s="424">
        <f t="shared" si="127"/>
        <v>33000</v>
      </c>
      <c r="R168" s="424">
        <f t="shared" si="128"/>
        <v>75000</v>
      </c>
      <c r="S168" s="424">
        <f t="shared" si="129"/>
        <v>76922.396800000701</v>
      </c>
      <c r="T168" s="424">
        <f t="shared" si="130"/>
        <v>0</v>
      </c>
      <c r="U168" s="424"/>
      <c r="V168" s="424">
        <f t="shared" si="135"/>
        <v>205922.39680000101</v>
      </c>
      <c r="W168" s="431">
        <v>12</v>
      </c>
      <c r="X168" s="424">
        <f t="shared" si="131"/>
        <v>17160.1997333334</v>
      </c>
      <c r="Y168" s="427"/>
      <c r="Z168" s="435">
        <f t="shared" si="132"/>
        <v>17160.1997333334</v>
      </c>
      <c r="AA168" s="436">
        <v>9152.5997900000002</v>
      </c>
      <c r="AB168" s="436">
        <f t="shared" si="134"/>
        <v>8007.59994333339</v>
      </c>
      <c r="AC168" s="436"/>
      <c r="AD168" s="436"/>
      <c r="AE168" s="436"/>
    </row>
    <row r="169" spans="1:31" ht="18" x14ac:dyDescent="0.15">
      <c r="A169" s="421">
        <v>152</v>
      </c>
      <c r="B169" s="9" t="s">
        <v>346</v>
      </c>
      <c r="C169" s="424">
        <v>189814.16666666701</v>
      </c>
      <c r="D169" s="423">
        <v>12</v>
      </c>
      <c r="E169" s="424">
        <f t="shared" si="133"/>
        <v>2277770</v>
      </c>
      <c r="F169" s="424"/>
      <c r="G169" s="425">
        <v>146701.6</v>
      </c>
      <c r="H169" s="427"/>
      <c r="I169" s="424">
        <f t="shared" si="121"/>
        <v>2131068.4</v>
      </c>
      <c r="J169" s="424">
        <v>200000</v>
      </c>
      <c r="K169" s="424">
        <v>0.2</v>
      </c>
      <c r="L169" s="424">
        <f t="shared" si="122"/>
        <v>426213.68000000098</v>
      </c>
      <c r="M169" s="424">
        <f t="shared" si="123"/>
        <v>626213.68000000098</v>
      </c>
      <c r="N169" s="424">
        <f t="shared" si="124"/>
        <v>772915.28000000096</v>
      </c>
      <c r="O169" s="424">
        <f t="shared" si="125"/>
        <v>1504854.72</v>
      </c>
      <c r="P169" s="424">
        <f t="shared" si="126"/>
        <v>21000</v>
      </c>
      <c r="Q169" s="424">
        <f t="shared" si="127"/>
        <v>33000</v>
      </c>
      <c r="R169" s="424">
        <f t="shared" si="128"/>
        <v>75000</v>
      </c>
      <c r="S169" s="424">
        <f t="shared" si="129"/>
        <v>76922.396800000701</v>
      </c>
      <c r="T169" s="424">
        <f t="shared" si="130"/>
        <v>0</v>
      </c>
      <c r="U169" s="424"/>
      <c r="V169" s="424">
        <f t="shared" si="135"/>
        <v>205922.39680000101</v>
      </c>
      <c r="W169" s="431">
        <v>12</v>
      </c>
      <c r="X169" s="424">
        <f t="shared" si="131"/>
        <v>17160.1997333334</v>
      </c>
      <c r="Y169" s="427"/>
      <c r="Z169" s="435">
        <f t="shared" si="132"/>
        <v>17160.1997333334</v>
      </c>
      <c r="AA169" s="436">
        <v>9152.5997900000002</v>
      </c>
      <c r="AB169" s="436">
        <f t="shared" si="134"/>
        <v>8007.59994333339</v>
      </c>
      <c r="AC169" s="436"/>
      <c r="AD169" s="436"/>
      <c r="AE169" s="436"/>
    </row>
    <row r="170" spans="1:31" ht="18" x14ac:dyDescent="0.15">
      <c r="A170" s="421">
        <v>153</v>
      </c>
      <c r="B170" s="16" t="s">
        <v>347</v>
      </c>
      <c r="C170" s="424">
        <v>195075.5</v>
      </c>
      <c r="D170" s="423">
        <v>12</v>
      </c>
      <c r="E170" s="424">
        <f t="shared" si="133"/>
        <v>2340906</v>
      </c>
      <c r="F170" s="424"/>
      <c r="G170" s="425">
        <v>151752.48000000001</v>
      </c>
      <c r="H170" s="427"/>
      <c r="I170" s="424">
        <f t="shared" si="121"/>
        <v>2189153.52</v>
      </c>
      <c r="J170" s="424">
        <v>200000</v>
      </c>
      <c r="K170" s="424">
        <v>0.2</v>
      </c>
      <c r="L170" s="424">
        <f t="shared" si="122"/>
        <v>437830.70400000003</v>
      </c>
      <c r="M170" s="424">
        <f t="shared" si="123"/>
        <v>637830.70400000003</v>
      </c>
      <c r="N170" s="424">
        <f t="shared" si="124"/>
        <v>789583.18400000001</v>
      </c>
      <c r="O170" s="424">
        <f t="shared" si="125"/>
        <v>1551322.8160000001</v>
      </c>
      <c r="P170" s="424">
        <f t="shared" si="126"/>
        <v>21000</v>
      </c>
      <c r="Q170" s="424">
        <f t="shared" si="127"/>
        <v>33000</v>
      </c>
      <c r="R170" s="424">
        <f t="shared" si="128"/>
        <v>75000</v>
      </c>
      <c r="S170" s="424">
        <f t="shared" si="129"/>
        <v>85751.335040000005</v>
      </c>
      <c r="T170" s="424">
        <f t="shared" si="130"/>
        <v>0</v>
      </c>
      <c r="U170" s="424"/>
      <c r="V170" s="424">
        <f t="shared" si="135"/>
        <v>214751.33504000001</v>
      </c>
      <c r="W170" s="431">
        <v>12</v>
      </c>
      <c r="X170" s="424">
        <f t="shared" si="131"/>
        <v>17895.944586666701</v>
      </c>
      <c r="Y170" s="427"/>
      <c r="Z170" s="435">
        <f t="shared" si="132"/>
        <v>17895.944586666701</v>
      </c>
      <c r="AA170" s="436">
        <v>9504.2041399999998</v>
      </c>
      <c r="AB170" s="436">
        <f t="shared" si="134"/>
        <v>8391.7404466666703</v>
      </c>
      <c r="AC170" s="436"/>
      <c r="AD170" s="436"/>
      <c r="AE170" s="436"/>
    </row>
    <row r="171" spans="1:31" ht="29.25" customHeight="1" x14ac:dyDescent="0.15">
      <c r="A171" s="421">
        <v>154</v>
      </c>
      <c r="B171" s="9" t="s">
        <v>349</v>
      </c>
      <c r="C171" s="424">
        <v>121145.75</v>
      </c>
      <c r="D171" s="423">
        <v>12</v>
      </c>
      <c r="E171" s="424">
        <f t="shared" si="133"/>
        <v>1453749</v>
      </c>
      <c r="F171" s="424"/>
      <c r="G171" s="425">
        <v>90379.92</v>
      </c>
      <c r="H171" s="427"/>
      <c r="I171" s="424">
        <f t="shared" si="121"/>
        <v>1363369.08</v>
      </c>
      <c r="J171" s="424">
        <v>200000</v>
      </c>
      <c r="K171" s="424">
        <v>0.2</v>
      </c>
      <c r="L171" s="424">
        <f t="shared" si="122"/>
        <v>272673.81599999999</v>
      </c>
      <c r="M171" s="424">
        <f t="shared" si="123"/>
        <v>472673.81599999999</v>
      </c>
      <c r="N171" s="424">
        <f t="shared" si="124"/>
        <v>563053.73600000003</v>
      </c>
      <c r="O171" s="424">
        <f t="shared" si="125"/>
        <v>890695.26399999997</v>
      </c>
      <c r="P171" s="424">
        <f t="shared" si="126"/>
        <v>21000</v>
      </c>
      <c r="Q171" s="424">
        <f t="shared" si="127"/>
        <v>33000</v>
      </c>
      <c r="R171" s="424">
        <f t="shared" si="128"/>
        <v>43604.289599999996</v>
      </c>
      <c r="S171" s="424">
        <f t="shared" si="129"/>
        <v>0</v>
      </c>
      <c r="T171" s="424">
        <f t="shared" si="130"/>
        <v>0</v>
      </c>
      <c r="U171" s="424"/>
      <c r="V171" s="424">
        <f t="shared" si="135"/>
        <v>97604.289600000004</v>
      </c>
      <c r="W171" s="431">
        <v>12</v>
      </c>
      <c r="X171" s="424">
        <f t="shared" si="131"/>
        <v>8133.6908000000003</v>
      </c>
      <c r="Y171" s="427"/>
      <c r="Z171" s="435">
        <f t="shared" si="132"/>
        <v>8133.6908000000003</v>
      </c>
      <c r="AA171" s="436">
        <v>4365.3307546666701</v>
      </c>
      <c r="AB171" s="436">
        <f t="shared" si="134"/>
        <v>3768.3600453333302</v>
      </c>
      <c r="AC171" s="436"/>
      <c r="AD171" s="436"/>
      <c r="AE171" s="436"/>
    </row>
    <row r="172" spans="1:31" ht="18" x14ac:dyDescent="0.15">
      <c r="A172" s="421">
        <v>155</v>
      </c>
      <c r="B172" s="9" t="s">
        <v>352</v>
      </c>
      <c r="C172" s="424">
        <v>118598</v>
      </c>
      <c r="D172" s="423">
        <v>12</v>
      </c>
      <c r="E172" s="424">
        <f t="shared" si="133"/>
        <v>1423176</v>
      </c>
      <c r="F172" s="424"/>
      <c r="G172" s="425">
        <v>87934.080000000002</v>
      </c>
      <c r="H172" s="427"/>
      <c r="I172" s="424">
        <f t="shared" si="121"/>
        <v>1335241.92</v>
      </c>
      <c r="J172" s="424">
        <v>200000</v>
      </c>
      <c r="K172" s="424">
        <v>0.2</v>
      </c>
      <c r="L172" s="424">
        <f t="shared" si="122"/>
        <v>267048.38400000002</v>
      </c>
      <c r="M172" s="424">
        <f t="shared" si="123"/>
        <v>467048.38400000002</v>
      </c>
      <c r="N172" s="424">
        <f t="shared" si="124"/>
        <v>554982.46400000004</v>
      </c>
      <c r="O172" s="424">
        <f t="shared" si="125"/>
        <v>868193.53599999996</v>
      </c>
      <c r="P172" s="424">
        <f t="shared" si="126"/>
        <v>21000</v>
      </c>
      <c r="Q172" s="424">
        <f t="shared" si="127"/>
        <v>33000</v>
      </c>
      <c r="R172" s="424">
        <f t="shared" si="128"/>
        <v>40229.030400000003</v>
      </c>
      <c r="S172" s="424">
        <f t="shared" si="129"/>
        <v>0</v>
      </c>
      <c r="T172" s="424">
        <f t="shared" si="130"/>
        <v>0</v>
      </c>
      <c r="U172" s="424"/>
      <c r="V172" s="424">
        <f t="shared" si="135"/>
        <v>94229.030400000003</v>
      </c>
      <c r="W172" s="431">
        <v>12</v>
      </c>
      <c r="X172" s="424">
        <f t="shared" si="131"/>
        <v>7852.4192000000003</v>
      </c>
      <c r="Y172" s="427"/>
      <c r="Z172" s="435">
        <f t="shared" si="132"/>
        <v>7852.4192000000003</v>
      </c>
      <c r="AA172" s="436">
        <v>4227.5237226666704</v>
      </c>
      <c r="AB172" s="436">
        <f t="shared" si="134"/>
        <v>3624.8954773333298</v>
      </c>
      <c r="AC172" s="436"/>
      <c r="AD172" s="436"/>
      <c r="AE172" s="436"/>
    </row>
    <row r="173" spans="1:31" ht="18" x14ac:dyDescent="0.15">
      <c r="A173" s="421">
        <v>156</v>
      </c>
      <c r="B173" s="9" t="s">
        <v>355</v>
      </c>
      <c r="C173" s="424">
        <v>115598</v>
      </c>
      <c r="D173" s="423">
        <v>12</v>
      </c>
      <c r="E173" s="424">
        <f t="shared" si="133"/>
        <v>1387176</v>
      </c>
      <c r="F173" s="424"/>
      <c r="G173" s="425">
        <v>87934.080000000002</v>
      </c>
      <c r="H173" s="427"/>
      <c r="I173" s="424">
        <f t="shared" si="121"/>
        <v>1299241.92</v>
      </c>
      <c r="J173" s="424">
        <v>200000</v>
      </c>
      <c r="K173" s="424">
        <v>0.2</v>
      </c>
      <c r="L173" s="424">
        <f t="shared" si="122"/>
        <v>259848.38399999999</v>
      </c>
      <c r="M173" s="424">
        <f t="shared" si="123"/>
        <v>459848.38400000002</v>
      </c>
      <c r="N173" s="424">
        <f t="shared" si="124"/>
        <v>547782.46400000004</v>
      </c>
      <c r="O173" s="424">
        <f t="shared" si="125"/>
        <v>839393.53599999996</v>
      </c>
      <c r="P173" s="424">
        <f t="shared" si="126"/>
        <v>21000</v>
      </c>
      <c r="Q173" s="424">
        <f t="shared" si="127"/>
        <v>33000</v>
      </c>
      <c r="R173" s="424">
        <f t="shared" si="128"/>
        <v>35909.030400000003</v>
      </c>
      <c r="S173" s="424">
        <f t="shared" si="129"/>
        <v>0</v>
      </c>
      <c r="T173" s="424">
        <f t="shared" si="130"/>
        <v>0</v>
      </c>
      <c r="U173" s="424"/>
      <c r="V173" s="424">
        <f t="shared" si="135"/>
        <v>89909.030400000003</v>
      </c>
      <c r="W173" s="431">
        <v>12</v>
      </c>
      <c r="X173" s="424">
        <f t="shared" si="131"/>
        <v>7492.4192000000003</v>
      </c>
      <c r="Y173" s="427"/>
      <c r="Z173" s="435">
        <f t="shared" si="132"/>
        <v>7492.4192000000003</v>
      </c>
      <c r="AA173" s="436">
        <v>3963.52372266667</v>
      </c>
      <c r="AB173" s="436">
        <f t="shared" si="134"/>
        <v>3528.8954773333298</v>
      </c>
      <c r="AC173" s="436"/>
      <c r="AD173" s="436"/>
      <c r="AE173" s="436"/>
    </row>
    <row r="174" spans="1:31" ht="18" x14ac:dyDescent="0.15">
      <c r="A174" s="421">
        <v>157</v>
      </c>
      <c r="B174" s="9" t="s">
        <v>356</v>
      </c>
      <c r="C174" s="424">
        <v>118598</v>
      </c>
      <c r="D174" s="423">
        <v>12</v>
      </c>
      <c r="E174" s="424">
        <f t="shared" si="133"/>
        <v>1423176</v>
      </c>
      <c r="F174" s="424"/>
      <c r="G174" s="425">
        <v>87934.080000000002</v>
      </c>
      <c r="H174" s="427"/>
      <c r="I174" s="424">
        <f t="shared" si="121"/>
        <v>1335241.92</v>
      </c>
      <c r="J174" s="424">
        <v>200000</v>
      </c>
      <c r="K174" s="424">
        <v>0.2</v>
      </c>
      <c r="L174" s="424">
        <f t="shared" si="122"/>
        <v>267048.38400000002</v>
      </c>
      <c r="M174" s="424">
        <f t="shared" si="123"/>
        <v>467048.38400000002</v>
      </c>
      <c r="N174" s="424">
        <f t="shared" si="124"/>
        <v>554982.46400000004</v>
      </c>
      <c r="O174" s="424">
        <f t="shared" si="125"/>
        <v>868193.53599999996</v>
      </c>
      <c r="P174" s="424">
        <f t="shared" si="126"/>
        <v>21000</v>
      </c>
      <c r="Q174" s="424">
        <f t="shared" si="127"/>
        <v>33000</v>
      </c>
      <c r="R174" s="424">
        <f t="shared" si="128"/>
        <v>40229.030400000003</v>
      </c>
      <c r="S174" s="424">
        <f t="shared" si="129"/>
        <v>0</v>
      </c>
      <c r="T174" s="424">
        <f t="shared" si="130"/>
        <v>0</v>
      </c>
      <c r="U174" s="424"/>
      <c r="V174" s="424">
        <f t="shared" si="135"/>
        <v>94229.030400000003</v>
      </c>
      <c r="W174" s="431">
        <v>12</v>
      </c>
      <c r="X174" s="424">
        <f t="shared" si="131"/>
        <v>7852.4192000000003</v>
      </c>
      <c r="Y174" s="427"/>
      <c r="Z174" s="435">
        <f t="shared" si="132"/>
        <v>7852.4192000000003</v>
      </c>
      <c r="AA174" s="436">
        <v>4227.5237226666704</v>
      </c>
      <c r="AB174" s="436">
        <f t="shared" si="134"/>
        <v>3624.8954773333298</v>
      </c>
      <c r="AC174" s="436"/>
      <c r="AD174" s="436"/>
      <c r="AE174" s="436"/>
    </row>
    <row r="175" spans="1:31" ht="18" x14ac:dyDescent="0.15">
      <c r="A175" s="432"/>
      <c r="B175" s="9" t="s">
        <v>357</v>
      </c>
      <c r="C175" s="440">
        <v>115598</v>
      </c>
      <c r="D175" s="423">
        <v>12</v>
      </c>
      <c r="E175" s="424">
        <f t="shared" si="133"/>
        <v>1387176</v>
      </c>
      <c r="F175" s="424"/>
      <c r="G175" s="425">
        <v>87934.080000000002</v>
      </c>
      <c r="H175" s="427"/>
      <c r="I175" s="424">
        <f t="shared" si="121"/>
        <v>1299241.92</v>
      </c>
      <c r="J175" s="424">
        <v>200000</v>
      </c>
      <c r="K175" s="424">
        <v>0.2</v>
      </c>
      <c r="L175" s="424">
        <f t="shared" si="122"/>
        <v>259848.38399999999</v>
      </c>
      <c r="M175" s="424">
        <f t="shared" si="123"/>
        <v>459848.38400000002</v>
      </c>
      <c r="N175" s="424">
        <f t="shared" si="124"/>
        <v>547782.46400000004</v>
      </c>
      <c r="O175" s="424">
        <f t="shared" si="125"/>
        <v>839393.53599999996</v>
      </c>
      <c r="P175" s="424">
        <f t="shared" si="126"/>
        <v>21000</v>
      </c>
      <c r="Q175" s="424">
        <f t="shared" si="127"/>
        <v>33000</v>
      </c>
      <c r="R175" s="424">
        <f t="shared" si="128"/>
        <v>35909.030400000003</v>
      </c>
      <c r="S175" s="424">
        <f t="shared" si="129"/>
        <v>0</v>
      </c>
      <c r="T175" s="424">
        <f t="shared" si="130"/>
        <v>0</v>
      </c>
      <c r="U175" s="424"/>
      <c r="V175" s="424">
        <f t="shared" si="135"/>
        <v>89909.030400000003</v>
      </c>
      <c r="W175" s="431">
        <v>12</v>
      </c>
      <c r="X175" s="424">
        <f t="shared" si="131"/>
        <v>7492.4192000000003</v>
      </c>
      <c r="Y175" s="427"/>
      <c r="Z175" s="435">
        <f t="shared" si="132"/>
        <v>7492.4192000000003</v>
      </c>
      <c r="AA175" s="436">
        <v>3963.52372266667</v>
      </c>
      <c r="AB175" s="436">
        <f t="shared" si="134"/>
        <v>3528.8954773333298</v>
      </c>
      <c r="AC175" s="436"/>
      <c r="AD175" s="436"/>
      <c r="AE175" s="436"/>
    </row>
    <row r="176" spans="1:31" ht="18" x14ac:dyDescent="0.15">
      <c r="A176" s="432"/>
      <c r="B176" s="9" t="s">
        <v>358</v>
      </c>
      <c r="C176" s="440">
        <v>118598</v>
      </c>
      <c r="D176" s="423">
        <v>12</v>
      </c>
      <c r="E176" s="424">
        <f t="shared" si="133"/>
        <v>1423176</v>
      </c>
      <c r="F176" s="424"/>
      <c r="G176" s="425">
        <v>87934.080000000002</v>
      </c>
      <c r="H176" s="427"/>
      <c r="I176" s="424">
        <f t="shared" si="121"/>
        <v>1335241.92</v>
      </c>
      <c r="J176" s="424">
        <v>200000</v>
      </c>
      <c r="K176" s="424">
        <v>0.2</v>
      </c>
      <c r="L176" s="424">
        <f t="shared" si="122"/>
        <v>267048.38400000002</v>
      </c>
      <c r="M176" s="424">
        <f t="shared" si="123"/>
        <v>467048.38400000002</v>
      </c>
      <c r="N176" s="424">
        <f t="shared" si="124"/>
        <v>554982.46400000004</v>
      </c>
      <c r="O176" s="424">
        <f t="shared" si="125"/>
        <v>868193.53599999996</v>
      </c>
      <c r="P176" s="424">
        <f t="shared" si="126"/>
        <v>21000</v>
      </c>
      <c r="Q176" s="424">
        <f t="shared" si="127"/>
        <v>33000</v>
      </c>
      <c r="R176" s="424">
        <f t="shared" si="128"/>
        <v>40229.030400000003</v>
      </c>
      <c r="S176" s="424">
        <f t="shared" si="129"/>
        <v>0</v>
      </c>
      <c r="T176" s="424">
        <f t="shared" si="130"/>
        <v>0</v>
      </c>
      <c r="U176" s="424"/>
      <c r="V176" s="424">
        <f t="shared" si="135"/>
        <v>94229.030400000003</v>
      </c>
      <c r="W176" s="431">
        <v>12</v>
      </c>
      <c r="X176" s="424">
        <f t="shared" si="131"/>
        <v>7852.4192000000003</v>
      </c>
      <c r="Y176" s="427"/>
      <c r="Z176" s="435">
        <f t="shared" si="132"/>
        <v>7852.4192000000003</v>
      </c>
      <c r="AA176" s="436">
        <v>4227.5237226666704</v>
      </c>
      <c r="AB176" s="436">
        <f t="shared" si="134"/>
        <v>3624.8954773333298</v>
      </c>
    </row>
    <row r="177" spans="2:28" ht="18" x14ac:dyDescent="0.15">
      <c r="B177" s="16" t="s">
        <v>359</v>
      </c>
      <c r="C177" s="436">
        <v>115598</v>
      </c>
      <c r="D177" s="423">
        <v>12</v>
      </c>
      <c r="E177" s="424">
        <f t="shared" si="133"/>
        <v>1387176</v>
      </c>
      <c r="G177" s="425">
        <v>87934.080000000002</v>
      </c>
      <c r="I177" s="424">
        <f t="shared" si="121"/>
        <v>1299241.92</v>
      </c>
      <c r="J177" s="424">
        <v>200000</v>
      </c>
      <c r="K177" s="424">
        <v>0.2</v>
      </c>
      <c r="L177" s="424">
        <f t="shared" si="122"/>
        <v>259848.38399999999</v>
      </c>
      <c r="M177" s="424">
        <f t="shared" si="123"/>
        <v>459848.38400000002</v>
      </c>
      <c r="N177" s="424">
        <f t="shared" si="124"/>
        <v>547782.46400000004</v>
      </c>
      <c r="O177" s="424">
        <f t="shared" si="125"/>
        <v>839393.53599999996</v>
      </c>
      <c r="P177" s="424">
        <f t="shared" si="126"/>
        <v>21000</v>
      </c>
      <c r="Q177" s="424">
        <f t="shared" si="127"/>
        <v>33000</v>
      </c>
      <c r="R177" s="424">
        <f t="shared" si="128"/>
        <v>35909.030400000003</v>
      </c>
      <c r="S177" s="424">
        <f t="shared" si="129"/>
        <v>0</v>
      </c>
      <c r="T177" s="424">
        <f t="shared" si="130"/>
        <v>0</v>
      </c>
      <c r="U177" s="424"/>
      <c r="V177" s="424">
        <f t="shared" si="135"/>
        <v>89909.030400000003</v>
      </c>
      <c r="W177" s="431">
        <v>12</v>
      </c>
      <c r="X177" s="424">
        <f t="shared" si="131"/>
        <v>7492.4192000000003</v>
      </c>
      <c r="Z177" s="435">
        <f t="shared" si="132"/>
        <v>7492.4192000000003</v>
      </c>
      <c r="AA177" s="436">
        <v>3963.52372266667</v>
      </c>
      <c r="AB177" s="436">
        <f t="shared" si="134"/>
        <v>3528.8954773333298</v>
      </c>
    </row>
    <row r="178" spans="2:28" ht="18" x14ac:dyDescent="0.15">
      <c r="B178" s="16" t="s">
        <v>360</v>
      </c>
      <c r="C178" s="436">
        <v>118598</v>
      </c>
      <c r="D178" s="423">
        <v>12</v>
      </c>
      <c r="E178" s="424">
        <f t="shared" si="133"/>
        <v>1423176</v>
      </c>
      <c r="G178" s="425">
        <v>87934.080000000002</v>
      </c>
      <c r="I178" s="424">
        <f t="shared" si="121"/>
        <v>1335241.92</v>
      </c>
      <c r="J178" s="424">
        <v>200000</v>
      </c>
      <c r="K178" s="424">
        <v>0.2</v>
      </c>
      <c r="L178" s="424">
        <f t="shared" si="122"/>
        <v>267048.38400000002</v>
      </c>
      <c r="M178" s="424">
        <f t="shared" si="123"/>
        <v>467048.38400000002</v>
      </c>
      <c r="N178" s="424">
        <f t="shared" si="124"/>
        <v>554982.46400000004</v>
      </c>
      <c r="O178" s="424">
        <f t="shared" si="125"/>
        <v>868193.53599999996</v>
      </c>
      <c r="P178" s="424">
        <f t="shared" si="126"/>
        <v>21000</v>
      </c>
      <c r="Q178" s="424">
        <f t="shared" si="127"/>
        <v>33000</v>
      </c>
      <c r="R178" s="424">
        <f t="shared" si="128"/>
        <v>40229.030400000003</v>
      </c>
      <c r="S178" s="424">
        <f t="shared" si="129"/>
        <v>0</v>
      </c>
      <c r="T178" s="424">
        <f t="shared" si="130"/>
        <v>0</v>
      </c>
      <c r="U178" s="424"/>
      <c r="V178" s="424">
        <f t="shared" si="135"/>
        <v>94229.030400000003</v>
      </c>
      <c r="W178" s="431">
        <v>12</v>
      </c>
      <c r="X178" s="424">
        <f t="shared" si="131"/>
        <v>7852.4192000000003</v>
      </c>
      <c r="Z178" s="435">
        <f t="shared" si="132"/>
        <v>7852.4192000000003</v>
      </c>
      <c r="AA178" s="436">
        <v>4227.5237226666704</v>
      </c>
      <c r="AB178" s="436">
        <f t="shared" si="134"/>
        <v>3624.8954773333298</v>
      </c>
    </row>
    <row r="179" spans="2:28" ht="18" x14ac:dyDescent="0.15">
      <c r="B179" s="9" t="s">
        <v>493</v>
      </c>
      <c r="C179" s="436">
        <v>118598</v>
      </c>
      <c r="D179" s="423">
        <v>12</v>
      </c>
      <c r="E179" s="424">
        <f t="shared" si="133"/>
        <v>1423176</v>
      </c>
      <c r="G179" s="425">
        <v>87934.080000000002</v>
      </c>
      <c r="I179" s="424">
        <f t="shared" si="121"/>
        <v>1335241.92</v>
      </c>
      <c r="J179" s="424">
        <v>200000</v>
      </c>
      <c r="K179" s="424">
        <v>0.2</v>
      </c>
      <c r="L179" s="424">
        <f t="shared" si="122"/>
        <v>267048.38400000002</v>
      </c>
      <c r="M179" s="424">
        <f t="shared" si="123"/>
        <v>467048.38400000002</v>
      </c>
      <c r="N179" s="424">
        <f t="shared" si="124"/>
        <v>554982.46400000004</v>
      </c>
      <c r="O179" s="424">
        <f t="shared" si="125"/>
        <v>868193.53599999996</v>
      </c>
      <c r="P179" s="424">
        <f t="shared" si="126"/>
        <v>21000</v>
      </c>
      <c r="Q179" s="424">
        <f t="shared" si="127"/>
        <v>33000</v>
      </c>
      <c r="R179" s="424">
        <f t="shared" si="128"/>
        <v>40229.030400000003</v>
      </c>
      <c r="S179" s="424">
        <f t="shared" si="129"/>
        <v>0</v>
      </c>
      <c r="T179" s="424">
        <f t="shared" si="130"/>
        <v>0</v>
      </c>
      <c r="V179" s="424">
        <f t="shared" si="135"/>
        <v>94229.030400000003</v>
      </c>
      <c r="W179" s="431">
        <v>12</v>
      </c>
      <c r="X179" s="424">
        <f t="shared" si="131"/>
        <v>7852.4192000000003</v>
      </c>
      <c r="Z179" s="435">
        <f t="shared" si="132"/>
        <v>7852.4192000000003</v>
      </c>
      <c r="AA179" s="436">
        <v>4089.7166906666698</v>
      </c>
      <c r="AB179" s="436">
        <f t="shared" si="134"/>
        <v>3762.70250933333</v>
      </c>
    </row>
    <row r="180" spans="2:28" ht="18" x14ac:dyDescent="0.15">
      <c r="B180" s="9" t="s">
        <v>361</v>
      </c>
      <c r="C180" s="436">
        <v>118598</v>
      </c>
      <c r="D180" s="423">
        <v>12</v>
      </c>
      <c r="E180" s="424">
        <f t="shared" si="133"/>
        <v>1423176</v>
      </c>
      <c r="G180" s="425">
        <v>87934.080000000002</v>
      </c>
      <c r="I180" s="424">
        <f t="shared" si="121"/>
        <v>1335241.92</v>
      </c>
      <c r="J180" s="424">
        <v>200000</v>
      </c>
      <c r="K180" s="424">
        <v>0.2</v>
      </c>
      <c r="L180" s="424">
        <f t="shared" si="122"/>
        <v>267048.38400000002</v>
      </c>
      <c r="M180" s="424">
        <f t="shared" si="123"/>
        <v>467048.38400000002</v>
      </c>
      <c r="N180" s="424">
        <f t="shared" si="124"/>
        <v>554982.46400000004</v>
      </c>
      <c r="O180" s="424">
        <f t="shared" si="125"/>
        <v>868193.53599999996</v>
      </c>
      <c r="P180" s="424">
        <f t="shared" si="126"/>
        <v>21000</v>
      </c>
      <c r="Q180" s="424">
        <f t="shared" si="127"/>
        <v>33000</v>
      </c>
      <c r="R180" s="424">
        <f t="shared" si="128"/>
        <v>40229.030400000003</v>
      </c>
      <c r="S180" s="424">
        <f t="shared" si="129"/>
        <v>0</v>
      </c>
      <c r="T180" s="424">
        <f t="shared" si="130"/>
        <v>0</v>
      </c>
      <c r="V180" s="424">
        <f t="shared" si="135"/>
        <v>94229.030400000003</v>
      </c>
      <c r="W180" s="431">
        <v>12</v>
      </c>
      <c r="X180" s="424">
        <f t="shared" si="131"/>
        <v>7852.4192000000003</v>
      </c>
      <c r="Z180" s="435">
        <f t="shared" si="132"/>
        <v>7852.4192000000003</v>
      </c>
      <c r="AA180" s="436">
        <v>4227.5237226666704</v>
      </c>
      <c r="AB180" s="436">
        <f t="shared" si="134"/>
        <v>3624.8954773333298</v>
      </c>
    </row>
    <row r="181" spans="2:28" ht="18" x14ac:dyDescent="0.15">
      <c r="B181" s="16" t="s">
        <v>362</v>
      </c>
      <c r="C181" s="436">
        <v>116050.25</v>
      </c>
      <c r="D181" s="423">
        <v>12</v>
      </c>
      <c r="E181" s="424">
        <f t="shared" si="133"/>
        <v>1392603</v>
      </c>
      <c r="G181" s="425">
        <v>85488.24</v>
      </c>
      <c r="I181" s="424">
        <f t="shared" si="121"/>
        <v>1307114.76</v>
      </c>
      <c r="J181" s="424">
        <v>200000</v>
      </c>
      <c r="K181" s="424">
        <v>0.2</v>
      </c>
      <c r="L181" s="424">
        <f t="shared" si="122"/>
        <v>261422.95199999999</v>
      </c>
      <c r="M181" s="424">
        <f t="shared" si="123"/>
        <v>461422.95199999999</v>
      </c>
      <c r="N181" s="424">
        <f t="shared" si="124"/>
        <v>546911.19200000004</v>
      </c>
      <c r="O181" s="424">
        <f t="shared" si="125"/>
        <v>845691.80799999996</v>
      </c>
      <c r="P181" s="424">
        <f t="shared" si="126"/>
        <v>21000</v>
      </c>
      <c r="Q181" s="424">
        <f t="shared" si="127"/>
        <v>33000</v>
      </c>
      <c r="R181" s="424">
        <f t="shared" si="128"/>
        <v>36853.771200000003</v>
      </c>
      <c r="S181" s="424">
        <f t="shared" si="129"/>
        <v>0</v>
      </c>
      <c r="T181" s="424">
        <f t="shared" si="130"/>
        <v>0</v>
      </c>
      <c r="V181" s="424">
        <f t="shared" si="135"/>
        <v>90853.771200000003</v>
      </c>
      <c r="W181" s="431">
        <v>12</v>
      </c>
      <c r="X181" s="424">
        <f t="shared" si="131"/>
        <v>7571.1476000000002</v>
      </c>
      <c r="Z181" s="435">
        <f t="shared" si="132"/>
        <v>7571.1476000000002</v>
      </c>
      <c r="AA181" s="436">
        <v>4089.7166906666698</v>
      </c>
      <c r="AB181" s="436">
        <f t="shared" si="134"/>
        <v>3481.43090933333</v>
      </c>
    </row>
    <row r="182" spans="2:28" ht="18" x14ac:dyDescent="0.15">
      <c r="B182" s="16" t="s">
        <v>367</v>
      </c>
      <c r="C182" s="436">
        <v>102926.91666666701</v>
      </c>
      <c r="D182" s="423">
        <v>12</v>
      </c>
      <c r="E182" s="424">
        <f t="shared" si="133"/>
        <v>1235123</v>
      </c>
      <c r="G182" s="425">
        <v>77689.84</v>
      </c>
      <c r="I182" s="424">
        <f t="shared" si="121"/>
        <v>1157433.1599999999</v>
      </c>
      <c r="J182" s="424">
        <v>200000</v>
      </c>
      <c r="K182" s="424">
        <v>0.2</v>
      </c>
      <c r="L182" s="424">
        <f t="shared" si="122"/>
        <v>231486.632000001</v>
      </c>
      <c r="M182" s="424">
        <f t="shared" si="123"/>
        <v>431486.63200000097</v>
      </c>
      <c r="N182" s="424">
        <f t="shared" si="124"/>
        <v>509176.472000001</v>
      </c>
      <c r="O182" s="424">
        <f t="shared" si="125"/>
        <v>725946.52800000296</v>
      </c>
      <c r="P182" s="424">
        <f t="shared" si="126"/>
        <v>21000</v>
      </c>
      <c r="Q182" s="424">
        <f t="shared" si="127"/>
        <v>33000</v>
      </c>
      <c r="R182" s="424">
        <f t="shared" si="128"/>
        <v>18891.9792000005</v>
      </c>
      <c r="S182" s="424">
        <f t="shared" si="129"/>
        <v>0</v>
      </c>
      <c r="T182" s="424">
        <f t="shared" si="130"/>
        <v>0</v>
      </c>
      <c r="V182" s="424">
        <f t="shared" si="135"/>
        <v>72891.979200000496</v>
      </c>
      <c r="W182" s="431">
        <v>12</v>
      </c>
      <c r="X182" s="424">
        <f t="shared" si="131"/>
        <v>6074.3316000000405</v>
      </c>
      <c r="Z182" s="435">
        <f t="shared" si="132"/>
        <v>6074.3316000000405</v>
      </c>
      <c r="AA182" s="436">
        <v>3210.1544048666701</v>
      </c>
      <c r="AB182" s="436">
        <f t="shared" si="134"/>
        <v>2864.1771951333699</v>
      </c>
    </row>
    <row r="183" spans="2:28" ht="18" x14ac:dyDescent="0.15">
      <c r="B183" s="16" t="s">
        <v>369</v>
      </c>
      <c r="C183" s="436">
        <v>95540.75</v>
      </c>
      <c r="D183" s="423">
        <v>12</v>
      </c>
      <c r="E183" s="424">
        <f t="shared" si="133"/>
        <v>1146489</v>
      </c>
      <c r="G183" s="425">
        <f>6123.26*12</f>
        <v>73479.12</v>
      </c>
      <c r="I183" s="424">
        <f t="shared" si="121"/>
        <v>1073009.8799999999</v>
      </c>
      <c r="J183" s="424">
        <v>200000</v>
      </c>
      <c r="K183" s="424">
        <v>0.2</v>
      </c>
      <c r="L183" s="424">
        <f t="shared" si="122"/>
        <v>214601.976</v>
      </c>
      <c r="M183" s="424">
        <f t="shared" si="123"/>
        <v>414601.97600000002</v>
      </c>
      <c r="N183" s="424">
        <f t="shared" si="124"/>
        <v>488081.09600000002</v>
      </c>
      <c r="O183" s="424">
        <f t="shared" si="125"/>
        <v>658407.90399999998</v>
      </c>
      <c r="P183" s="424">
        <f t="shared" si="126"/>
        <v>21000</v>
      </c>
      <c r="Q183" s="424">
        <f t="shared" si="127"/>
        <v>33000</v>
      </c>
      <c r="R183" s="424">
        <f t="shared" si="128"/>
        <v>8761.1856000000007</v>
      </c>
      <c r="S183" s="424">
        <f t="shared" si="129"/>
        <v>0</v>
      </c>
      <c r="T183" s="424">
        <f t="shared" si="130"/>
        <v>0</v>
      </c>
      <c r="V183" s="424">
        <f t="shared" si="135"/>
        <v>62761.185599999997</v>
      </c>
      <c r="W183" s="431">
        <v>12</v>
      </c>
      <c r="X183" s="424">
        <f t="shared" si="131"/>
        <v>5230.0987999999998</v>
      </c>
      <c r="Z183" s="435">
        <f t="shared" si="132"/>
        <v>5230.0987999999998</v>
      </c>
      <c r="AA183" s="436">
        <v>2708.9136406666698</v>
      </c>
      <c r="AB183" s="436">
        <f t="shared" si="134"/>
        <v>2521.1851593333299</v>
      </c>
    </row>
    <row r="184" spans="2:28" ht="18" x14ac:dyDescent="0.15">
      <c r="B184" s="16" t="s">
        <v>372</v>
      </c>
      <c r="C184" s="436">
        <v>95540.75</v>
      </c>
      <c r="D184" s="423">
        <v>12</v>
      </c>
      <c r="E184" s="424">
        <f t="shared" si="133"/>
        <v>1146489</v>
      </c>
      <c r="G184" s="425">
        <f t="shared" ref="G184:G185" si="136">6123.26*12</f>
        <v>73479.12</v>
      </c>
      <c r="I184" s="424">
        <f t="shared" si="121"/>
        <v>1073009.8799999999</v>
      </c>
      <c r="J184" s="424">
        <v>200000</v>
      </c>
      <c r="K184" s="424">
        <v>0.2</v>
      </c>
      <c r="L184" s="424">
        <f t="shared" si="122"/>
        <v>214601.976</v>
      </c>
      <c r="M184" s="424">
        <f t="shared" si="123"/>
        <v>414601.97600000002</v>
      </c>
      <c r="N184" s="424">
        <f t="shared" si="124"/>
        <v>488081.09600000002</v>
      </c>
      <c r="O184" s="424">
        <f t="shared" si="125"/>
        <v>658407.90399999998</v>
      </c>
      <c r="P184" s="424">
        <f t="shared" si="126"/>
        <v>21000</v>
      </c>
      <c r="Q184" s="424">
        <f t="shared" si="127"/>
        <v>33000</v>
      </c>
      <c r="R184" s="424">
        <f t="shared" si="128"/>
        <v>8761.1856000000007</v>
      </c>
      <c r="S184" s="424">
        <f t="shared" si="129"/>
        <v>0</v>
      </c>
      <c r="T184" s="424">
        <f t="shared" si="130"/>
        <v>0</v>
      </c>
      <c r="V184" s="424">
        <f t="shared" si="135"/>
        <v>62761.185599999997</v>
      </c>
      <c r="W184" s="431">
        <v>12</v>
      </c>
      <c r="X184" s="424">
        <f t="shared" si="131"/>
        <v>5230.0987999999998</v>
      </c>
      <c r="Z184" s="435">
        <f t="shared" si="132"/>
        <v>5230.0987999999998</v>
      </c>
      <c r="AA184" s="436">
        <v>2708.9136406666698</v>
      </c>
      <c r="AB184" s="436">
        <f t="shared" si="134"/>
        <v>2521.1851593333299</v>
      </c>
    </row>
    <row r="185" spans="2:28" ht="18" x14ac:dyDescent="0.15">
      <c r="B185" s="16" t="s">
        <v>373</v>
      </c>
      <c r="C185" s="436">
        <v>95540.75</v>
      </c>
      <c r="D185" s="423">
        <v>12</v>
      </c>
      <c r="E185" s="424">
        <f t="shared" si="133"/>
        <v>1146489</v>
      </c>
      <c r="G185" s="425">
        <f t="shared" si="136"/>
        <v>73479.12</v>
      </c>
      <c r="I185" s="424">
        <f t="shared" si="121"/>
        <v>1073009.8799999999</v>
      </c>
      <c r="J185" s="424">
        <v>200000</v>
      </c>
      <c r="K185" s="424">
        <v>0.2</v>
      </c>
      <c r="L185" s="424">
        <f t="shared" si="122"/>
        <v>214601.976</v>
      </c>
      <c r="M185" s="424">
        <f t="shared" si="123"/>
        <v>414601.97600000002</v>
      </c>
      <c r="N185" s="424">
        <f t="shared" si="124"/>
        <v>488081.09600000002</v>
      </c>
      <c r="O185" s="424">
        <f t="shared" si="125"/>
        <v>658407.90399999998</v>
      </c>
      <c r="P185" s="424">
        <f t="shared" si="126"/>
        <v>21000</v>
      </c>
      <c r="Q185" s="424">
        <f t="shared" si="127"/>
        <v>33000</v>
      </c>
      <c r="R185" s="424">
        <f t="shared" si="128"/>
        <v>8761.1856000000007</v>
      </c>
      <c r="S185" s="424">
        <f t="shared" si="129"/>
        <v>0</v>
      </c>
      <c r="T185" s="424">
        <f t="shared" si="130"/>
        <v>0</v>
      </c>
      <c r="V185" s="424">
        <f t="shared" si="135"/>
        <v>62761.185599999997</v>
      </c>
      <c r="W185" s="431">
        <v>12</v>
      </c>
      <c r="X185" s="424">
        <f t="shared" si="131"/>
        <v>5230.0987999999998</v>
      </c>
      <c r="Z185" s="435">
        <f t="shared" si="132"/>
        <v>5230.0987999999998</v>
      </c>
      <c r="AA185" s="436">
        <v>2708.9136406666698</v>
      </c>
      <c r="AB185" s="436">
        <f t="shared" si="134"/>
        <v>2521.1851593333299</v>
      </c>
    </row>
    <row r="186" spans="2:28" ht="18" x14ac:dyDescent="0.15">
      <c r="B186" s="441" t="s">
        <v>374</v>
      </c>
      <c r="C186" s="436">
        <v>108502.5</v>
      </c>
      <c r="D186" s="442">
        <v>12</v>
      </c>
      <c r="E186" s="443">
        <f t="shared" si="133"/>
        <v>1302030</v>
      </c>
      <c r="G186" s="444">
        <f>6920.2*12</f>
        <v>83042.399999999994</v>
      </c>
      <c r="I186" s="443">
        <f t="shared" si="121"/>
        <v>1218987.6000000001</v>
      </c>
      <c r="J186" s="424">
        <v>200000</v>
      </c>
      <c r="K186" s="424">
        <v>0.2</v>
      </c>
      <c r="L186" s="424">
        <f t="shared" si="122"/>
        <v>243797.52</v>
      </c>
      <c r="M186" s="424">
        <f t="shared" si="123"/>
        <v>443797.52</v>
      </c>
      <c r="N186" s="424">
        <f t="shared" si="124"/>
        <v>526839.92000000004</v>
      </c>
      <c r="O186" s="424">
        <f t="shared" si="125"/>
        <v>775190.08</v>
      </c>
      <c r="P186" s="424">
        <f t="shared" si="126"/>
        <v>21000</v>
      </c>
      <c r="Q186" s="424">
        <f t="shared" si="127"/>
        <v>33000</v>
      </c>
      <c r="R186" s="424">
        <f t="shared" si="128"/>
        <v>26278.511999999999</v>
      </c>
      <c r="S186" s="424">
        <f t="shared" si="129"/>
        <v>0</v>
      </c>
      <c r="T186" s="424">
        <f t="shared" si="130"/>
        <v>0</v>
      </c>
      <c r="V186" s="424">
        <f t="shared" si="135"/>
        <v>80278.512000000002</v>
      </c>
      <c r="W186" s="431">
        <v>12</v>
      </c>
      <c r="X186" s="424">
        <f t="shared" si="131"/>
        <v>6689.8760000000002</v>
      </c>
      <c r="Z186" s="435">
        <f t="shared" si="132"/>
        <v>6689.8760000000002</v>
      </c>
      <c r="AA186" s="436">
        <v>3511.7966226666699</v>
      </c>
      <c r="AB186" s="436">
        <f t="shared" si="134"/>
        <v>3178.0793773333298</v>
      </c>
    </row>
    <row r="187" spans="2:28" ht="18" x14ac:dyDescent="0.15">
      <c r="B187" s="441" t="s">
        <v>377</v>
      </c>
      <c r="C187" s="445">
        <v>108502.5</v>
      </c>
      <c r="D187" s="442">
        <v>12</v>
      </c>
      <c r="E187" s="443">
        <f t="shared" si="133"/>
        <v>1302030</v>
      </c>
      <c r="F187" s="446"/>
      <c r="G187" s="444">
        <f>6920.2*12</f>
        <v>83042.399999999994</v>
      </c>
      <c r="H187" s="446"/>
      <c r="I187" s="443">
        <f t="shared" si="121"/>
        <v>1218987.6000000001</v>
      </c>
      <c r="J187" s="443">
        <v>200000</v>
      </c>
      <c r="K187" s="443">
        <v>0.2</v>
      </c>
      <c r="L187" s="443">
        <f t="shared" si="122"/>
        <v>243797.52</v>
      </c>
      <c r="M187" s="443">
        <f t="shared" si="123"/>
        <v>443797.52</v>
      </c>
      <c r="N187" s="443">
        <f t="shared" si="124"/>
        <v>526839.92000000004</v>
      </c>
      <c r="O187" s="443">
        <f t="shared" si="125"/>
        <v>775190.08</v>
      </c>
      <c r="P187" s="443">
        <f t="shared" si="126"/>
        <v>21000</v>
      </c>
      <c r="Q187" s="443">
        <f t="shared" si="127"/>
        <v>33000</v>
      </c>
      <c r="R187" s="443">
        <f t="shared" si="128"/>
        <v>26278.511999999999</v>
      </c>
      <c r="S187" s="443">
        <f t="shared" si="129"/>
        <v>0</v>
      </c>
      <c r="T187" s="443">
        <f t="shared" si="130"/>
        <v>0</v>
      </c>
      <c r="V187" s="443">
        <f t="shared" si="135"/>
        <v>80278.512000000002</v>
      </c>
      <c r="W187" s="457">
        <v>12</v>
      </c>
      <c r="X187" s="443">
        <f t="shared" si="131"/>
        <v>6689.8760000000002</v>
      </c>
      <c r="Z187" s="458">
        <f t="shared" si="132"/>
        <v>6689.8760000000002</v>
      </c>
      <c r="AA187" s="436">
        <v>3511.7966226666699</v>
      </c>
      <c r="AB187" s="436">
        <f t="shared" si="134"/>
        <v>3178.0793773333298</v>
      </c>
    </row>
    <row r="188" spans="2:28" ht="35.25" customHeight="1" x14ac:dyDescent="0.2">
      <c r="B188" s="447" t="s">
        <v>650</v>
      </c>
      <c r="C188" s="448">
        <f>SUM(C6:C187)</f>
        <v>79212127.886105001</v>
      </c>
      <c r="D188" s="449"/>
      <c r="E188" s="450"/>
      <c r="F188" s="451">
        <f>SUM(F6:F187)</f>
        <v>276375.74699999997</v>
      </c>
      <c r="G188" s="451">
        <f>SUM(G6:G187)</f>
        <v>54773768.880000003</v>
      </c>
      <c r="H188" s="452"/>
      <c r="I188" s="452"/>
      <c r="J188" s="452"/>
      <c r="K188" s="452"/>
      <c r="L188" s="452"/>
      <c r="M188" s="452"/>
      <c r="N188" s="452"/>
      <c r="O188" s="452"/>
      <c r="P188" s="452"/>
      <c r="Q188" s="452"/>
      <c r="R188" s="452"/>
      <c r="S188" s="452"/>
      <c r="T188" s="452"/>
      <c r="U188" s="452"/>
      <c r="V188" s="451">
        <f>SUM(V6:V187)</f>
        <v>135631933.582434</v>
      </c>
      <c r="W188" s="451"/>
      <c r="X188" s="451">
        <f t="shared" ref="X188" si="137">SUM(X6:X187)</f>
        <v>11302661.131869501</v>
      </c>
      <c r="Y188" s="451"/>
      <c r="Z188" s="451">
        <f t="shared" ref="Z188" si="138">SUM(Z6:Z187)</f>
        <v>11302661.131869501</v>
      </c>
      <c r="AA188" s="452"/>
      <c r="AB188" s="452"/>
    </row>
    <row r="189" spans="2:28" ht="26.25" customHeight="1" x14ac:dyDescent="0.2">
      <c r="B189" s="453" t="s">
        <v>651</v>
      </c>
      <c r="C189" s="448"/>
      <c r="D189" s="449"/>
      <c r="E189" s="449"/>
      <c r="F189" s="454">
        <f>F188/12</f>
        <v>23031.312249999999</v>
      </c>
      <c r="G189" s="454">
        <f>G188/12</f>
        <v>4564480.74</v>
      </c>
      <c r="H189" s="452"/>
      <c r="I189" s="452"/>
      <c r="J189" s="452"/>
      <c r="K189" s="452"/>
      <c r="L189" s="452"/>
      <c r="M189" s="452"/>
      <c r="N189" s="452"/>
      <c r="O189" s="452"/>
      <c r="P189" s="452"/>
      <c r="Q189" s="452"/>
      <c r="R189" s="452"/>
      <c r="S189" s="452"/>
      <c r="T189" s="452"/>
      <c r="U189" s="452"/>
      <c r="V189" s="454">
        <f>V188/12</f>
        <v>11302661.131869501</v>
      </c>
      <c r="W189" s="449"/>
      <c r="X189" s="449"/>
      <c r="Y189" s="449"/>
      <c r="Z189" s="449"/>
      <c r="AA189" s="452"/>
      <c r="AB189" s="452"/>
    </row>
    <row r="190" spans="2:28" ht="18" x14ac:dyDescent="0.2">
      <c r="B190" s="31"/>
      <c r="C190" s="436"/>
      <c r="F190" s="455"/>
    </row>
    <row r="191" spans="2:28" x14ac:dyDescent="0.15">
      <c r="F191" s="456"/>
      <c r="Z191" s="451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199"/>
  <sheetViews>
    <sheetView topLeftCell="A83" workbookViewId="0">
      <selection activeCell="E93" sqref="E93"/>
    </sheetView>
  </sheetViews>
  <sheetFormatPr defaultColWidth="9.16796875" defaultRowHeight="18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5" width="20.2265625" style="1" customWidth="1"/>
    <col min="6" max="6" width="17.93359375" style="1" customWidth="1"/>
    <col min="7" max="7" width="21.7109375" style="1" customWidth="1"/>
    <col min="8" max="16384" width="9.16796875" style="1"/>
  </cols>
  <sheetData>
    <row r="1" spans="1:7" ht="27" customHeight="1" x14ac:dyDescent="0.25">
      <c r="A1" s="966" t="s">
        <v>0</v>
      </c>
      <c r="B1" s="966"/>
      <c r="C1" s="966"/>
      <c r="D1" s="966"/>
      <c r="E1" s="966"/>
      <c r="F1" s="966"/>
    </row>
    <row r="2" spans="1:7" ht="20.25" customHeight="1" x14ac:dyDescent="0.2">
      <c r="A2" s="966" t="s">
        <v>822</v>
      </c>
      <c r="B2" s="966"/>
      <c r="C2" s="966"/>
      <c r="D2" s="966"/>
      <c r="E2" s="966"/>
      <c r="F2" s="966"/>
    </row>
    <row r="3" spans="1:7" ht="9.75" customHeight="1" x14ac:dyDescent="0.2">
      <c r="A3" s="966"/>
      <c r="B3" s="966"/>
      <c r="C3" s="966"/>
      <c r="D3" s="966"/>
      <c r="E3" s="966"/>
      <c r="F3" s="966"/>
    </row>
    <row r="4" spans="1:7" ht="13.5" customHeight="1" x14ac:dyDescent="0.2">
      <c r="E4" s="183"/>
      <c r="F4" s="183"/>
    </row>
    <row r="5" spans="1:7" ht="52.5" customHeight="1" x14ac:dyDescent="0.2">
      <c r="A5" s="2"/>
      <c r="B5" s="3" t="s">
        <v>2</v>
      </c>
      <c r="C5" s="4" t="s">
        <v>3</v>
      </c>
      <c r="D5" s="5" t="s">
        <v>4</v>
      </c>
      <c r="E5" s="184" t="s">
        <v>823</v>
      </c>
      <c r="F5" s="184" t="s">
        <v>16</v>
      </c>
    </row>
    <row r="6" spans="1:7" ht="17.25" customHeight="1" x14ac:dyDescent="0.2">
      <c r="C6" s="6"/>
      <c r="D6" s="6"/>
      <c r="E6" s="67" t="s">
        <v>20</v>
      </c>
      <c r="F6" s="67" t="s">
        <v>20</v>
      </c>
    </row>
    <row r="7" spans="1:7" ht="20.100000000000001" customHeight="1" x14ac:dyDescent="0.2">
      <c r="A7" s="7" t="s">
        <v>21</v>
      </c>
      <c r="B7" s="6" t="s">
        <v>22</v>
      </c>
      <c r="C7" s="6"/>
      <c r="D7" s="6"/>
      <c r="E7" s="67"/>
      <c r="F7" s="19"/>
    </row>
    <row r="8" spans="1:7" ht="20.100000000000001" customHeight="1" x14ac:dyDescent="0.2">
      <c r="A8" s="8">
        <v>1</v>
      </c>
      <c r="B8" s="9" t="s">
        <v>23</v>
      </c>
      <c r="C8" s="10" t="s">
        <v>24</v>
      </c>
      <c r="D8" s="10" t="s">
        <v>25</v>
      </c>
      <c r="E8" s="70">
        <v>1659751.1669999999</v>
      </c>
      <c r="F8" s="70"/>
      <c r="G8" s="11"/>
    </row>
    <row r="9" spans="1:7" ht="20.100000000000001" customHeight="1" x14ac:dyDescent="0.2">
      <c r="A9" s="8">
        <v>2</v>
      </c>
      <c r="B9" s="9" t="s">
        <v>26</v>
      </c>
      <c r="C9" s="10" t="s">
        <v>27</v>
      </c>
      <c r="D9" s="8" t="s">
        <v>28</v>
      </c>
      <c r="E9" s="70">
        <v>762373.16666666698</v>
      </c>
      <c r="F9" s="70">
        <f t="shared" ref="F9:F34" si="0">E9*0.08</f>
        <v>60989.853333333398</v>
      </c>
      <c r="G9" s="11"/>
    </row>
    <row r="10" spans="1:7" ht="20.100000000000001" customHeight="1" x14ac:dyDescent="0.2">
      <c r="A10" s="8">
        <v>3</v>
      </c>
      <c r="B10" s="12" t="s">
        <v>29</v>
      </c>
      <c r="C10" s="2" t="s">
        <v>30</v>
      </c>
      <c r="D10" s="8" t="s">
        <v>28</v>
      </c>
      <c r="E10" s="70">
        <v>762373.16666666698</v>
      </c>
      <c r="F10" s="70"/>
      <c r="G10" s="11"/>
    </row>
    <row r="11" spans="1:7" ht="20.100000000000001" customHeight="1" x14ac:dyDescent="0.2">
      <c r="A11" s="8">
        <v>4</v>
      </c>
      <c r="B11" s="9" t="s">
        <v>31</v>
      </c>
      <c r="C11" s="15" t="s">
        <v>32</v>
      </c>
      <c r="D11" s="8" t="s">
        <v>28</v>
      </c>
      <c r="E11" s="70">
        <v>762373.16666666698</v>
      </c>
      <c r="F11" s="70">
        <f t="shared" si="0"/>
        <v>60989.853333333398</v>
      </c>
      <c r="G11" s="11"/>
    </row>
    <row r="12" spans="1:7" ht="20.100000000000001" customHeight="1" x14ac:dyDescent="0.2">
      <c r="A12" s="8">
        <v>5</v>
      </c>
      <c r="B12" s="12" t="s">
        <v>271</v>
      </c>
      <c r="C12" s="2" t="s">
        <v>792</v>
      </c>
      <c r="D12" s="8" t="s">
        <v>28</v>
      </c>
      <c r="E12" s="70">
        <v>762373.16666666698</v>
      </c>
      <c r="F12" s="70">
        <f t="shared" si="0"/>
        <v>60989.853333333398</v>
      </c>
      <c r="G12" s="11"/>
    </row>
    <row r="13" spans="1:7" ht="20.100000000000001" customHeight="1" x14ac:dyDescent="0.2">
      <c r="A13" s="8">
        <v>6</v>
      </c>
      <c r="B13" s="16" t="s">
        <v>530</v>
      </c>
      <c r="C13" s="8" t="s">
        <v>531</v>
      </c>
      <c r="D13" s="8" t="s">
        <v>28</v>
      </c>
      <c r="E13" s="70">
        <v>762373.16666666698</v>
      </c>
      <c r="F13" s="70"/>
      <c r="G13" s="11"/>
    </row>
    <row r="14" spans="1:7" ht="20.100000000000001" customHeight="1" x14ac:dyDescent="0.2">
      <c r="A14" s="8">
        <v>7</v>
      </c>
      <c r="B14" s="9" t="s">
        <v>33</v>
      </c>
      <c r="C14" s="10" t="s">
        <v>532</v>
      </c>
      <c r="D14" s="13" t="s">
        <v>131</v>
      </c>
      <c r="E14" s="70">
        <v>620675.58333333302</v>
      </c>
      <c r="F14" s="70">
        <f t="shared" si="0"/>
        <v>49654.046666666603</v>
      </c>
      <c r="G14" s="11"/>
    </row>
    <row r="15" spans="1:7" ht="20.100000000000001" customHeight="1" x14ac:dyDescent="0.2">
      <c r="A15" s="8">
        <v>8</v>
      </c>
      <c r="B15" s="9" t="s">
        <v>36</v>
      </c>
      <c r="C15" s="2" t="s">
        <v>37</v>
      </c>
      <c r="D15" s="8" t="s">
        <v>49</v>
      </c>
      <c r="E15" s="70">
        <v>582118.08333333302</v>
      </c>
      <c r="F15" s="70">
        <f t="shared" si="0"/>
        <v>46569.446666666598</v>
      </c>
      <c r="G15" s="11"/>
    </row>
    <row r="16" spans="1:7" ht="20.100000000000001" customHeight="1" x14ac:dyDescent="0.2">
      <c r="A16" s="8">
        <v>9</v>
      </c>
      <c r="B16" s="9" t="s">
        <v>39</v>
      </c>
      <c r="C16" s="2" t="s">
        <v>40</v>
      </c>
      <c r="D16" s="13" t="s">
        <v>41</v>
      </c>
      <c r="E16" s="70">
        <v>484373.75</v>
      </c>
      <c r="F16" s="70">
        <f t="shared" si="0"/>
        <v>38749.9</v>
      </c>
      <c r="G16" s="11"/>
    </row>
    <row r="17" spans="1:7" ht="20.100000000000001" customHeight="1" x14ac:dyDescent="0.2">
      <c r="A17" s="8">
        <v>10</v>
      </c>
      <c r="B17" s="12" t="s">
        <v>42</v>
      </c>
      <c r="C17" s="15" t="s">
        <v>156</v>
      </c>
      <c r="D17" s="13" t="s">
        <v>176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 x14ac:dyDescent="0.2">
      <c r="A18" s="8">
        <v>11</v>
      </c>
      <c r="B18" s="9" t="s">
        <v>44</v>
      </c>
      <c r="C18" s="2" t="s">
        <v>45</v>
      </c>
      <c r="D18" s="8" t="s">
        <v>197</v>
      </c>
      <c r="E18" s="70">
        <v>442746.5</v>
      </c>
      <c r="F18" s="70">
        <f t="shared" si="0"/>
        <v>35419.72</v>
      </c>
      <c r="G18" s="11"/>
    </row>
    <row r="19" spans="1:7" ht="20.100000000000001" customHeight="1" x14ac:dyDescent="0.2">
      <c r="A19" s="8">
        <v>12</v>
      </c>
      <c r="B19" s="9" t="s">
        <v>47</v>
      </c>
      <c r="C19" s="2" t="s">
        <v>533</v>
      </c>
      <c r="D19" s="8" t="s">
        <v>52</v>
      </c>
      <c r="E19" s="70">
        <v>441804.91666666698</v>
      </c>
      <c r="F19" s="70">
        <f t="shared" si="0"/>
        <v>35344.393333333399</v>
      </c>
    </row>
    <row r="20" spans="1:7" ht="20.100000000000001" customHeight="1" x14ac:dyDescent="0.2">
      <c r="A20" s="8">
        <v>13</v>
      </c>
      <c r="B20" s="9" t="s">
        <v>50</v>
      </c>
      <c r="C20" s="10" t="s">
        <v>51</v>
      </c>
      <c r="D20" s="13" t="s">
        <v>534</v>
      </c>
      <c r="E20" s="70">
        <v>428915.91666666698</v>
      </c>
      <c r="F20" s="70">
        <f t="shared" si="0"/>
        <v>34313.273333333404</v>
      </c>
      <c r="G20" s="11"/>
    </row>
    <row r="21" spans="1:7" ht="20.100000000000001" customHeight="1" x14ac:dyDescent="0.2">
      <c r="A21" s="8">
        <v>14</v>
      </c>
      <c r="B21" s="16" t="s">
        <v>53</v>
      </c>
      <c r="C21" s="2" t="s">
        <v>793</v>
      </c>
      <c r="D21" s="13" t="s">
        <v>535</v>
      </c>
      <c r="E21" s="70">
        <v>416026.91666666698</v>
      </c>
      <c r="F21" s="70">
        <f t="shared" si="0"/>
        <v>33282.153333333401</v>
      </c>
      <c r="G21" s="11"/>
    </row>
    <row r="22" spans="1:7" ht="18.75" customHeight="1" x14ac:dyDescent="0.2">
      <c r="A22" s="8">
        <v>15</v>
      </c>
      <c r="B22" s="9" t="s">
        <v>63</v>
      </c>
      <c r="C22" s="10" t="s">
        <v>64</v>
      </c>
      <c r="D22" s="13" t="s">
        <v>162</v>
      </c>
      <c r="E22" s="70">
        <v>377895.16666666698</v>
      </c>
      <c r="F22" s="70">
        <f t="shared" si="0"/>
        <v>30231.6133333334</v>
      </c>
      <c r="G22" s="11"/>
    </row>
    <row r="23" spans="1:7" ht="20.100000000000001" customHeight="1" x14ac:dyDescent="0.2">
      <c r="A23" s="8">
        <v>16</v>
      </c>
      <c r="B23" s="12" t="s">
        <v>66</v>
      </c>
      <c r="C23" s="15" t="s">
        <v>794</v>
      </c>
      <c r="D23" s="8" t="s">
        <v>137</v>
      </c>
      <c r="E23" s="70">
        <v>353512.5</v>
      </c>
      <c r="F23" s="70">
        <f t="shared" si="0"/>
        <v>28281</v>
      </c>
      <c r="G23" s="11"/>
    </row>
    <row r="24" spans="1:7" ht="21.6" customHeight="1" x14ac:dyDescent="0.2">
      <c r="A24" s="8">
        <v>17</v>
      </c>
      <c r="B24" s="9" t="s">
        <v>69</v>
      </c>
      <c r="C24" s="15" t="s">
        <v>70</v>
      </c>
      <c r="D24" s="13" t="s">
        <v>137</v>
      </c>
      <c r="E24" s="70">
        <v>353512.5</v>
      </c>
      <c r="F24" s="70">
        <f t="shared" si="0"/>
        <v>28281</v>
      </c>
      <c r="G24" s="11"/>
    </row>
    <row r="25" spans="1:7" ht="20.100000000000001" customHeight="1" x14ac:dyDescent="0.2">
      <c r="A25" s="8">
        <v>18</v>
      </c>
      <c r="B25" s="12" t="s">
        <v>71</v>
      </c>
      <c r="C25" s="15" t="s">
        <v>72</v>
      </c>
      <c r="D25" s="8" t="s">
        <v>73</v>
      </c>
      <c r="E25" s="70">
        <v>293029.66666666698</v>
      </c>
      <c r="F25" s="70">
        <f t="shared" si="0"/>
        <v>23442.373333333398</v>
      </c>
      <c r="G25" s="11"/>
    </row>
    <row r="26" spans="1:7" ht="18.75" customHeight="1" x14ac:dyDescent="0.2">
      <c r="A26" s="8">
        <v>19</v>
      </c>
      <c r="B26" s="2" t="s">
        <v>77</v>
      </c>
      <c r="C26" s="2" t="s">
        <v>78</v>
      </c>
      <c r="D26" s="8" t="s">
        <v>84</v>
      </c>
      <c r="E26" s="70">
        <v>270481.66666666698</v>
      </c>
      <c r="F26" s="70">
        <f t="shared" si="0"/>
        <v>21638.533333333398</v>
      </c>
      <c r="G26" s="11"/>
    </row>
    <row r="27" spans="1:7" ht="18.75" customHeight="1" x14ac:dyDescent="0.2">
      <c r="A27" s="8">
        <v>20</v>
      </c>
      <c r="B27" s="16" t="s">
        <v>80</v>
      </c>
      <c r="C27" s="10" t="s">
        <v>78</v>
      </c>
      <c r="D27" s="13" t="s">
        <v>84</v>
      </c>
      <c r="E27" s="70">
        <v>270481.66666666698</v>
      </c>
      <c r="F27" s="70">
        <f t="shared" si="0"/>
        <v>21638.533333333398</v>
      </c>
      <c r="G27" s="11"/>
    </row>
    <row r="28" spans="1:7" ht="20.100000000000001" customHeight="1" x14ac:dyDescent="0.2">
      <c r="A28" s="8">
        <v>21</v>
      </c>
      <c r="B28" s="9" t="s">
        <v>81</v>
      </c>
      <c r="C28" s="15" t="s">
        <v>67</v>
      </c>
      <c r="D28" s="8" t="s">
        <v>84</v>
      </c>
      <c r="E28" s="70">
        <v>270481.66666666698</v>
      </c>
      <c r="F28" s="70">
        <f t="shared" si="0"/>
        <v>21638.533333333398</v>
      </c>
      <c r="G28" s="11"/>
    </row>
    <row r="29" spans="1:7" ht="18.75" customHeight="1" x14ac:dyDescent="0.2">
      <c r="A29" s="8">
        <v>22</v>
      </c>
      <c r="B29" s="16" t="s">
        <v>82</v>
      </c>
      <c r="C29" s="10" t="s">
        <v>83</v>
      </c>
      <c r="D29" s="13" t="s">
        <v>87</v>
      </c>
      <c r="E29" s="70">
        <v>263165.33333333302</v>
      </c>
      <c r="F29" s="70">
        <f t="shared" si="0"/>
        <v>21053.2266666666</v>
      </c>
      <c r="G29" s="11"/>
    </row>
    <row r="30" spans="1:7" ht="18.75" customHeight="1" x14ac:dyDescent="0.2">
      <c r="A30" s="8">
        <v>23</v>
      </c>
      <c r="B30" s="16" t="s">
        <v>85</v>
      </c>
      <c r="C30" s="2" t="s">
        <v>86</v>
      </c>
      <c r="D30" s="8" t="s">
        <v>96</v>
      </c>
      <c r="E30" s="70">
        <v>255849</v>
      </c>
      <c r="F30" s="70">
        <f t="shared" si="0"/>
        <v>20467.919999999998</v>
      </c>
      <c r="G30" s="11"/>
    </row>
    <row r="31" spans="1:7" ht="18.75" customHeight="1" x14ac:dyDescent="0.2">
      <c r="A31" s="8">
        <v>24</v>
      </c>
      <c r="B31" s="16" t="s">
        <v>88</v>
      </c>
      <c r="C31" s="2" t="s">
        <v>86</v>
      </c>
      <c r="D31" s="8" t="s">
        <v>96</v>
      </c>
      <c r="E31" s="70">
        <v>255849</v>
      </c>
      <c r="F31" s="70">
        <f t="shared" si="0"/>
        <v>20467.919999999998</v>
      </c>
      <c r="G31" s="11"/>
    </row>
    <row r="32" spans="1:7" ht="18.75" customHeight="1" x14ac:dyDescent="0.2">
      <c r="A32" s="8">
        <v>25</v>
      </c>
      <c r="B32" s="16" t="s">
        <v>89</v>
      </c>
      <c r="C32" s="15" t="s">
        <v>90</v>
      </c>
      <c r="D32" s="13" t="s">
        <v>84</v>
      </c>
      <c r="E32" s="70">
        <v>270481.66666666698</v>
      </c>
      <c r="F32" s="70">
        <f t="shared" si="0"/>
        <v>21638.533333333398</v>
      </c>
      <c r="G32" s="11"/>
    </row>
    <row r="33" spans="1:7" ht="18.75" customHeight="1" x14ac:dyDescent="0.2">
      <c r="A33" s="8">
        <v>26</v>
      </c>
      <c r="B33" s="16" t="s">
        <v>92</v>
      </c>
      <c r="C33" s="2" t="s">
        <v>93</v>
      </c>
      <c r="D33" s="8" t="s">
        <v>102</v>
      </c>
      <c r="E33" s="70">
        <v>230631.91666666701</v>
      </c>
      <c r="F33" s="70">
        <f t="shared" si="0"/>
        <v>18450.553333333399</v>
      </c>
      <c r="G33" s="11"/>
    </row>
    <row r="34" spans="1:7" ht="18.75" customHeight="1" x14ac:dyDescent="0.2">
      <c r="A34" s="8">
        <v>27</v>
      </c>
      <c r="B34" s="16" t="s">
        <v>100</v>
      </c>
      <c r="C34" s="10" t="s">
        <v>101</v>
      </c>
      <c r="D34" s="13" t="s">
        <v>105</v>
      </c>
      <c r="E34" s="70">
        <v>224459.75</v>
      </c>
      <c r="F34" s="70">
        <f t="shared" si="0"/>
        <v>17956.78</v>
      </c>
      <c r="G34" s="11"/>
    </row>
    <row r="35" spans="1:7" ht="26.25" customHeight="1" x14ac:dyDescent="0.2">
      <c r="A35" s="8"/>
      <c r="B35" s="18" t="s">
        <v>111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 x14ac:dyDescent="0.2">
      <c r="A36" s="8"/>
      <c r="B36" s="20"/>
      <c r="C36" s="2"/>
      <c r="D36" s="13"/>
      <c r="E36" s="187"/>
      <c r="F36" s="187"/>
      <c r="G36" s="11"/>
    </row>
    <row r="37" spans="1:7" ht="18.75" customHeight="1" x14ac:dyDescent="0.2">
      <c r="A37" s="8"/>
      <c r="B37" s="18" t="s">
        <v>112</v>
      </c>
      <c r="C37" s="2"/>
      <c r="D37" s="13"/>
      <c r="E37" s="70"/>
      <c r="F37" s="70"/>
      <c r="G37" s="11"/>
    </row>
    <row r="38" spans="1:7" ht="18.75" customHeight="1" x14ac:dyDescent="0.2">
      <c r="A38" s="8">
        <v>1</v>
      </c>
      <c r="B38" s="16" t="s">
        <v>113</v>
      </c>
      <c r="C38" s="2" t="s">
        <v>114</v>
      </c>
      <c r="D38" s="8" t="s">
        <v>115</v>
      </c>
      <c r="E38" s="70">
        <v>1435720</v>
      </c>
      <c r="F38" s="70">
        <f>E38*0.08</f>
        <v>114857.60000000001</v>
      </c>
      <c r="G38" s="11"/>
    </row>
    <row r="39" spans="1:7" ht="18.75" customHeight="1" x14ac:dyDescent="0.2">
      <c r="A39" s="8">
        <v>2</v>
      </c>
      <c r="B39" s="16" t="s">
        <v>116</v>
      </c>
      <c r="C39" s="2" t="s">
        <v>795</v>
      </c>
      <c r="D39" s="8" t="s">
        <v>73</v>
      </c>
      <c r="E39" s="70">
        <v>293029.66666666698</v>
      </c>
      <c r="F39" s="70">
        <f t="shared" ref="F39:F40" si="2">E39*0.08</f>
        <v>23442.373333333398</v>
      </c>
      <c r="G39" s="11"/>
    </row>
    <row r="40" spans="1:7" ht="18.75" customHeight="1" x14ac:dyDescent="0.2">
      <c r="A40" s="8">
        <v>3</v>
      </c>
      <c r="B40" s="9" t="s">
        <v>118</v>
      </c>
      <c r="C40" s="10" t="s">
        <v>796</v>
      </c>
      <c r="D40" s="13" t="s">
        <v>76</v>
      </c>
      <c r="E40" s="70">
        <v>300965.58333333302</v>
      </c>
      <c r="F40" s="70">
        <f t="shared" si="2"/>
        <v>24077.246666666601</v>
      </c>
      <c r="G40" s="11"/>
    </row>
    <row r="41" spans="1:7" ht="19.5" customHeight="1" x14ac:dyDescent="0.2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 x14ac:dyDescent="0.2">
      <c r="A42" s="8"/>
      <c r="B42" s="12"/>
      <c r="C42" s="2"/>
      <c r="D42" s="8"/>
      <c r="E42" s="187"/>
      <c r="F42" s="187"/>
      <c r="G42" s="11"/>
    </row>
    <row r="43" spans="1:7" ht="20.100000000000001" customHeight="1" x14ac:dyDescent="0.2">
      <c r="A43" s="8"/>
      <c r="B43" s="21" t="s">
        <v>125</v>
      </c>
      <c r="C43" s="3"/>
      <c r="D43" s="22"/>
      <c r="E43" s="187"/>
      <c r="F43" s="187"/>
      <c r="G43" s="11"/>
    </row>
    <row r="44" spans="1:7" ht="20.100000000000001" customHeight="1" x14ac:dyDescent="0.2">
      <c r="A44" s="8">
        <v>1</v>
      </c>
      <c r="B44" s="9" t="s">
        <v>536</v>
      </c>
      <c r="C44" s="2" t="s">
        <v>537</v>
      </c>
      <c r="D44" s="8" t="s">
        <v>115</v>
      </c>
      <c r="E44" s="70">
        <v>1435720</v>
      </c>
      <c r="F44" s="70">
        <f>E44*0.08</f>
        <v>114857.60000000001</v>
      </c>
      <c r="G44" s="11"/>
    </row>
    <row r="45" spans="1:7" ht="20.100000000000001" customHeight="1" x14ac:dyDescent="0.2">
      <c r="A45" s="8">
        <v>2</v>
      </c>
      <c r="B45" s="9" t="s">
        <v>538</v>
      </c>
      <c r="C45" s="2" t="s">
        <v>43</v>
      </c>
      <c r="D45" s="8" t="s">
        <v>131</v>
      </c>
      <c r="E45" s="70">
        <v>620675.58333333302</v>
      </c>
      <c r="F45" s="70">
        <f t="shared" ref="F45:F54" si="4">E45*0.08</f>
        <v>49654.046666666603</v>
      </c>
      <c r="G45" s="11"/>
    </row>
    <row r="46" spans="1:7" ht="20.100000000000001" customHeight="1" x14ac:dyDescent="0.2">
      <c r="A46" s="8">
        <v>3</v>
      </c>
      <c r="B46" s="9" t="s">
        <v>126</v>
      </c>
      <c r="C46" s="2" t="s">
        <v>127</v>
      </c>
      <c r="D46" s="8" t="s">
        <v>35</v>
      </c>
      <c r="E46" s="70">
        <v>739203.58333333302</v>
      </c>
      <c r="F46" s="70">
        <f t="shared" si="4"/>
        <v>59136.286666666601</v>
      </c>
      <c r="G46" s="11"/>
    </row>
    <row r="47" spans="1:7" ht="20.100000000000001" customHeight="1" x14ac:dyDescent="0.2">
      <c r="A47" s="8">
        <v>4</v>
      </c>
      <c r="B47" s="9" t="s">
        <v>129</v>
      </c>
      <c r="C47" s="2" t="s">
        <v>130</v>
      </c>
      <c r="D47" s="8" t="s">
        <v>131</v>
      </c>
      <c r="E47" s="70">
        <v>620675.58333333302</v>
      </c>
      <c r="F47" s="70">
        <f t="shared" si="4"/>
        <v>49654.046666666603</v>
      </c>
      <c r="G47" s="11"/>
    </row>
    <row r="48" spans="1:7" ht="20.100000000000001" customHeight="1" x14ac:dyDescent="0.2">
      <c r="A48" s="8">
        <v>5</v>
      </c>
      <c r="B48" s="9" t="s">
        <v>132</v>
      </c>
      <c r="C48" s="2" t="s">
        <v>130</v>
      </c>
      <c r="D48" s="8" t="s">
        <v>131</v>
      </c>
      <c r="E48" s="70">
        <v>620675.58333333302</v>
      </c>
      <c r="F48" s="70">
        <f t="shared" si="4"/>
        <v>49654.046666666603</v>
      </c>
      <c r="G48" s="11"/>
    </row>
    <row r="49" spans="1:7" ht="20.100000000000001" customHeight="1" x14ac:dyDescent="0.2">
      <c r="A49" s="8">
        <v>6</v>
      </c>
      <c r="B49" s="9" t="s">
        <v>133</v>
      </c>
      <c r="C49" s="2" t="s">
        <v>130</v>
      </c>
      <c r="D49" s="8" t="s">
        <v>49</v>
      </c>
      <c r="E49" s="70">
        <v>582118.08333333302</v>
      </c>
      <c r="F49" s="70">
        <f t="shared" si="4"/>
        <v>46569.446666666598</v>
      </c>
      <c r="G49" s="11"/>
    </row>
    <row r="50" spans="1:7" ht="20.100000000000001" customHeight="1" x14ac:dyDescent="0.2">
      <c r="A50" s="8">
        <v>7</v>
      </c>
      <c r="B50" s="12" t="s">
        <v>134</v>
      </c>
      <c r="C50" s="2" t="s">
        <v>156</v>
      </c>
      <c r="D50" s="14" t="s">
        <v>176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 x14ac:dyDescent="0.2">
      <c r="A51" s="8">
        <v>8</v>
      </c>
      <c r="B51" s="9" t="s">
        <v>138</v>
      </c>
      <c r="C51" s="2" t="s">
        <v>139</v>
      </c>
      <c r="D51" s="8" t="s">
        <v>76</v>
      </c>
      <c r="E51" s="70">
        <v>300965.58333333302</v>
      </c>
      <c r="F51" s="70">
        <f t="shared" si="4"/>
        <v>24077.246666666601</v>
      </c>
      <c r="G51" s="11"/>
    </row>
    <row r="52" spans="1:7" ht="20.100000000000001" customHeight="1" x14ac:dyDescent="0.2">
      <c r="A52" s="8">
        <v>9</v>
      </c>
      <c r="B52" s="9" t="s">
        <v>142</v>
      </c>
      <c r="C52" s="2" t="s">
        <v>139</v>
      </c>
      <c r="D52" s="8" t="s">
        <v>87</v>
      </c>
      <c r="E52" s="70">
        <v>263165.33333333302</v>
      </c>
      <c r="F52" s="70">
        <f t="shared" si="4"/>
        <v>21053.2266666666</v>
      </c>
      <c r="G52" s="11"/>
    </row>
    <row r="53" spans="1:7" ht="20.100000000000001" customHeight="1" x14ac:dyDescent="0.2">
      <c r="A53" s="8">
        <v>10</v>
      </c>
      <c r="B53" s="9" t="s">
        <v>539</v>
      </c>
      <c r="C53" s="2" t="s">
        <v>139</v>
      </c>
      <c r="D53" s="8" t="s">
        <v>87</v>
      </c>
      <c r="E53" s="70">
        <v>263165.33333333302</v>
      </c>
      <c r="F53" s="70">
        <f t="shared" si="4"/>
        <v>21053.2266666666</v>
      </c>
      <c r="G53" s="11"/>
    </row>
    <row r="54" spans="1:7" ht="20.100000000000001" customHeight="1" x14ac:dyDescent="0.2">
      <c r="A54" s="8">
        <v>11</v>
      </c>
      <c r="B54" s="9" t="s">
        <v>143</v>
      </c>
      <c r="C54" s="2" t="s">
        <v>139</v>
      </c>
      <c r="D54" s="8" t="s">
        <v>87</v>
      </c>
      <c r="E54" s="70">
        <v>263165.33333333302</v>
      </c>
      <c r="F54" s="70">
        <f t="shared" si="4"/>
        <v>21053.2266666666</v>
      </c>
      <c r="G54" s="11"/>
    </row>
    <row r="55" spans="1:7" ht="25.5" customHeight="1" x14ac:dyDescent="0.5">
      <c r="A55" s="8"/>
      <c r="B55" s="18" t="s">
        <v>111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 x14ac:dyDescent="0.2">
      <c r="A56" s="8"/>
      <c r="B56" s="20"/>
      <c r="C56" s="19"/>
      <c r="D56" s="19"/>
      <c r="E56" s="122"/>
      <c r="F56" s="122"/>
      <c r="G56" s="11"/>
    </row>
    <row r="57" spans="1:7" ht="20.100000000000001" customHeight="1" x14ac:dyDescent="0.2">
      <c r="A57" s="8"/>
      <c r="B57" s="18" t="s">
        <v>145</v>
      </c>
      <c r="C57" s="19"/>
      <c r="D57" s="19"/>
      <c r="E57" s="122"/>
      <c r="F57" s="122"/>
      <c r="G57" s="11"/>
    </row>
    <row r="58" spans="1:7" ht="20.100000000000001" customHeight="1" x14ac:dyDescent="0.2">
      <c r="A58" s="8">
        <v>1</v>
      </c>
      <c r="B58" s="9" t="s">
        <v>540</v>
      </c>
      <c r="C58" s="10" t="s">
        <v>147</v>
      </c>
      <c r="D58" s="13" t="s">
        <v>115</v>
      </c>
      <c r="E58" s="70">
        <v>1435720</v>
      </c>
      <c r="F58" s="70">
        <f>E58*0.08</f>
        <v>114857.60000000001</v>
      </c>
      <c r="G58" s="11"/>
    </row>
    <row r="59" spans="1:7" ht="20.100000000000001" customHeight="1" x14ac:dyDescent="0.2">
      <c r="A59" s="8">
        <v>2</v>
      </c>
      <c r="B59" s="9" t="s">
        <v>148</v>
      </c>
      <c r="C59" s="10" t="s">
        <v>149</v>
      </c>
      <c r="D59" s="13" t="s">
        <v>150</v>
      </c>
      <c r="E59" s="70">
        <v>620675.58333333302</v>
      </c>
      <c r="F59" s="70">
        <f>E59*0.08</f>
        <v>49654.046666666603</v>
      </c>
      <c r="G59" s="11"/>
    </row>
    <row r="60" spans="1:7" ht="20.100000000000001" customHeight="1" x14ac:dyDescent="0.5">
      <c r="A60" s="8"/>
      <c r="B60" s="18" t="s">
        <v>111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 x14ac:dyDescent="0.2">
      <c r="A61" s="8"/>
      <c r="B61" s="18"/>
      <c r="C61" s="19"/>
      <c r="D61" s="19"/>
      <c r="E61" s="122"/>
      <c r="F61" s="122"/>
      <c r="G61" s="11"/>
    </row>
    <row r="62" spans="1:7" ht="20.100000000000001" customHeight="1" x14ac:dyDescent="0.2">
      <c r="A62" s="8"/>
      <c r="B62" s="18" t="s">
        <v>151</v>
      </c>
      <c r="C62" s="19"/>
      <c r="D62" s="19"/>
      <c r="E62" s="122"/>
      <c r="F62" s="122"/>
      <c r="G62" s="11"/>
    </row>
    <row r="63" spans="1:7" ht="20.100000000000001" customHeight="1" x14ac:dyDescent="0.2">
      <c r="A63" s="8">
        <v>1</v>
      </c>
      <c r="B63" s="9" t="s">
        <v>541</v>
      </c>
      <c r="C63" s="15" t="s">
        <v>542</v>
      </c>
      <c r="D63" s="8" t="s">
        <v>115</v>
      </c>
      <c r="E63" s="70">
        <v>1435720</v>
      </c>
      <c r="F63" s="70"/>
      <c r="G63" s="11"/>
    </row>
    <row r="64" spans="1:7" ht="20.100000000000001" customHeight="1" x14ac:dyDescent="0.2">
      <c r="A64" s="8">
        <v>2</v>
      </c>
      <c r="B64" s="313" t="s">
        <v>543</v>
      </c>
      <c r="C64" s="15" t="s">
        <v>544</v>
      </c>
      <c r="D64" s="13" t="s">
        <v>38</v>
      </c>
      <c r="E64" s="70">
        <v>601396.83333333302</v>
      </c>
      <c r="F64" s="70">
        <f t="shared" ref="F64:F72" si="7">E64*0.08</f>
        <v>48111.746666666601</v>
      </c>
      <c r="G64" s="11"/>
    </row>
    <row r="65" spans="1:7" ht="20.100000000000001" customHeight="1" x14ac:dyDescent="0.2">
      <c r="A65" s="8">
        <v>3</v>
      </c>
      <c r="B65" s="9" t="s">
        <v>155</v>
      </c>
      <c r="C65" s="2" t="s">
        <v>156</v>
      </c>
      <c r="D65" s="8" t="s">
        <v>197</v>
      </c>
      <c r="E65" s="70">
        <v>442746.5</v>
      </c>
      <c r="F65" s="70">
        <f t="shared" si="7"/>
        <v>35419.72</v>
      </c>
      <c r="G65" s="11"/>
    </row>
    <row r="66" spans="1:7" ht="20.100000000000001" customHeight="1" x14ac:dyDescent="0.2">
      <c r="A66" s="8">
        <v>4</v>
      </c>
      <c r="B66" s="16" t="s">
        <v>545</v>
      </c>
      <c r="C66" s="15" t="s">
        <v>158</v>
      </c>
      <c r="D66" s="13" t="s">
        <v>534</v>
      </c>
      <c r="E66" s="70">
        <v>428915.91666666698</v>
      </c>
      <c r="F66" s="70">
        <f t="shared" si="7"/>
        <v>34313.273333333404</v>
      </c>
      <c r="G66" s="11"/>
    </row>
    <row r="67" spans="1:7" ht="20.100000000000001" customHeight="1" x14ac:dyDescent="0.2">
      <c r="A67" s="8">
        <v>5</v>
      </c>
      <c r="B67" s="12" t="s">
        <v>546</v>
      </c>
      <c r="C67" s="15" t="s">
        <v>156</v>
      </c>
      <c r="D67" s="13" t="s">
        <v>41</v>
      </c>
      <c r="E67" s="70">
        <v>484373.75</v>
      </c>
      <c r="F67" s="70">
        <f t="shared" si="7"/>
        <v>38749.9</v>
      </c>
      <c r="G67" s="11"/>
    </row>
    <row r="68" spans="1:7" ht="20.100000000000001" customHeight="1" x14ac:dyDescent="0.2">
      <c r="A68" s="8">
        <v>7</v>
      </c>
      <c r="B68" s="9" t="s">
        <v>161</v>
      </c>
      <c r="C68" s="2" t="s">
        <v>139</v>
      </c>
      <c r="D68" s="8" t="s">
        <v>68</v>
      </c>
      <c r="E68" s="70">
        <v>365703.83333333302</v>
      </c>
      <c r="F68" s="70">
        <f t="shared" si="7"/>
        <v>29256.306666666602</v>
      </c>
      <c r="G68" s="11"/>
    </row>
    <row r="69" spans="1:7" ht="20.100000000000001" customHeight="1" x14ac:dyDescent="0.2">
      <c r="A69" s="8">
        <v>8</v>
      </c>
      <c r="B69" s="9" t="s">
        <v>163</v>
      </c>
      <c r="C69" s="15" t="s">
        <v>70</v>
      </c>
      <c r="D69" s="8" t="s">
        <v>68</v>
      </c>
      <c r="E69" s="70">
        <v>365703.83333333302</v>
      </c>
      <c r="F69" s="70">
        <f t="shared" si="7"/>
        <v>29256.306666666602</v>
      </c>
      <c r="G69" s="11"/>
    </row>
    <row r="70" spans="1:7" ht="20.100000000000001" customHeight="1" x14ac:dyDescent="0.2">
      <c r="A70" s="8">
        <v>9</v>
      </c>
      <c r="B70" s="9" t="s">
        <v>164</v>
      </c>
      <c r="C70" s="15" t="s">
        <v>70</v>
      </c>
      <c r="D70" s="8" t="s">
        <v>68</v>
      </c>
      <c r="E70" s="70">
        <v>365703.83333333302</v>
      </c>
      <c r="F70" s="70">
        <f t="shared" si="7"/>
        <v>29256.306666666602</v>
      </c>
      <c r="G70" s="11"/>
    </row>
    <row r="71" spans="1:7" ht="20.100000000000001" customHeight="1" x14ac:dyDescent="0.2">
      <c r="A71" s="8">
        <v>10</v>
      </c>
      <c r="B71" s="9" t="s">
        <v>165</v>
      </c>
      <c r="C71" s="2" t="s">
        <v>166</v>
      </c>
      <c r="D71" s="8" t="s">
        <v>162</v>
      </c>
      <c r="E71" s="417">
        <v>377895.16666666698</v>
      </c>
      <c r="F71" s="70">
        <f t="shared" si="7"/>
        <v>30231.6133333334</v>
      </c>
      <c r="G71" s="11"/>
    </row>
    <row r="72" spans="1:7" ht="21.6" customHeight="1" x14ac:dyDescent="0.2">
      <c r="A72" s="8">
        <v>11</v>
      </c>
      <c r="B72" s="9" t="s">
        <v>168</v>
      </c>
      <c r="C72" s="2" t="s">
        <v>139</v>
      </c>
      <c r="D72" s="8" t="s">
        <v>76</v>
      </c>
      <c r="E72" s="186">
        <v>300965.58333333302</v>
      </c>
      <c r="F72" s="70">
        <f t="shared" si="7"/>
        <v>24077.246666666601</v>
      </c>
    </row>
    <row r="73" spans="1:7" ht="27" customHeight="1" x14ac:dyDescent="0.5">
      <c r="A73" s="8"/>
      <c r="B73" s="18" t="s">
        <v>111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 x14ac:dyDescent="0.2">
      <c r="A74" s="8"/>
      <c r="B74" s="20"/>
      <c r="C74" s="19"/>
      <c r="D74" s="19"/>
      <c r="E74" s="122"/>
      <c r="F74" s="122"/>
      <c r="G74" s="11"/>
    </row>
    <row r="75" spans="1:7" ht="20.100000000000001" customHeight="1" x14ac:dyDescent="0.2">
      <c r="A75" s="8"/>
      <c r="B75" s="18" t="s">
        <v>169</v>
      </c>
      <c r="C75" s="19"/>
      <c r="D75" s="19"/>
      <c r="E75" s="122"/>
      <c r="F75" s="122"/>
      <c r="G75" s="11"/>
    </row>
    <row r="76" spans="1:7" ht="20.100000000000001" customHeight="1" x14ac:dyDescent="0.2">
      <c r="A76" s="8">
        <v>1</v>
      </c>
      <c r="B76" s="9" t="s">
        <v>170</v>
      </c>
      <c r="C76" s="2" t="s">
        <v>171</v>
      </c>
      <c r="D76" s="8" t="s">
        <v>115</v>
      </c>
      <c r="E76" s="70">
        <v>1435720</v>
      </c>
      <c r="F76" s="70">
        <f>E76*0.08</f>
        <v>114857.60000000001</v>
      </c>
      <c r="G76" s="11"/>
    </row>
    <row r="77" spans="1:7" ht="20.100000000000001" customHeight="1" x14ac:dyDescent="0.2">
      <c r="A77" s="8">
        <v>2</v>
      </c>
      <c r="B77" s="12" t="s">
        <v>547</v>
      </c>
      <c r="C77" s="2" t="s">
        <v>548</v>
      </c>
      <c r="D77" s="13" t="s">
        <v>549</v>
      </c>
      <c r="E77" s="70">
        <v>601396.83333333302</v>
      </c>
      <c r="F77" s="70"/>
      <c r="G77" s="11"/>
    </row>
    <row r="78" spans="1:7" ht="20.100000000000001" customHeight="1" x14ac:dyDescent="0.2">
      <c r="A78" s="8">
        <v>3</v>
      </c>
      <c r="B78" s="16" t="s">
        <v>550</v>
      </c>
      <c r="C78" s="10" t="s">
        <v>551</v>
      </c>
      <c r="D78" s="8" t="s">
        <v>150</v>
      </c>
      <c r="E78" s="70">
        <v>620675.58333333302</v>
      </c>
      <c r="F78" s="70"/>
      <c r="G78" s="11"/>
    </row>
    <row r="79" spans="1:7" ht="20.100000000000001" customHeight="1" x14ac:dyDescent="0.2">
      <c r="A79" s="8">
        <v>4</v>
      </c>
      <c r="B79" s="9" t="s">
        <v>174</v>
      </c>
      <c r="C79" s="2" t="s">
        <v>175</v>
      </c>
      <c r="D79" s="13" t="s">
        <v>46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 x14ac:dyDescent="0.2">
      <c r="A80" s="8">
        <v>5</v>
      </c>
      <c r="B80" s="9" t="s">
        <v>181</v>
      </c>
      <c r="C80" s="2" t="s">
        <v>184</v>
      </c>
      <c r="D80" s="8" t="s">
        <v>119</v>
      </c>
      <c r="E80" s="70">
        <v>308901.5</v>
      </c>
      <c r="F80" s="70">
        <f t="shared" si="9"/>
        <v>24712.12</v>
      </c>
      <c r="G80" s="11"/>
    </row>
    <row r="81" spans="1:7" ht="20.100000000000001" customHeight="1" x14ac:dyDescent="0.2">
      <c r="A81" s="8">
        <v>6</v>
      </c>
      <c r="B81" s="9" t="s">
        <v>183</v>
      </c>
      <c r="C81" s="2" t="s">
        <v>184</v>
      </c>
      <c r="D81" s="8" t="s">
        <v>87</v>
      </c>
      <c r="E81" s="70">
        <v>263165.33333333302</v>
      </c>
      <c r="F81" s="70">
        <f t="shared" si="9"/>
        <v>21053.2266666666</v>
      </c>
      <c r="G81" s="11"/>
    </row>
    <row r="82" spans="1:7" ht="20.100000000000001" customHeight="1" x14ac:dyDescent="0.2">
      <c r="A82" s="8">
        <v>7</v>
      </c>
      <c r="B82" s="9" t="s">
        <v>185</v>
      </c>
      <c r="C82" s="2" t="s">
        <v>186</v>
      </c>
      <c r="D82" s="8" t="s">
        <v>105</v>
      </c>
      <c r="E82" s="70">
        <v>224459.75</v>
      </c>
      <c r="F82" s="70">
        <f t="shared" si="9"/>
        <v>17956.78</v>
      </c>
      <c r="G82" s="11"/>
    </row>
    <row r="83" spans="1:7" ht="20.100000000000001" customHeight="1" x14ac:dyDescent="0.5">
      <c r="A83" s="8"/>
      <c r="B83" s="18" t="s">
        <v>111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 x14ac:dyDescent="0.2">
      <c r="A84" s="8"/>
      <c r="B84" s="18"/>
      <c r="C84" s="19"/>
      <c r="D84" s="19"/>
      <c r="E84" s="122"/>
      <c r="F84" s="122"/>
      <c r="G84" s="11"/>
    </row>
    <row r="85" spans="1:7" ht="20.100000000000001" customHeight="1" x14ac:dyDescent="0.2">
      <c r="A85" s="8"/>
      <c r="B85" s="18" t="s">
        <v>187</v>
      </c>
      <c r="C85" s="23"/>
      <c r="D85" s="19"/>
      <c r="E85" s="122"/>
      <c r="F85" s="122"/>
      <c r="G85" s="11"/>
    </row>
    <row r="86" spans="1:7" ht="20.100000000000001" customHeight="1" x14ac:dyDescent="0.2">
      <c r="A86" s="8">
        <v>1</v>
      </c>
      <c r="B86" s="9" t="s">
        <v>190</v>
      </c>
      <c r="C86" s="2" t="s">
        <v>130</v>
      </c>
      <c r="D86" s="8" t="s">
        <v>131</v>
      </c>
      <c r="E86" s="70">
        <v>620675.58333333302</v>
      </c>
      <c r="F86" s="70">
        <f>E86*0.08</f>
        <v>49654.046666666603</v>
      </c>
      <c r="G86" s="11"/>
    </row>
    <row r="87" spans="1:7" ht="20.100000000000001" customHeight="1" x14ac:dyDescent="0.2">
      <c r="A87" s="8">
        <v>2</v>
      </c>
      <c r="B87" s="9" t="s">
        <v>188</v>
      </c>
      <c r="C87" s="2" t="s">
        <v>130</v>
      </c>
      <c r="D87" s="8" t="s">
        <v>131</v>
      </c>
      <c r="E87" s="70">
        <v>620675.58333333302</v>
      </c>
      <c r="F87" s="70">
        <f t="shared" ref="F87:F95" si="11">E87*0.08</f>
        <v>49654.046666666603</v>
      </c>
      <c r="G87" s="11"/>
    </row>
    <row r="88" spans="1:7" ht="20.100000000000001" customHeight="1" x14ac:dyDescent="0.2">
      <c r="A88" s="8">
        <v>3</v>
      </c>
      <c r="B88" s="9" t="s">
        <v>193</v>
      </c>
      <c r="C88" s="2" t="s">
        <v>130</v>
      </c>
      <c r="D88" s="8" t="s">
        <v>49</v>
      </c>
      <c r="E88" s="70">
        <v>582118.08333333302</v>
      </c>
      <c r="F88" s="70">
        <f t="shared" si="11"/>
        <v>46569.446666666598</v>
      </c>
      <c r="G88" s="11"/>
    </row>
    <row r="89" spans="1:7" ht="21.6" customHeight="1" x14ac:dyDescent="0.2">
      <c r="A89" s="8">
        <v>4</v>
      </c>
      <c r="B89" s="9" t="s">
        <v>194</v>
      </c>
      <c r="C89" s="2" t="s">
        <v>552</v>
      </c>
      <c r="D89" s="13" t="s">
        <v>52</v>
      </c>
      <c r="E89" s="70">
        <v>441804.91666666698</v>
      </c>
      <c r="F89" s="70">
        <f t="shared" si="11"/>
        <v>35344.393333333399</v>
      </c>
      <c r="G89" s="11"/>
    </row>
    <row r="90" spans="1:7" ht="21.6" customHeight="1" x14ac:dyDescent="0.2">
      <c r="A90" s="8">
        <v>5</v>
      </c>
      <c r="B90" s="9" t="s">
        <v>195</v>
      </c>
      <c r="C90" s="10" t="s">
        <v>158</v>
      </c>
      <c r="D90" s="13" t="s">
        <v>534</v>
      </c>
      <c r="E90" s="70">
        <v>428915.91666666698</v>
      </c>
      <c r="F90" s="70">
        <f t="shared" si="11"/>
        <v>34313.273333333404</v>
      </c>
      <c r="G90" s="11"/>
    </row>
    <row r="91" spans="1:7" ht="21.6" customHeight="1" x14ac:dyDescent="0.2">
      <c r="A91" s="8">
        <v>6</v>
      </c>
      <c r="B91" s="9" t="s">
        <v>196</v>
      </c>
      <c r="C91" s="10" t="s">
        <v>156</v>
      </c>
      <c r="D91" s="13" t="s">
        <v>229</v>
      </c>
      <c r="E91" s="70">
        <v>428870.75</v>
      </c>
      <c r="F91" s="70">
        <f t="shared" si="11"/>
        <v>34309.660000000003</v>
      </c>
      <c r="G91" s="11"/>
    </row>
    <row r="92" spans="1:7" ht="21.6" customHeight="1" x14ac:dyDescent="0.2">
      <c r="A92" s="8">
        <v>7</v>
      </c>
      <c r="B92" s="9" t="s">
        <v>198</v>
      </c>
      <c r="C92" s="15" t="s">
        <v>70</v>
      </c>
      <c r="D92" s="13" t="s">
        <v>68</v>
      </c>
      <c r="E92" s="70">
        <v>365703.83333333302</v>
      </c>
      <c r="F92" s="70">
        <f t="shared" si="11"/>
        <v>29256.306666666602</v>
      </c>
      <c r="G92" s="11"/>
    </row>
    <row r="93" spans="1:7" ht="21.6" customHeight="1" x14ac:dyDescent="0.2">
      <c r="A93" s="8">
        <v>8</v>
      </c>
      <c r="B93" s="9" t="s">
        <v>199</v>
      </c>
      <c r="C93" s="15" t="s">
        <v>158</v>
      </c>
      <c r="D93" s="13" t="s">
        <v>159</v>
      </c>
      <c r="E93" s="70">
        <v>390248.91666666698</v>
      </c>
      <c r="F93" s="70">
        <f t="shared" si="11"/>
        <v>31219.913333333399</v>
      </c>
      <c r="G93" s="11"/>
    </row>
    <row r="94" spans="1:7" ht="21.6" customHeight="1" x14ac:dyDescent="0.2">
      <c r="A94" s="8">
        <v>9</v>
      </c>
      <c r="B94" s="9" t="s">
        <v>202</v>
      </c>
      <c r="C94" s="2" t="s">
        <v>203</v>
      </c>
      <c r="D94" s="8" t="s">
        <v>76</v>
      </c>
      <c r="E94" s="186">
        <v>300965.58333333302</v>
      </c>
      <c r="F94" s="70">
        <f t="shared" si="11"/>
        <v>24077.246666666601</v>
      </c>
      <c r="G94" s="11"/>
    </row>
    <row r="95" spans="1:7" ht="21.6" customHeight="1" x14ac:dyDescent="0.2">
      <c r="A95" s="8">
        <v>10</v>
      </c>
      <c r="B95" s="9" t="s">
        <v>204</v>
      </c>
      <c r="C95" s="15" t="s">
        <v>205</v>
      </c>
      <c r="D95" s="13" t="s">
        <v>102</v>
      </c>
      <c r="E95" s="186">
        <v>230631.91666666701</v>
      </c>
      <c r="F95" s="70">
        <f t="shared" si="11"/>
        <v>18450.553333333399</v>
      </c>
      <c r="G95" s="11"/>
    </row>
    <row r="96" spans="1:7" ht="20.100000000000001" customHeight="1" x14ac:dyDescent="0.5">
      <c r="A96" s="8"/>
      <c r="B96" s="18" t="s">
        <v>111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 x14ac:dyDescent="0.2">
      <c r="A97" s="8"/>
      <c r="B97" s="20"/>
      <c r="C97" s="19"/>
      <c r="D97" s="19"/>
      <c r="E97" s="122"/>
      <c r="F97" s="122"/>
      <c r="G97" s="11"/>
    </row>
    <row r="98" spans="1:7" ht="20.100000000000001" customHeight="1" x14ac:dyDescent="0.2">
      <c r="A98" s="8"/>
      <c r="B98" s="18" t="s">
        <v>207</v>
      </c>
      <c r="C98" s="19"/>
      <c r="D98" s="19"/>
      <c r="E98" s="122"/>
      <c r="F98" s="122"/>
      <c r="G98" s="11"/>
    </row>
    <row r="99" spans="1:7" ht="20.100000000000001" customHeight="1" x14ac:dyDescent="0.2">
      <c r="A99" s="8">
        <v>1</v>
      </c>
      <c r="B99" s="12" t="s">
        <v>208</v>
      </c>
      <c r="C99" s="2" t="s">
        <v>209</v>
      </c>
      <c r="D99" s="14" t="s">
        <v>154</v>
      </c>
      <c r="E99" s="70">
        <v>762373.16666666698</v>
      </c>
      <c r="F99" s="70">
        <f>E99*0.08</f>
        <v>60989.853333333398</v>
      </c>
      <c r="G99" s="11"/>
    </row>
    <row r="100" spans="1:7" ht="20.100000000000001" customHeight="1" x14ac:dyDescent="0.2">
      <c r="A100" s="8">
        <v>2</v>
      </c>
      <c r="B100" s="9" t="s">
        <v>211</v>
      </c>
      <c r="C100" s="2" t="s">
        <v>212</v>
      </c>
      <c r="D100" s="13" t="s">
        <v>46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 x14ac:dyDescent="0.2">
      <c r="A101" s="8">
        <v>3</v>
      </c>
      <c r="B101" s="9" t="s">
        <v>217</v>
      </c>
      <c r="C101" s="2" t="s">
        <v>218</v>
      </c>
      <c r="D101" s="13" t="s">
        <v>162</v>
      </c>
      <c r="E101" s="70">
        <v>377895.16666666698</v>
      </c>
      <c r="F101" s="70">
        <f t="shared" si="13"/>
        <v>30231.6133333334</v>
      </c>
      <c r="G101" s="11"/>
    </row>
    <row r="102" spans="1:7" ht="20.100000000000001" customHeight="1" x14ac:dyDescent="0.2">
      <c r="A102" s="8">
        <v>4</v>
      </c>
      <c r="B102" s="9" t="s">
        <v>219</v>
      </c>
      <c r="C102" s="2" t="s">
        <v>220</v>
      </c>
      <c r="D102" s="13" t="s">
        <v>76</v>
      </c>
      <c r="E102" s="186">
        <v>300965.58333333302</v>
      </c>
      <c r="F102" s="70">
        <f t="shared" si="13"/>
        <v>24077.246666666601</v>
      </c>
      <c r="G102" s="11"/>
    </row>
    <row r="103" spans="1:7" ht="20.100000000000001" customHeight="1" x14ac:dyDescent="0.5">
      <c r="A103" s="2"/>
      <c r="B103" s="18" t="s">
        <v>111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 x14ac:dyDescent="0.2">
      <c r="A104" s="2"/>
      <c r="B104" s="20"/>
      <c r="C104" s="19"/>
      <c r="D104" s="24"/>
      <c r="E104" s="122"/>
      <c r="F104" s="122"/>
      <c r="G104" s="11"/>
    </row>
    <row r="105" spans="1:7" ht="20.100000000000001" customHeight="1" x14ac:dyDescent="0.2">
      <c r="A105" s="2"/>
      <c r="B105" s="18" t="s">
        <v>221</v>
      </c>
      <c r="C105" s="2"/>
      <c r="D105" s="2"/>
      <c r="E105" s="2"/>
      <c r="F105" s="2"/>
      <c r="G105" s="11"/>
    </row>
    <row r="106" spans="1:7" ht="20.100000000000001" customHeight="1" x14ac:dyDescent="0.2">
      <c r="A106" s="2">
        <v>1</v>
      </c>
      <c r="B106" s="9" t="s">
        <v>222</v>
      </c>
      <c r="C106" s="10" t="s">
        <v>223</v>
      </c>
      <c r="D106" s="13" t="s">
        <v>115</v>
      </c>
      <c r="E106" s="70">
        <v>1435720</v>
      </c>
      <c r="F106" s="70">
        <f>E106*0.08</f>
        <v>114857.60000000001</v>
      </c>
      <c r="G106" s="11"/>
    </row>
    <row r="107" spans="1:7" ht="20.100000000000001" customHeight="1" x14ac:dyDescent="0.2">
      <c r="A107" s="2">
        <v>2</v>
      </c>
      <c r="B107" s="9" t="s">
        <v>224</v>
      </c>
      <c r="C107" s="2" t="s">
        <v>225</v>
      </c>
      <c r="D107" s="14" t="s">
        <v>154</v>
      </c>
      <c r="E107" s="70">
        <v>762373.16666666698</v>
      </c>
      <c r="F107" s="70">
        <f t="shared" ref="F107:F112" si="15">E107*0.08</f>
        <v>60989.853333333398</v>
      </c>
      <c r="G107" s="11"/>
    </row>
    <row r="108" spans="1:7" ht="20.100000000000001" customHeight="1" x14ac:dyDescent="0.2">
      <c r="A108" s="2">
        <v>3</v>
      </c>
      <c r="B108" s="9" t="s">
        <v>226</v>
      </c>
      <c r="C108" s="2" t="s">
        <v>227</v>
      </c>
      <c r="D108" s="8" t="s">
        <v>52</v>
      </c>
      <c r="E108" s="70">
        <v>441804.91666666698</v>
      </c>
      <c r="F108" s="70">
        <f t="shared" si="15"/>
        <v>35344.393333333399</v>
      </c>
      <c r="G108" s="11"/>
    </row>
    <row r="109" spans="1:7" ht="20.100000000000001" customHeight="1" x14ac:dyDescent="0.2">
      <c r="A109" s="2">
        <v>4</v>
      </c>
      <c r="B109" s="9" t="s">
        <v>228</v>
      </c>
      <c r="C109" s="2" t="s">
        <v>227</v>
      </c>
      <c r="D109" s="8" t="s">
        <v>52</v>
      </c>
      <c r="E109" s="70">
        <v>441804.91666666698</v>
      </c>
      <c r="F109" s="70">
        <f t="shared" si="15"/>
        <v>35344.393333333399</v>
      </c>
      <c r="G109" s="11"/>
    </row>
    <row r="110" spans="1:7" ht="20.100000000000001" customHeight="1" x14ac:dyDescent="0.2">
      <c r="A110" s="2">
        <v>5</v>
      </c>
      <c r="B110" s="9" t="s">
        <v>230</v>
      </c>
      <c r="C110" s="2" t="s">
        <v>231</v>
      </c>
      <c r="D110" s="13" t="s">
        <v>553</v>
      </c>
      <c r="E110" s="186">
        <v>249148.41666666701</v>
      </c>
      <c r="F110" s="70">
        <f t="shared" si="15"/>
        <v>19931.873333333398</v>
      </c>
      <c r="G110" s="11"/>
    </row>
    <row r="111" spans="1:7" ht="20.100000000000001" customHeight="1" x14ac:dyDescent="0.2">
      <c r="A111" s="2">
        <v>6</v>
      </c>
      <c r="B111" s="16" t="s">
        <v>233</v>
      </c>
      <c r="C111" s="2" t="s">
        <v>231</v>
      </c>
      <c r="D111" s="8" t="s">
        <v>554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 x14ac:dyDescent="0.2">
      <c r="A112" s="2">
        <v>7</v>
      </c>
      <c r="B112" s="16" t="s">
        <v>234</v>
      </c>
      <c r="C112" s="2" t="s">
        <v>231</v>
      </c>
      <c r="D112" s="13" t="s">
        <v>102</v>
      </c>
      <c r="E112" s="186">
        <v>230631.91666666701</v>
      </c>
      <c r="F112" s="70">
        <f t="shared" si="15"/>
        <v>18450.553333333399</v>
      </c>
      <c r="G112" s="11"/>
    </row>
    <row r="113" spans="1:7" ht="25.5" customHeight="1" x14ac:dyDescent="0.5">
      <c r="A113" s="2"/>
      <c r="B113" s="18" t="s">
        <v>111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 x14ac:dyDescent="0.5">
      <c r="A114" s="2"/>
      <c r="B114" s="18"/>
      <c r="C114" s="19"/>
      <c r="D114" s="2"/>
      <c r="E114" s="189"/>
      <c r="F114" s="189"/>
      <c r="G114" s="11"/>
    </row>
    <row r="115" spans="1:7" ht="20.100000000000001" customHeight="1" x14ac:dyDescent="0.2">
      <c r="A115" s="8"/>
      <c r="B115" s="18" t="s">
        <v>235</v>
      </c>
      <c r="C115" s="19"/>
      <c r="D115" s="19"/>
      <c r="E115" s="122"/>
      <c r="F115" s="122"/>
      <c r="G115" s="11"/>
    </row>
    <row r="116" spans="1:7" ht="20.100000000000001" customHeight="1" x14ac:dyDescent="0.2">
      <c r="A116" s="8">
        <v>1</v>
      </c>
      <c r="B116" s="12" t="s">
        <v>152</v>
      </c>
      <c r="C116" s="2" t="s">
        <v>130</v>
      </c>
      <c r="D116" s="8" t="s">
        <v>38</v>
      </c>
      <c r="E116" s="70">
        <v>601396.83333333302</v>
      </c>
      <c r="F116" s="70">
        <f>E116*0.08</f>
        <v>48111.746666666601</v>
      </c>
      <c r="G116" s="11"/>
    </row>
    <row r="117" spans="1:7" ht="18.75" customHeight="1" x14ac:dyDescent="0.2">
      <c r="A117" s="8">
        <v>2</v>
      </c>
      <c r="B117" s="9" t="s">
        <v>236</v>
      </c>
      <c r="C117" s="2" t="s">
        <v>237</v>
      </c>
      <c r="D117" s="13" t="s">
        <v>162</v>
      </c>
      <c r="E117" s="70">
        <v>377895.16666666698</v>
      </c>
      <c r="F117" s="70">
        <f t="shared" ref="F117:F118" si="17">E117*0.08</f>
        <v>30231.6133333334</v>
      </c>
      <c r="G117" s="11"/>
    </row>
    <row r="118" spans="1:7" ht="20.100000000000001" customHeight="1" x14ac:dyDescent="0.2">
      <c r="A118" s="8">
        <v>3</v>
      </c>
      <c r="B118" s="9" t="s">
        <v>177</v>
      </c>
      <c r="C118" s="10" t="s">
        <v>555</v>
      </c>
      <c r="D118" s="13" t="s">
        <v>65</v>
      </c>
      <c r="E118" s="70">
        <v>390086.5</v>
      </c>
      <c r="F118" s="70">
        <f t="shared" si="17"/>
        <v>31206.92</v>
      </c>
      <c r="G118" s="11"/>
    </row>
    <row r="119" spans="1:7" ht="24.75" customHeight="1" x14ac:dyDescent="0.5">
      <c r="A119" s="2"/>
      <c r="B119" s="18" t="s">
        <v>111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 x14ac:dyDescent="0.2">
      <c r="A120" s="2"/>
      <c r="B120" s="20"/>
      <c r="C120" s="8"/>
      <c r="D120" s="2"/>
      <c r="E120" s="190"/>
      <c r="F120" s="7"/>
      <c r="G120" s="11"/>
    </row>
    <row r="121" spans="1:7" ht="20.100000000000001" customHeight="1" x14ac:dyDescent="0.2">
      <c r="A121" s="2"/>
      <c r="B121" s="18" t="s">
        <v>250</v>
      </c>
      <c r="C121" s="19"/>
      <c r="D121" s="19"/>
      <c r="E121" s="122"/>
      <c r="F121" s="122"/>
      <c r="G121" s="11"/>
    </row>
    <row r="122" spans="1:7" ht="20.100000000000001" customHeight="1" x14ac:dyDescent="0.2">
      <c r="A122" s="2">
        <v>1</v>
      </c>
      <c r="B122" s="9" t="s">
        <v>251</v>
      </c>
      <c r="C122" s="10" t="s">
        <v>252</v>
      </c>
      <c r="D122" s="13" t="s">
        <v>115</v>
      </c>
      <c r="E122" s="70">
        <v>1435720</v>
      </c>
      <c r="F122" s="70">
        <f>E122*0.08</f>
        <v>114857.60000000001</v>
      </c>
      <c r="G122" s="11"/>
    </row>
    <row r="123" spans="1:7" ht="20.100000000000001" customHeight="1" x14ac:dyDescent="0.2">
      <c r="A123" s="2">
        <v>2</v>
      </c>
      <c r="B123" s="9" t="s">
        <v>253</v>
      </c>
      <c r="C123" s="10" t="s">
        <v>254</v>
      </c>
      <c r="D123" s="13" t="s">
        <v>35</v>
      </c>
      <c r="E123" s="70">
        <v>739203.58333333302</v>
      </c>
      <c r="F123" s="70">
        <f t="shared" ref="F123:F131" si="19">E123*0.08</f>
        <v>59136.286666666601</v>
      </c>
      <c r="G123" s="11"/>
    </row>
    <row r="124" spans="1:7" ht="20.100000000000001" customHeight="1" x14ac:dyDescent="0.2">
      <c r="A124" s="2">
        <v>3</v>
      </c>
      <c r="B124" s="12" t="s">
        <v>255</v>
      </c>
      <c r="C124" s="10" t="s">
        <v>256</v>
      </c>
      <c r="D124" s="13" t="s">
        <v>131</v>
      </c>
      <c r="E124" s="70">
        <v>620675.58333333302</v>
      </c>
      <c r="F124" s="70">
        <f t="shared" si="19"/>
        <v>49654.046666666603</v>
      </c>
      <c r="G124" s="11"/>
    </row>
    <row r="125" spans="1:7" ht="20.100000000000001" customHeight="1" x14ac:dyDescent="0.2">
      <c r="A125" s="2">
        <v>4</v>
      </c>
      <c r="B125" s="12" t="s">
        <v>556</v>
      </c>
      <c r="C125" s="10" t="s">
        <v>256</v>
      </c>
      <c r="D125" s="13" t="s">
        <v>49</v>
      </c>
      <c r="E125" s="70">
        <v>582118.08333333302</v>
      </c>
      <c r="F125" s="70"/>
      <c r="G125" s="11"/>
    </row>
    <row r="126" spans="1:7" ht="20.100000000000001" customHeight="1" x14ac:dyDescent="0.2">
      <c r="A126" s="2">
        <v>5</v>
      </c>
      <c r="B126" s="9" t="s">
        <v>257</v>
      </c>
      <c r="C126" s="10" t="s">
        <v>258</v>
      </c>
      <c r="D126" s="13" t="s">
        <v>176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 x14ac:dyDescent="0.2">
      <c r="A127" s="2">
        <v>6</v>
      </c>
      <c r="B127" s="9" t="s">
        <v>259</v>
      </c>
      <c r="C127" s="10" t="s">
        <v>489</v>
      </c>
      <c r="D127" s="13" t="s">
        <v>197</v>
      </c>
      <c r="E127" s="70">
        <v>442746.5</v>
      </c>
      <c r="F127" s="70">
        <f t="shared" si="19"/>
        <v>35419.72</v>
      </c>
      <c r="G127" s="11"/>
    </row>
    <row r="128" spans="1:7" ht="20.100000000000001" customHeight="1" x14ac:dyDescent="0.2">
      <c r="A128" s="2">
        <v>7</v>
      </c>
      <c r="B128" s="9" t="s">
        <v>260</v>
      </c>
      <c r="C128" s="10" t="s">
        <v>258</v>
      </c>
      <c r="D128" s="13" t="s">
        <v>46</v>
      </c>
      <c r="E128" s="70">
        <v>456622.25</v>
      </c>
      <c r="F128" s="70">
        <f t="shared" si="19"/>
        <v>36529.78</v>
      </c>
      <c r="G128" s="11"/>
    </row>
    <row r="129" spans="1:7" ht="20.100000000000001" customHeight="1" x14ac:dyDescent="0.2">
      <c r="A129" s="2">
        <v>8</v>
      </c>
      <c r="B129" s="9" t="s">
        <v>263</v>
      </c>
      <c r="C129" s="10" t="s">
        <v>264</v>
      </c>
      <c r="D129" s="8" t="s">
        <v>84</v>
      </c>
      <c r="E129" s="70">
        <v>270481.66666666698</v>
      </c>
      <c r="F129" s="70">
        <f t="shared" si="19"/>
        <v>21638.533333333398</v>
      </c>
      <c r="G129" s="11"/>
    </row>
    <row r="130" spans="1:7" ht="20.100000000000001" customHeight="1" x14ac:dyDescent="0.2">
      <c r="A130" s="2">
        <v>9</v>
      </c>
      <c r="B130" s="16" t="s">
        <v>265</v>
      </c>
      <c r="C130" s="10" t="s">
        <v>266</v>
      </c>
      <c r="D130" s="13" t="s">
        <v>105</v>
      </c>
      <c r="E130" s="70">
        <v>224459.75</v>
      </c>
      <c r="F130" s="70">
        <f t="shared" si="19"/>
        <v>17956.78</v>
      </c>
      <c r="G130" s="11"/>
    </row>
    <row r="131" spans="1:7" ht="20.100000000000001" customHeight="1" x14ac:dyDescent="0.2">
      <c r="A131" s="2">
        <v>10</v>
      </c>
      <c r="B131" s="16" t="s">
        <v>267</v>
      </c>
      <c r="C131" s="10" t="s">
        <v>262</v>
      </c>
      <c r="D131" s="13" t="s">
        <v>105</v>
      </c>
      <c r="E131" s="70">
        <v>224459.75</v>
      </c>
      <c r="F131" s="70">
        <f t="shared" si="19"/>
        <v>17956.78</v>
      </c>
      <c r="G131" s="11"/>
    </row>
    <row r="132" spans="1:7" ht="28.5" customHeight="1" x14ac:dyDescent="0.2">
      <c r="A132" s="2"/>
      <c r="B132" s="18" t="s">
        <v>111</v>
      </c>
      <c r="C132" s="24" t="s">
        <v>490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 x14ac:dyDescent="0.2">
      <c r="A133" s="2"/>
      <c r="B133" s="20"/>
      <c r="C133" s="24"/>
      <c r="D133" s="13"/>
      <c r="E133" s="122"/>
      <c r="F133" s="122"/>
      <c r="G133" s="11"/>
    </row>
    <row r="134" spans="1:7" ht="20.100000000000001" customHeight="1" x14ac:dyDescent="0.2">
      <c r="A134" s="2"/>
      <c r="B134" s="18" t="s">
        <v>270</v>
      </c>
      <c r="C134" s="10"/>
      <c r="D134" s="13"/>
      <c r="E134" s="70"/>
      <c r="F134" s="70"/>
      <c r="G134" s="11"/>
    </row>
    <row r="135" spans="1:7" ht="20.100000000000001" customHeight="1" x14ac:dyDescent="0.2">
      <c r="A135" s="25">
        <v>1</v>
      </c>
      <c r="B135" s="9" t="s">
        <v>557</v>
      </c>
      <c r="C135" s="10" t="s">
        <v>558</v>
      </c>
      <c r="D135" s="13" t="s">
        <v>115</v>
      </c>
      <c r="E135" s="70">
        <v>1435720</v>
      </c>
      <c r="F135" s="70">
        <f>E135*0.08</f>
        <v>114857.60000000001</v>
      </c>
      <c r="G135" s="11"/>
    </row>
    <row r="136" spans="1:7" ht="20.100000000000001" customHeight="1" x14ac:dyDescent="0.2">
      <c r="A136" s="25">
        <v>2</v>
      </c>
      <c r="B136" s="9" t="s">
        <v>559</v>
      </c>
      <c r="C136" s="10" t="s">
        <v>560</v>
      </c>
      <c r="D136" s="13" t="s">
        <v>154</v>
      </c>
      <c r="E136" s="70">
        <v>762373.16666666698</v>
      </c>
      <c r="F136" s="70"/>
      <c r="G136" s="11"/>
    </row>
    <row r="137" spans="1:7" ht="20.100000000000001" customHeight="1" x14ac:dyDescent="0.2">
      <c r="A137" s="25">
        <v>3</v>
      </c>
      <c r="B137" s="12" t="s">
        <v>274</v>
      </c>
      <c r="C137" s="2" t="s">
        <v>275</v>
      </c>
      <c r="D137" s="14" t="s">
        <v>154</v>
      </c>
      <c r="E137" s="70">
        <v>762373.16666666698</v>
      </c>
      <c r="F137" s="70">
        <f t="shared" ref="F137:F193" si="21">E137*0.08</f>
        <v>60989.853333333398</v>
      </c>
      <c r="G137" s="11"/>
    </row>
    <row r="138" spans="1:7" ht="20.100000000000001" customHeight="1" x14ac:dyDescent="0.2">
      <c r="A138" s="25">
        <v>4</v>
      </c>
      <c r="B138" s="9" t="s">
        <v>276</v>
      </c>
      <c r="C138" s="10" t="s">
        <v>561</v>
      </c>
      <c r="D138" s="13" t="s">
        <v>41</v>
      </c>
      <c r="E138" s="70">
        <v>484373.75</v>
      </c>
      <c r="F138" s="70">
        <f t="shared" si="21"/>
        <v>38749.9</v>
      </c>
      <c r="G138" s="11"/>
    </row>
    <row r="139" spans="1:7" ht="20.100000000000001" customHeight="1" x14ac:dyDescent="0.2">
      <c r="A139" s="25">
        <v>5</v>
      </c>
      <c r="B139" s="9" t="s">
        <v>278</v>
      </c>
      <c r="C139" s="2" t="s">
        <v>562</v>
      </c>
      <c r="D139" s="13" t="s">
        <v>41</v>
      </c>
      <c r="E139" s="70">
        <v>484373.75</v>
      </c>
      <c r="F139" s="70">
        <f t="shared" si="21"/>
        <v>38749.9</v>
      </c>
      <c r="G139" s="11"/>
    </row>
    <row r="140" spans="1:7" ht="20.100000000000001" customHeight="1" x14ac:dyDescent="0.2">
      <c r="A140" s="25">
        <v>6</v>
      </c>
      <c r="B140" s="9" t="s">
        <v>280</v>
      </c>
      <c r="C140" s="2" t="s">
        <v>562</v>
      </c>
      <c r="D140" s="13" t="s">
        <v>41</v>
      </c>
      <c r="E140" s="70">
        <v>484373.75</v>
      </c>
      <c r="F140" s="70">
        <f t="shared" si="21"/>
        <v>38749.9</v>
      </c>
      <c r="G140" s="11"/>
    </row>
    <row r="141" spans="1:7" ht="20.100000000000001" customHeight="1" x14ac:dyDescent="0.2">
      <c r="A141" s="25">
        <v>7</v>
      </c>
      <c r="B141" s="9" t="s">
        <v>213</v>
      </c>
      <c r="C141" s="10" t="s">
        <v>563</v>
      </c>
      <c r="D141" s="13" t="s">
        <v>65</v>
      </c>
      <c r="E141" s="70">
        <v>390086.5</v>
      </c>
      <c r="F141" s="70">
        <f t="shared" si="21"/>
        <v>31206.92</v>
      </c>
      <c r="G141" s="11"/>
    </row>
    <row r="142" spans="1:7" ht="20.100000000000001" customHeight="1" x14ac:dyDescent="0.2">
      <c r="A142" s="25">
        <v>8</v>
      </c>
      <c r="B142" s="9" t="s">
        <v>281</v>
      </c>
      <c r="C142" s="10" t="s">
        <v>563</v>
      </c>
      <c r="D142" s="13" t="s">
        <v>65</v>
      </c>
      <c r="E142" s="70">
        <v>390086.5</v>
      </c>
      <c r="F142" s="70">
        <f t="shared" si="21"/>
        <v>31206.92</v>
      </c>
      <c r="G142" s="11"/>
    </row>
    <row r="143" spans="1:7" ht="20.100000000000001" customHeight="1" x14ac:dyDescent="0.2">
      <c r="A143" s="25">
        <v>9</v>
      </c>
      <c r="B143" s="9" t="s">
        <v>282</v>
      </c>
      <c r="C143" s="2" t="s">
        <v>564</v>
      </c>
      <c r="D143" s="13" t="s">
        <v>65</v>
      </c>
      <c r="E143" s="70">
        <v>390086.5</v>
      </c>
      <c r="F143" s="70">
        <f t="shared" si="21"/>
        <v>31206.92</v>
      </c>
      <c r="G143" s="11"/>
    </row>
    <row r="144" spans="1:7" ht="20.100000000000001" customHeight="1" x14ac:dyDescent="0.2">
      <c r="A144" s="25">
        <v>10</v>
      </c>
      <c r="B144" s="9" t="s">
        <v>284</v>
      </c>
      <c r="C144" s="10" t="s">
        <v>285</v>
      </c>
      <c r="D144" s="13" t="s">
        <v>162</v>
      </c>
      <c r="E144" s="70">
        <v>377895.16666666698</v>
      </c>
      <c r="F144" s="70">
        <f t="shared" si="21"/>
        <v>30231.6133333334</v>
      </c>
      <c r="G144" s="11"/>
    </row>
    <row r="145" spans="1:7" ht="20.100000000000001" customHeight="1" x14ac:dyDescent="0.2">
      <c r="A145" s="25">
        <v>11</v>
      </c>
      <c r="B145" s="9" t="s">
        <v>286</v>
      </c>
      <c r="C145" s="10" t="s">
        <v>287</v>
      </c>
      <c r="D145" s="13" t="s">
        <v>68</v>
      </c>
      <c r="E145" s="70">
        <v>365703.83333333302</v>
      </c>
      <c r="F145" s="70">
        <f t="shared" si="21"/>
        <v>29256.306666666602</v>
      </c>
      <c r="G145" s="11"/>
    </row>
    <row r="146" spans="1:7" ht="20.100000000000001" customHeight="1" x14ac:dyDescent="0.2">
      <c r="A146" s="25">
        <v>12</v>
      </c>
      <c r="B146" s="9" t="s">
        <v>60</v>
      </c>
      <c r="C146" s="10" t="s">
        <v>565</v>
      </c>
      <c r="D146" s="13" t="s">
        <v>65</v>
      </c>
      <c r="E146" s="70">
        <v>390086.5</v>
      </c>
      <c r="F146" s="70">
        <f t="shared" si="21"/>
        <v>31206.92</v>
      </c>
      <c r="G146" s="11"/>
    </row>
    <row r="147" spans="1:7" ht="20.100000000000001" customHeight="1" x14ac:dyDescent="0.2">
      <c r="A147" s="25">
        <v>13</v>
      </c>
      <c r="B147" s="16" t="s">
        <v>288</v>
      </c>
      <c r="C147" s="2" t="s">
        <v>289</v>
      </c>
      <c r="D147" s="13" t="s">
        <v>137</v>
      </c>
      <c r="E147" s="186">
        <v>353512.5</v>
      </c>
      <c r="F147" s="70">
        <f t="shared" si="21"/>
        <v>28281</v>
      </c>
      <c r="G147" s="11"/>
    </row>
    <row r="148" spans="1:7" ht="20.100000000000001" customHeight="1" x14ac:dyDescent="0.2">
      <c r="A148" s="25">
        <v>14</v>
      </c>
      <c r="B148" s="9" t="s">
        <v>290</v>
      </c>
      <c r="C148" s="2" t="s">
        <v>566</v>
      </c>
      <c r="D148" s="13" t="s">
        <v>119</v>
      </c>
      <c r="E148" s="186">
        <v>308901.5</v>
      </c>
      <c r="F148" s="70">
        <f t="shared" si="21"/>
        <v>24712.12</v>
      </c>
      <c r="G148" s="11"/>
    </row>
    <row r="149" spans="1:7" ht="20.100000000000001" customHeight="1" x14ac:dyDescent="0.2">
      <c r="A149" s="25">
        <v>15</v>
      </c>
      <c r="B149" s="9" t="s">
        <v>291</v>
      </c>
      <c r="C149" s="2" t="s">
        <v>566</v>
      </c>
      <c r="D149" s="13" t="s">
        <v>300</v>
      </c>
      <c r="E149" s="186">
        <v>316837.41666666698</v>
      </c>
      <c r="F149" s="70">
        <f t="shared" si="21"/>
        <v>25346.993333333401</v>
      </c>
      <c r="G149" s="11"/>
    </row>
    <row r="150" spans="1:7" ht="20.100000000000001" customHeight="1" x14ac:dyDescent="0.2">
      <c r="A150" s="25">
        <v>16</v>
      </c>
      <c r="B150" s="9" t="s">
        <v>293</v>
      </c>
      <c r="C150" s="2" t="s">
        <v>566</v>
      </c>
      <c r="D150" s="13" t="s">
        <v>300</v>
      </c>
      <c r="E150" s="186">
        <v>316837.41666666698</v>
      </c>
      <c r="F150" s="70">
        <f t="shared" si="21"/>
        <v>25346.993333333401</v>
      </c>
      <c r="G150" s="11"/>
    </row>
    <row r="151" spans="1:7" ht="20.100000000000001" customHeight="1" x14ac:dyDescent="0.2">
      <c r="A151" s="25">
        <v>17</v>
      </c>
      <c r="B151" s="9" t="s">
        <v>294</v>
      </c>
      <c r="C151" s="10" t="s">
        <v>295</v>
      </c>
      <c r="D151" s="13" t="s">
        <v>76</v>
      </c>
      <c r="E151" s="186">
        <v>300965.58333333302</v>
      </c>
      <c r="F151" s="70">
        <f t="shared" si="21"/>
        <v>24077.246666666601</v>
      </c>
      <c r="G151" s="11"/>
    </row>
    <row r="152" spans="1:7" ht="20.100000000000001" customHeight="1" x14ac:dyDescent="0.2">
      <c r="A152" s="25">
        <v>18</v>
      </c>
      <c r="B152" s="9" t="s">
        <v>296</v>
      </c>
      <c r="C152" s="10" t="s">
        <v>297</v>
      </c>
      <c r="D152" s="8" t="s">
        <v>87</v>
      </c>
      <c r="E152" s="70">
        <v>263165.33333333302</v>
      </c>
      <c r="F152" s="70">
        <f t="shared" si="21"/>
        <v>21053.2266666666</v>
      </c>
      <c r="G152" s="11"/>
    </row>
    <row r="153" spans="1:7" ht="20.100000000000001" customHeight="1" x14ac:dyDescent="0.2">
      <c r="A153" s="25">
        <v>19</v>
      </c>
      <c r="B153" s="9" t="s">
        <v>298</v>
      </c>
      <c r="C153" s="10" t="s">
        <v>299</v>
      </c>
      <c r="D153" s="13" t="s">
        <v>119</v>
      </c>
      <c r="E153" s="186">
        <v>308901.5</v>
      </c>
      <c r="F153" s="70">
        <f t="shared" si="21"/>
        <v>24712.12</v>
      </c>
      <c r="G153" s="11"/>
    </row>
    <row r="154" spans="1:7" ht="20.100000000000001" customHeight="1" x14ac:dyDescent="0.2">
      <c r="A154" s="25">
        <v>20</v>
      </c>
      <c r="B154" s="9" t="s">
        <v>301</v>
      </c>
      <c r="C154" s="10" t="s">
        <v>302</v>
      </c>
      <c r="D154" s="13" t="s">
        <v>84</v>
      </c>
      <c r="E154" s="186">
        <v>270481.66666666698</v>
      </c>
      <c r="F154" s="70">
        <f t="shared" si="21"/>
        <v>21638.533333333398</v>
      </c>
      <c r="G154" s="11"/>
    </row>
    <row r="155" spans="1:7" ht="20.100000000000001" customHeight="1" x14ac:dyDescent="0.2">
      <c r="A155" s="25">
        <v>21</v>
      </c>
      <c r="B155" s="9" t="s">
        <v>303</v>
      </c>
      <c r="C155" s="10" t="s">
        <v>304</v>
      </c>
      <c r="D155" s="13" t="s">
        <v>119</v>
      </c>
      <c r="E155" s="186">
        <v>308901.5</v>
      </c>
      <c r="F155" s="70">
        <f t="shared" si="21"/>
        <v>24712.12</v>
      </c>
      <c r="G155" s="11"/>
    </row>
    <row r="156" spans="1:7" ht="20.100000000000001" customHeight="1" x14ac:dyDescent="0.2">
      <c r="A156" s="25">
        <v>22</v>
      </c>
      <c r="B156" s="9" t="s">
        <v>305</v>
      </c>
      <c r="C156" s="10" t="s">
        <v>306</v>
      </c>
      <c r="D156" s="13" t="s">
        <v>84</v>
      </c>
      <c r="E156" s="186">
        <v>270481.66666666698</v>
      </c>
      <c r="F156" s="70">
        <f t="shared" si="21"/>
        <v>21638.533333333398</v>
      </c>
      <c r="G156" s="11"/>
    </row>
    <row r="157" spans="1:7" ht="20.100000000000001" customHeight="1" x14ac:dyDescent="0.2">
      <c r="A157" s="25">
        <v>23</v>
      </c>
      <c r="B157" s="16" t="s">
        <v>307</v>
      </c>
      <c r="C157" s="10" t="s">
        <v>308</v>
      </c>
      <c r="D157" s="13" t="s">
        <v>96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 x14ac:dyDescent="0.2">
      <c r="A158" s="25">
        <v>24</v>
      </c>
      <c r="B158" s="16" t="s">
        <v>312</v>
      </c>
      <c r="C158" s="10" t="s">
        <v>313</v>
      </c>
      <c r="D158" s="13" t="s">
        <v>105</v>
      </c>
      <c r="E158" s="70">
        <v>224459.75</v>
      </c>
      <c r="F158" s="70">
        <f t="shared" si="21"/>
        <v>17956.78</v>
      </c>
      <c r="G158" s="11"/>
    </row>
    <row r="159" spans="1:7" ht="20.100000000000001" customHeight="1" x14ac:dyDescent="0.2">
      <c r="A159" s="25">
        <v>25</v>
      </c>
      <c r="B159" s="16" t="s">
        <v>314</v>
      </c>
      <c r="C159" s="10" t="s">
        <v>315</v>
      </c>
      <c r="D159" s="13" t="s">
        <v>105</v>
      </c>
      <c r="E159" s="70">
        <v>224459.75</v>
      </c>
      <c r="F159" s="70">
        <f t="shared" si="21"/>
        <v>17956.78</v>
      </c>
      <c r="G159" s="11"/>
    </row>
    <row r="160" spans="1:7" ht="20.100000000000001" customHeight="1" x14ac:dyDescent="0.2">
      <c r="A160" s="25">
        <v>26</v>
      </c>
      <c r="B160" s="16" t="s">
        <v>316</v>
      </c>
      <c r="C160" s="10" t="s">
        <v>317</v>
      </c>
      <c r="D160" s="13" t="s">
        <v>105</v>
      </c>
      <c r="E160" s="70">
        <v>224459.75</v>
      </c>
      <c r="F160" s="70">
        <f t="shared" si="21"/>
        <v>17956.78</v>
      </c>
      <c r="G160" s="11"/>
    </row>
    <row r="161" spans="1:7" ht="20.100000000000001" customHeight="1" x14ac:dyDescent="0.2">
      <c r="A161" s="25">
        <v>27</v>
      </c>
      <c r="B161" s="16" t="s">
        <v>318</v>
      </c>
      <c r="C161" s="10" t="s">
        <v>319</v>
      </c>
      <c r="D161" s="13" t="s">
        <v>102</v>
      </c>
      <c r="E161" s="70">
        <v>230631.91666666701</v>
      </c>
      <c r="F161" s="70">
        <f t="shared" si="21"/>
        <v>18450.553333333399</v>
      </c>
      <c r="G161" s="11"/>
    </row>
    <row r="162" spans="1:7" ht="20.100000000000001" customHeight="1" x14ac:dyDescent="0.2">
      <c r="A162" s="25">
        <v>28</v>
      </c>
      <c r="B162" s="16" t="s">
        <v>320</v>
      </c>
      <c r="C162" s="10" t="s">
        <v>315</v>
      </c>
      <c r="D162" s="13" t="s">
        <v>105</v>
      </c>
      <c r="E162" s="70">
        <v>224459.75</v>
      </c>
      <c r="F162" s="70">
        <f t="shared" si="21"/>
        <v>17956.78</v>
      </c>
      <c r="G162" s="11"/>
    </row>
    <row r="163" spans="1:7" ht="20.100000000000001" customHeight="1" x14ac:dyDescent="0.2">
      <c r="A163" s="25">
        <v>29</v>
      </c>
      <c r="B163" s="9" t="s">
        <v>329</v>
      </c>
      <c r="C163" s="10" t="s">
        <v>330</v>
      </c>
      <c r="D163" s="13" t="s">
        <v>337</v>
      </c>
      <c r="E163" s="192">
        <v>168598.16666666701</v>
      </c>
      <c r="F163" s="70">
        <f t="shared" si="21"/>
        <v>13487.8533333334</v>
      </c>
      <c r="G163" s="11"/>
    </row>
    <row r="164" spans="1:7" ht="20.100000000000001" customHeight="1" x14ac:dyDescent="0.2">
      <c r="A164" s="25">
        <v>30</v>
      </c>
      <c r="B164" s="9" t="s">
        <v>332</v>
      </c>
      <c r="C164" s="10" t="s">
        <v>330</v>
      </c>
      <c r="D164" s="13" t="s">
        <v>337</v>
      </c>
      <c r="E164" s="192">
        <v>168598.16666666701</v>
      </c>
      <c r="F164" s="70">
        <f t="shared" si="21"/>
        <v>13487.8533333334</v>
      </c>
      <c r="G164" s="11"/>
    </row>
    <row r="165" spans="1:7" ht="20.100000000000001" customHeight="1" x14ac:dyDescent="0.2">
      <c r="A165" s="25">
        <v>31</v>
      </c>
      <c r="B165" s="9" t="s">
        <v>333</v>
      </c>
      <c r="C165" s="10" t="s">
        <v>330</v>
      </c>
      <c r="D165" s="13" t="s">
        <v>337</v>
      </c>
      <c r="E165" s="192">
        <v>168598.16666666701</v>
      </c>
      <c r="F165" s="70">
        <f t="shared" si="21"/>
        <v>13487.8533333334</v>
      </c>
      <c r="G165" s="11"/>
    </row>
    <row r="166" spans="1:7" ht="20.100000000000001" customHeight="1" x14ac:dyDescent="0.2">
      <c r="A166" s="25">
        <v>32</v>
      </c>
      <c r="B166" s="9" t="s">
        <v>334</v>
      </c>
      <c r="C166" s="10" t="s">
        <v>330</v>
      </c>
      <c r="D166" s="13" t="s">
        <v>337</v>
      </c>
      <c r="E166" s="192">
        <v>168598.16666666701</v>
      </c>
      <c r="F166" s="70">
        <f t="shared" si="21"/>
        <v>13487.8533333334</v>
      </c>
      <c r="G166" s="11"/>
    </row>
    <row r="167" spans="1:7" ht="20.100000000000001" customHeight="1" x14ac:dyDescent="0.2">
      <c r="A167" s="25">
        <v>33</v>
      </c>
      <c r="B167" s="9" t="s">
        <v>335</v>
      </c>
      <c r="C167" s="10" t="s">
        <v>330</v>
      </c>
      <c r="D167" s="13" t="s">
        <v>337</v>
      </c>
      <c r="E167" s="192">
        <v>168598.16666666701</v>
      </c>
      <c r="F167" s="70">
        <f t="shared" si="21"/>
        <v>13487.8533333334</v>
      </c>
      <c r="G167" s="11"/>
    </row>
    <row r="168" spans="1:7" ht="20.100000000000001" customHeight="1" x14ac:dyDescent="0.2">
      <c r="A168" s="25">
        <v>34</v>
      </c>
      <c r="B168" s="9" t="s">
        <v>336</v>
      </c>
      <c r="C168" s="10" t="s">
        <v>330</v>
      </c>
      <c r="D168" s="13" t="s">
        <v>348</v>
      </c>
      <c r="E168" s="192">
        <v>163336.83333333299</v>
      </c>
      <c r="F168" s="70">
        <f t="shared" si="21"/>
        <v>13066.946666666599</v>
      </c>
      <c r="G168" s="11"/>
    </row>
    <row r="169" spans="1:7" ht="20.100000000000001" customHeight="1" x14ac:dyDescent="0.2">
      <c r="A169" s="25">
        <v>35</v>
      </c>
      <c r="B169" s="9" t="s">
        <v>338</v>
      </c>
      <c r="C169" s="10" t="s">
        <v>330</v>
      </c>
      <c r="D169" s="13" t="s">
        <v>348</v>
      </c>
      <c r="E169" s="192">
        <v>163336.83333333299</v>
      </c>
      <c r="F169" s="70">
        <f t="shared" si="21"/>
        <v>13066.946666666599</v>
      </c>
      <c r="G169" s="11"/>
    </row>
    <row r="170" spans="1:7" ht="20.100000000000001" customHeight="1" x14ac:dyDescent="0.2">
      <c r="A170" s="25">
        <v>36</v>
      </c>
      <c r="B170" s="12" t="s">
        <v>339</v>
      </c>
      <c r="C170" s="10" t="s">
        <v>330</v>
      </c>
      <c r="D170" s="13" t="s">
        <v>348</v>
      </c>
      <c r="E170" s="192">
        <v>163336.83333333299</v>
      </c>
      <c r="F170" s="70">
        <f t="shared" si="21"/>
        <v>13066.946666666599</v>
      </c>
      <c r="G170" s="11"/>
    </row>
    <row r="171" spans="1:7" ht="20.100000000000001" customHeight="1" x14ac:dyDescent="0.2">
      <c r="A171" s="25">
        <v>37</v>
      </c>
      <c r="B171" s="9" t="s">
        <v>340</v>
      </c>
      <c r="C171" s="10" t="s">
        <v>330</v>
      </c>
      <c r="D171" s="13" t="s">
        <v>348</v>
      </c>
      <c r="E171" s="192">
        <v>163336.83333333299</v>
      </c>
      <c r="F171" s="70">
        <f t="shared" si="21"/>
        <v>13066.946666666599</v>
      </c>
      <c r="G171" s="11"/>
    </row>
    <row r="172" spans="1:7" ht="20.100000000000001" customHeight="1" x14ac:dyDescent="0.2">
      <c r="A172" s="25">
        <v>38</v>
      </c>
      <c r="B172" s="16" t="s">
        <v>341</v>
      </c>
      <c r="C172" s="10" t="s">
        <v>330</v>
      </c>
      <c r="D172" s="13" t="s">
        <v>348</v>
      </c>
      <c r="E172" s="192">
        <v>163336.83333333299</v>
      </c>
      <c r="F172" s="70">
        <f t="shared" si="21"/>
        <v>13066.946666666599</v>
      </c>
      <c r="G172" s="11"/>
    </row>
    <row r="173" spans="1:7" ht="20.100000000000001" customHeight="1" x14ac:dyDescent="0.2">
      <c r="A173" s="25">
        <v>39</v>
      </c>
      <c r="B173" s="16" t="s">
        <v>342</v>
      </c>
      <c r="C173" s="10" t="s">
        <v>330</v>
      </c>
      <c r="D173" s="13" t="s">
        <v>348</v>
      </c>
      <c r="E173" s="192">
        <v>163336.83333333299</v>
      </c>
      <c r="F173" s="70">
        <f t="shared" si="21"/>
        <v>13066.946666666599</v>
      </c>
      <c r="G173" s="11"/>
    </row>
    <row r="174" spans="1:7" ht="20.100000000000001" customHeight="1" x14ac:dyDescent="0.2">
      <c r="A174" s="25">
        <v>40</v>
      </c>
      <c r="B174" s="9" t="s">
        <v>343</v>
      </c>
      <c r="C174" s="10" t="s">
        <v>344</v>
      </c>
      <c r="D174" s="13" t="s">
        <v>351</v>
      </c>
      <c r="E174" s="70">
        <v>152814.16666666701</v>
      </c>
      <c r="F174" s="70">
        <f t="shared" si="21"/>
        <v>12225.133333333401</v>
      </c>
      <c r="G174" s="11"/>
    </row>
    <row r="175" spans="1:7" ht="20.100000000000001" customHeight="1" x14ac:dyDescent="0.2">
      <c r="A175" s="25">
        <v>41</v>
      </c>
      <c r="B175" s="9" t="s">
        <v>346</v>
      </c>
      <c r="C175" s="10" t="s">
        <v>344</v>
      </c>
      <c r="D175" s="13" t="s">
        <v>351</v>
      </c>
      <c r="E175" s="70">
        <v>152814.16666666701</v>
      </c>
      <c r="F175" s="70">
        <f t="shared" si="21"/>
        <v>12225.133333333401</v>
      </c>
      <c r="G175" s="11"/>
    </row>
    <row r="176" spans="1:7" ht="20.100000000000001" customHeight="1" x14ac:dyDescent="0.2">
      <c r="A176" s="25">
        <v>42</v>
      </c>
      <c r="B176" s="16" t="s">
        <v>347</v>
      </c>
      <c r="C176" s="10" t="s">
        <v>344</v>
      </c>
      <c r="D176" s="13" t="s">
        <v>345</v>
      </c>
      <c r="E176" s="70">
        <v>158075.5</v>
      </c>
      <c r="F176" s="70">
        <f t="shared" si="21"/>
        <v>12646.04</v>
      </c>
      <c r="G176" s="11"/>
    </row>
    <row r="177" spans="1:7" ht="20.100000000000001" customHeight="1" x14ac:dyDescent="0.2">
      <c r="A177" s="25">
        <v>43</v>
      </c>
      <c r="B177" s="9" t="s">
        <v>349</v>
      </c>
      <c r="C177" s="10" t="s">
        <v>350</v>
      </c>
      <c r="D177" s="13" t="s">
        <v>354</v>
      </c>
      <c r="E177" s="70">
        <v>94145.75</v>
      </c>
      <c r="F177" s="70">
        <f t="shared" si="21"/>
        <v>7531.66</v>
      </c>
      <c r="G177" s="11"/>
    </row>
    <row r="178" spans="1:7" ht="20.100000000000001" customHeight="1" x14ac:dyDescent="0.2">
      <c r="A178" s="25">
        <v>44</v>
      </c>
      <c r="B178" s="9" t="s">
        <v>352</v>
      </c>
      <c r="C178" s="10" t="s">
        <v>353</v>
      </c>
      <c r="D178" s="13" t="s">
        <v>364</v>
      </c>
      <c r="E178" s="70">
        <v>91598</v>
      </c>
      <c r="F178" s="70">
        <f t="shared" si="21"/>
        <v>7327.84</v>
      </c>
      <c r="G178" s="11"/>
    </row>
    <row r="179" spans="1:7" ht="20.100000000000001" customHeight="1" x14ac:dyDescent="0.2">
      <c r="A179" s="25">
        <v>45</v>
      </c>
      <c r="B179" s="9" t="s">
        <v>355</v>
      </c>
      <c r="C179" s="10" t="s">
        <v>353</v>
      </c>
      <c r="D179" s="13" t="s">
        <v>364</v>
      </c>
      <c r="E179" s="70">
        <v>91598</v>
      </c>
      <c r="F179" s="70">
        <f t="shared" si="21"/>
        <v>7327.84</v>
      </c>
      <c r="G179" s="11"/>
    </row>
    <row r="180" spans="1:7" ht="20.100000000000001" customHeight="1" x14ac:dyDescent="0.2">
      <c r="A180" s="25">
        <v>46</v>
      </c>
      <c r="B180" s="9" t="s">
        <v>356</v>
      </c>
      <c r="C180" s="10" t="s">
        <v>353</v>
      </c>
      <c r="D180" s="13" t="s">
        <v>364</v>
      </c>
      <c r="E180" s="70">
        <v>91598</v>
      </c>
      <c r="F180" s="70">
        <f t="shared" si="21"/>
        <v>7327.84</v>
      </c>
      <c r="G180" s="11"/>
    </row>
    <row r="181" spans="1:7" ht="20.100000000000001" customHeight="1" x14ac:dyDescent="0.2">
      <c r="A181" s="25">
        <v>47</v>
      </c>
      <c r="B181" s="9" t="s">
        <v>357</v>
      </c>
      <c r="C181" s="10" t="s">
        <v>353</v>
      </c>
      <c r="D181" s="13" t="s">
        <v>364</v>
      </c>
      <c r="E181" s="70">
        <v>91598</v>
      </c>
      <c r="F181" s="70">
        <f t="shared" si="21"/>
        <v>7327.84</v>
      </c>
      <c r="G181" s="11"/>
    </row>
    <row r="182" spans="1:7" ht="20.100000000000001" customHeight="1" x14ac:dyDescent="0.2">
      <c r="A182" s="25">
        <v>48</v>
      </c>
      <c r="B182" s="9" t="s">
        <v>358</v>
      </c>
      <c r="C182" s="10" t="s">
        <v>353</v>
      </c>
      <c r="D182" s="13" t="s">
        <v>364</v>
      </c>
      <c r="E182" s="70">
        <v>91598</v>
      </c>
      <c r="F182" s="70">
        <f t="shared" si="21"/>
        <v>7327.84</v>
      </c>
      <c r="G182" s="11"/>
    </row>
    <row r="183" spans="1:7" ht="20.100000000000001" customHeight="1" x14ac:dyDescent="0.2">
      <c r="A183" s="25">
        <v>49</v>
      </c>
      <c r="B183" s="16" t="s">
        <v>359</v>
      </c>
      <c r="C183" s="10" t="s">
        <v>353</v>
      </c>
      <c r="D183" s="13" t="s">
        <v>364</v>
      </c>
      <c r="E183" s="70">
        <v>91598</v>
      </c>
      <c r="F183" s="70">
        <f t="shared" si="21"/>
        <v>7327.84</v>
      </c>
      <c r="G183" s="11"/>
    </row>
    <row r="184" spans="1:7" ht="20.100000000000001" customHeight="1" x14ac:dyDescent="0.2">
      <c r="A184" s="25">
        <v>50</v>
      </c>
      <c r="B184" s="16" t="s">
        <v>360</v>
      </c>
      <c r="C184" s="10" t="s">
        <v>353</v>
      </c>
      <c r="D184" s="13" t="s">
        <v>364</v>
      </c>
      <c r="E184" s="70">
        <v>91598</v>
      </c>
      <c r="F184" s="70">
        <f t="shared" si="21"/>
        <v>7327.84</v>
      </c>
      <c r="G184" s="11"/>
    </row>
    <row r="185" spans="1:7" ht="20.100000000000001" customHeight="1" x14ac:dyDescent="0.2">
      <c r="A185" s="25">
        <v>51</v>
      </c>
      <c r="B185" s="9" t="s">
        <v>493</v>
      </c>
      <c r="C185" s="10" t="s">
        <v>350</v>
      </c>
      <c r="D185" s="13" t="s">
        <v>364</v>
      </c>
      <c r="E185" s="70">
        <v>91598</v>
      </c>
      <c r="F185" s="70">
        <f t="shared" si="21"/>
        <v>7327.84</v>
      </c>
      <c r="G185" s="11"/>
    </row>
    <row r="186" spans="1:7" ht="20.100000000000001" customHeight="1" x14ac:dyDescent="0.2">
      <c r="A186" s="25">
        <v>52</v>
      </c>
      <c r="B186" s="9" t="s">
        <v>361</v>
      </c>
      <c r="C186" s="10" t="s">
        <v>350</v>
      </c>
      <c r="D186" s="13" t="s">
        <v>364</v>
      </c>
      <c r="E186" s="70">
        <v>91598</v>
      </c>
      <c r="F186" s="70">
        <f t="shared" si="21"/>
        <v>7327.84</v>
      </c>
      <c r="G186" s="11"/>
    </row>
    <row r="187" spans="1:7" ht="20.100000000000001" customHeight="1" x14ac:dyDescent="0.2">
      <c r="A187" s="25">
        <v>53</v>
      </c>
      <c r="B187" s="16" t="s">
        <v>362</v>
      </c>
      <c r="C187" s="10" t="s">
        <v>363</v>
      </c>
      <c r="D187" s="13" t="s">
        <v>376</v>
      </c>
      <c r="E187" s="70">
        <v>89050.25</v>
      </c>
      <c r="F187" s="70">
        <f t="shared" si="21"/>
        <v>7124.02</v>
      </c>
      <c r="G187" s="11"/>
    </row>
    <row r="188" spans="1:7" ht="20.100000000000001" customHeight="1" x14ac:dyDescent="0.2">
      <c r="A188" s="25">
        <v>54</v>
      </c>
      <c r="B188" s="16" t="s">
        <v>367</v>
      </c>
      <c r="C188" s="10" t="s">
        <v>353</v>
      </c>
      <c r="D188" s="13" t="s">
        <v>567</v>
      </c>
      <c r="E188" s="186">
        <v>80926.916666666701</v>
      </c>
      <c r="F188" s="70">
        <f t="shared" si="21"/>
        <v>6474.15333333334</v>
      </c>
      <c r="G188" s="11"/>
    </row>
    <row r="189" spans="1:7" ht="20.100000000000001" customHeight="1" x14ac:dyDescent="0.2">
      <c r="A189" s="25">
        <v>55</v>
      </c>
      <c r="B189" s="16" t="s">
        <v>369</v>
      </c>
      <c r="C189" s="10" t="s">
        <v>370</v>
      </c>
      <c r="D189" s="13" t="s">
        <v>568</v>
      </c>
      <c r="E189" s="70">
        <v>76540.75</v>
      </c>
      <c r="F189" s="70">
        <f t="shared" si="21"/>
        <v>6123.26</v>
      </c>
      <c r="G189" s="11"/>
    </row>
    <row r="190" spans="1:7" ht="20.100000000000001" customHeight="1" x14ac:dyDescent="0.2">
      <c r="A190" s="25">
        <v>56</v>
      </c>
      <c r="B190" s="16" t="s">
        <v>372</v>
      </c>
      <c r="C190" s="10" t="s">
        <v>370</v>
      </c>
      <c r="D190" s="13" t="s">
        <v>568</v>
      </c>
      <c r="E190" s="70">
        <v>76540.75</v>
      </c>
      <c r="F190" s="70">
        <f t="shared" si="21"/>
        <v>6123.26</v>
      </c>
      <c r="G190" s="11"/>
    </row>
    <row r="191" spans="1:7" ht="20.100000000000001" customHeight="1" x14ac:dyDescent="0.2">
      <c r="A191" s="25">
        <v>57</v>
      </c>
      <c r="B191" s="16" t="s">
        <v>373</v>
      </c>
      <c r="C191" s="10" t="s">
        <v>370</v>
      </c>
      <c r="D191" s="13" t="s">
        <v>568</v>
      </c>
      <c r="E191" s="70">
        <v>76540.75</v>
      </c>
      <c r="F191" s="70">
        <f t="shared" si="21"/>
        <v>6123.26</v>
      </c>
      <c r="G191" s="11"/>
    </row>
    <row r="192" spans="1:7" ht="20.100000000000001" customHeight="1" x14ac:dyDescent="0.2">
      <c r="A192" s="25">
        <v>58</v>
      </c>
      <c r="B192" s="16" t="s">
        <v>374</v>
      </c>
      <c r="C192" s="10" t="s">
        <v>375</v>
      </c>
      <c r="D192" s="13" t="s">
        <v>366</v>
      </c>
      <c r="E192" s="70">
        <v>86502.5</v>
      </c>
      <c r="F192" s="70">
        <f t="shared" si="21"/>
        <v>6920.2</v>
      </c>
      <c r="G192" s="11"/>
    </row>
    <row r="193" spans="1:7" ht="20.100000000000001" customHeight="1" x14ac:dyDescent="0.2">
      <c r="A193" s="25">
        <v>59</v>
      </c>
      <c r="B193" s="16" t="s">
        <v>377</v>
      </c>
      <c r="C193" s="10" t="s">
        <v>375</v>
      </c>
      <c r="D193" s="13" t="s">
        <v>366</v>
      </c>
      <c r="E193" s="70">
        <v>86502.5</v>
      </c>
      <c r="F193" s="70">
        <f t="shared" si="21"/>
        <v>6920.2</v>
      </c>
      <c r="G193" s="11"/>
    </row>
    <row r="194" spans="1:7" ht="20.100000000000001" customHeight="1" x14ac:dyDescent="0.5">
      <c r="A194" s="25"/>
      <c r="B194" s="6" t="s">
        <v>111</v>
      </c>
      <c r="C194" s="26" t="s">
        <v>569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 x14ac:dyDescent="0.2">
      <c r="A195" s="2"/>
      <c r="B195" s="28" t="s">
        <v>379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 x14ac:dyDescent="0.2">
      <c r="B196" s="31"/>
      <c r="D196" s="32"/>
      <c r="E196" s="32"/>
      <c r="F196" s="32"/>
      <c r="G196" s="33"/>
    </row>
    <row r="197" spans="1:7" ht="36.75" customHeight="1" x14ac:dyDescent="0.2">
      <c r="B197" s="31"/>
      <c r="C197" s="32"/>
      <c r="D197" s="32"/>
      <c r="E197" s="32"/>
      <c r="F197" s="32"/>
    </row>
    <row r="199" spans="1:7" ht="20.100000000000001" customHeight="1" x14ac:dyDescent="0.2"/>
  </sheetData>
  <mergeCells count="2">
    <mergeCell ref="A1:F1"/>
    <mergeCell ref="A2:F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Y11"/>
  <sheetViews>
    <sheetView topLeftCell="O4" workbookViewId="0">
      <selection activeCell="X14" sqref="X14"/>
    </sheetView>
  </sheetViews>
  <sheetFormatPr defaultColWidth="9.03515625" defaultRowHeight="12.75" x14ac:dyDescent="0.15"/>
  <cols>
    <col min="1" max="1" width="7.953125" customWidth="1"/>
    <col min="2" max="2" width="29.26171875" customWidth="1"/>
    <col min="3" max="3" width="19.55078125" customWidth="1"/>
    <col min="4" max="4" width="15.1015625" customWidth="1"/>
    <col min="5" max="11" width="15.640625" customWidth="1"/>
    <col min="12" max="12" width="15.37109375" customWidth="1"/>
    <col min="13" max="13" width="14.0234375" customWidth="1"/>
    <col min="14" max="14" width="15.640625" customWidth="1"/>
    <col min="15" max="15" width="13.88671875" customWidth="1"/>
    <col min="16" max="16" width="17.52734375" customWidth="1"/>
    <col min="17" max="17" width="14.83203125" customWidth="1"/>
    <col min="18" max="18" width="17.93359375" customWidth="1"/>
    <col min="19" max="19" width="14.96875" customWidth="1"/>
    <col min="20" max="20" width="14.15625" customWidth="1"/>
    <col min="21" max="21" width="15.1015625" customWidth="1"/>
    <col min="22" max="22" width="15.640625" customWidth="1"/>
    <col min="23" max="23" width="14.83203125" customWidth="1"/>
    <col min="24" max="24" width="18.33984375" customWidth="1"/>
    <col min="25" max="25" width="15.1015625" customWidth="1"/>
  </cols>
  <sheetData>
    <row r="1" spans="1:25" ht="25.5" x14ac:dyDescent="0.3">
      <c r="A1" s="936" t="s">
        <v>0</v>
      </c>
      <c r="B1" s="936"/>
      <c r="C1" s="936"/>
      <c r="D1" s="936"/>
      <c r="E1" s="936"/>
      <c r="F1" s="936"/>
      <c r="G1" s="936"/>
      <c r="H1" s="936"/>
      <c r="I1" s="936"/>
      <c r="J1" s="936"/>
      <c r="K1" s="936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5.5" x14ac:dyDescent="0.3">
      <c r="A2" s="61" t="s">
        <v>824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63"/>
      <c r="W2" s="63"/>
      <c r="X2" s="63"/>
      <c r="Y2" s="63"/>
    </row>
    <row r="3" spans="1:25" ht="18" x14ac:dyDescent="0.2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63" x14ac:dyDescent="0.2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825</v>
      </c>
      <c r="H4" s="22" t="s">
        <v>826</v>
      </c>
      <c r="I4" s="184" t="s">
        <v>827</v>
      </c>
      <c r="J4" s="22" t="s">
        <v>828</v>
      </c>
      <c r="K4" s="22" t="s">
        <v>829</v>
      </c>
      <c r="L4" s="22" t="s">
        <v>830</v>
      </c>
      <c r="M4" s="184" t="s">
        <v>7</v>
      </c>
      <c r="N4" s="184" t="s">
        <v>7</v>
      </c>
      <c r="O4" s="22" t="s">
        <v>831</v>
      </c>
      <c r="P4" s="22" t="s">
        <v>831</v>
      </c>
      <c r="Q4" s="184" t="s">
        <v>8</v>
      </c>
      <c r="R4" s="297" t="s">
        <v>9</v>
      </c>
      <c r="S4" s="184" t="s">
        <v>10</v>
      </c>
      <c r="T4" s="184" t="s">
        <v>445</v>
      </c>
      <c r="U4" s="184" t="s">
        <v>12</v>
      </c>
      <c r="V4" s="184" t="s">
        <v>14</v>
      </c>
      <c r="W4" s="22" t="s">
        <v>15</v>
      </c>
      <c r="X4" s="310" t="s">
        <v>17</v>
      </c>
      <c r="Y4" s="284" t="s">
        <v>832</v>
      </c>
    </row>
    <row r="5" spans="1:25" ht="18" x14ac:dyDescent="0.2">
      <c r="A5" s="1"/>
      <c r="B5" s="1"/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270" t="s">
        <v>20</v>
      </c>
      <c r="S5" s="67" t="s">
        <v>20</v>
      </c>
      <c r="T5" s="67" t="s">
        <v>20</v>
      </c>
      <c r="U5" s="67" t="s">
        <v>20</v>
      </c>
      <c r="V5" s="67" t="s">
        <v>20</v>
      </c>
      <c r="W5" s="67" t="s">
        <v>20</v>
      </c>
      <c r="X5" s="409" t="s">
        <v>20</v>
      </c>
      <c r="Y5" s="196" t="s">
        <v>20</v>
      </c>
    </row>
    <row r="6" spans="1:25" ht="18" x14ac:dyDescent="0.2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70"/>
      <c r="W6" s="6"/>
      <c r="X6" s="270"/>
      <c r="Y6" s="67"/>
    </row>
    <row r="7" spans="1:25" ht="18" x14ac:dyDescent="0.2">
      <c r="A7" s="8">
        <v>1</v>
      </c>
      <c r="B7" s="16" t="s">
        <v>116</v>
      </c>
      <c r="C7" s="2" t="s">
        <v>799</v>
      </c>
      <c r="D7" s="8" t="s">
        <v>105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2">
        <f t="shared" ref="X7:X8" si="6">S7+T7+U7+V7+W7</f>
        <v>37042.713866666702</v>
      </c>
      <c r="Y7" s="197">
        <f t="shared" ref="Y7:Y8" si="7">R7-X7</f>
        <v>139773.386133333</v>
      </c>
    </row>
    <row r="8" spans="1:25" ht="47.25" x14ac:dyDescent="0.2">
      <c r="B8" s="20" t="s">
        <v>833</v>
      </c>
      <c r="C8" s="12" t="s">
        <v>795</v>
      </c>
      <c r="D8" s="8" t="s">
        <v>73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2">
        <f t="shared" si="6"/>
        <v>25571.82</v>
      </c>
      <c r="Y8" s="197">
        <f t="shared" si="7"/>
        <v>203030.25774999999</v>
      </c>
    </row>
    <row r="9" spans="1:25" ht="18" x14ac:dyDescent="0.2">
      <c r="B9" s="20" t="s">
        <v>778</v>
      </c>
      <c r="C9" s="407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8"/>
      <c r="N9" s="408">
        <f>N8-N7</f>
        <v>10000</v>
      </c>
      <c r="O9" s="122">
        <f t="shared" si="5"/>
        <v>455.43299999999999</v>
      </c>
      <c r="P9" s="122">
        <v>0</v>
      </c>
      <c r="Q9" s="122"/>
      <c r="R9" s="275">
        <f>SUM(E9:Q9)</f>
        <v>51785.977749999998</v>
      </c>
      <c r="S9" s="122"/>
      <c r="T9" s="122"/>
      <c r="U9" s="122"/>
      <c r="V9" s="122"/>
      <c r="W9" s="122">
        <f>W8-W7</f>
        <v>8529.1061333333</v>
      </c>
      <c r="X9" s="410"/>
      <c r="Y9" s="199">
        <f>R9-W9</f>
        <v>43256.8716166667</v>
      </c>
    </row>
    <row r="10" spans="1:25" ht="18" x14ac:dyDescent="0.2">
      <c r="W10" s="411"/>
      <c r="X10" s="412" t="s">
        <v>503</v>
      </c>
      <c r="Y10" s="415">
        <f>1+(27/31)</f>
        <v>1.87096774193548</v>
      </c>
    </row>
    <row r="11" spans="1:25" ht="18" x14ac:dyDescent="0.2">
      <c r="W11" s="413"/>
      <c r="X11" s="414" t="s">
        <v>834</v>
      </c>
      <c r="Y11" s="416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238"/>
  <sheetViews>
    <sheetView topLeftCell="A181" workbookViewId="0">
      <selection activeCell="G195" sqref="G195"/>
    </sheetView>
  </sheetViews>
  <sheetFormatPr defaultColWidth="9.03515625" defaultRowHeight="12.75" x14ac:dyDescent="0.15"/>
  <cols>
    <col min="1" max="1" width="8.8984375" customWidth="1"/>
    <col min="2" max="2" width="28.72265625" customWidth="1"/>
    <col min="3" max="3" width="16.44921875" customWidth="1"/>
    <col min="4" max="4" width="19.55078125" customWidth="1"/>
    <col min="5" max="5" width="22.65234375" customWidth="1"/>
    <col min="6" max="6" width="21.84375" customWidth="1"/>
    <col min="7" max="7" width="19.95703125" customWidth="1"/>
    <col min="8" max="8" width="21.57421875" customWidth="1"/>
    <col min="9" max="9" width="25.75390625" customWidth="1"/>
    <col min="10" max="10" width="15.37109375" customWidth="1"/>
    <col min="11" max="11" width="17.2578125" customWidth="1"/>
    <col min="12" max="12" width="16.44921875" customWidth="1"/>
    <col min="13" max="13" width="16.31640625" customWidth="1"/>
    <col min="14" max="14" width="19.01171875" customWidth="1"/>
    <col min="15" max="15" width="18.47265625" customWidth="1"/>
  </cols>
  <sheetData>
    <row r="1" spans="1:10" ht="22.5" x14ac:dyDescent="0.25">
      <c r="A1" s="344" t="s">
        <v>835</v>
      </c>
      <c r="B1" s="345"/>
      <c r="C1" s="344"/>
      <c r="D1" s="344"/>
      <c r="E1" s="346"/>
      <c r="F1" s="346"/>
      <c r="G1" s="347"/>
    </row>
    <row r="2" spans="1:10" ht="22.5" x14ac:dyDescent="0.25">
      <c r="A2" s="344" t="s">
        <v>836</v>
      </c>
      <c r="B2" s="344"/>
      <c r="C2" s="344"/>
      <c r="D2" s="344"/>
      <c r="E2" s="346"/>
      <c r="F2" s="346"/>
      <c r="G2" s="347"/>
    </row>
    <row r="3" spans="1:10" ht="22.5" x14ac:dyDescent="0.25">
      <c r="A3" s="344" t="s">
        <v>837</v>
      </c>
      <c r="B3" s="344"/>
      <c r="C3" s="344"/>
      <c r="D3" s="344"/>
      <c r="E3" s="346"/>
      <c r="F3" s="346"/>
      <c r="G3" s="347"/>
    </row>
    <row r="4" spans="1:10" ht="45" customHeight="1" x14ac:dyDescent="0.45">
      <c r="A4" s="348" t="s">
        <v>21</v>
      </c>
      <c r="B4" s="349" t="s">
        <v>838</v>
      </c>
      <c r="C4" s="350" t="s">
        <v>839</v>
      </c>
      <c r="D4" s="351" t="s">
        <v>840</v>
      </c>
      <c r="E4" s="351" t="s">
        <v>841</v>
      </c>
      <c r="F4" s="351" t="s">
        <v>842</v>
      </c>
      <c r="G4" s="351" t="s">
        <v>843</v>
      </c>
      <c r="H4" s="352" t="s">
        <v>111</v>
      </c>
    </row>
    <row r="5" spans="1:10" ht="16.5" x14ac:dyDescent="0.2">
      <c r="A5" s="931" t="s">
        <v>844</v>
      </c>
      <c r="B5" s="353" t="s">
        <v>845</v>
      </c>
      <c r="C5" s="354">
        <v>45323</v>
      </c>
      <c r="D5" s="355">
        <f>0</f>
        <v>0</v>
      </c>
      <c r="E5" s="355">
        <v>0</v>
      </c>
      <c r="F5" s="355">
        <v>0</v>
      </c>
      <c r="G5" s="355">
        <f>0</f>
        <v>0</v>
      </c>
      <c r="H5" s="356">
        <f>D5+E5+F5+G5</f>
        <v>0</v>
      </c>
      <c r="I5" s="368"/>
    </row>
    <row r="6" spans="1:10" ht="16.5" x14ac:dyDescent="0.2">
      <c r="A6" s="931" t="s">
        <v>846</v>
      </c>
      <c r="B6" s="357" t="s">
        <v>847</v>
      </c>
      <c r="C6" s="354">
        <v>45323</v>
      </c>
      <c r="D6" s="358">
        <v>250000</v>
      </c>
      <c r="E6" s="358">
        <v>0</v>
      </c>
      <c r="F6" s="358"/>
      <c r="G6" s="356">
        <f>0</f>
        <v>0</v>
      </c>
      <c r="H6" s="356">
        <f t="shared" ref="H6:H69" si="0">D6+E6+F6+G6</f>
        <v>250000</v>
      </c>
      <c r="I6" s="369"/>
    </row>
    <row r="7" spans="1:10" ht="16.5" x14ac:dyDescent="0.2">
      <c r="A7" s="931" t="s">
        <v>848</v>
      </c>
      <c r="B7" s="353" t="s">
        <v>849</v>
      </c>
      <c r="C7" s="354">
        <v>45323</v>
      </c>
      <c r="D7" s="358">
        <f>0</f>
        <v>0</v>
      </c>
      <c r="E7" s="358">
        <v>0</v>
      </c>
      <c r="F7" s="358">
        <v>0</v>
      </c>
      <c r="G7" s="358">
        <f>0</f>
        <v>0</v>
      </c>
      <c r="H7" s="356">
        <f t="shared" si="0"/>
        <v>0</v>
      </c>
      <c r="I7" s="368"/>
    </row>
    <row r="8" spans="1:10" ht="16.5" x14ac:dyDescent="0.2">
      <c r="A8" s="931" t="s">
        <v>850</v>
      </c>
      <c r="B8" s="353" t="s">
        <v>851</v>
      </c>
      <c r="C8" s="354">
        <v>45323</v>
      </c>
      <c r="D8" s="358">
        <v>200000</v>
      </c>
      <c r="E8" s="358">
        <v>0</v>
      </c>
      <c r="F8" s="358">
        <v>0</v>
      </c>
      <c r="G8" s="358">
        <f>327777.78</f>
        <v>327777.78000000003</v>
      </c>
      <c r="H8" s="356">
        <f t="shared" si="0"/>
        <v>527777.78</v>
      </c>
      <c r="I8" s="369"/>
    </row>
    <row r="9" spans="1:10" ht="16.5" x14ac:dyDescent="0.2">
      <c r="A9" s="931" t="s">
        <v>852</v>
      </c>
      <c r="B9" s="353" t="s">
        <v>853</v>
      </c>
      <c r="C9" s="354">
        <v>45323</v>
      </c>
      <c r="D9" s="358">
        <f>0</f>
        <v>0</v>
      </c>
      <c r="E9" s="358"/>
      <c r="F9" s="358"/>
      <c r="G9" s="358">
        <f>0</f>
        <v>0</v>
      </c>
      <c r="H9" s="356">
        <f t="shared" si="0"/>
        <v>0</v>
      </c>
      <c r="I9" s="368"/>
    </row>
    <row r="10" spans="1:10" ht="16.5" x14ac:dyDescent="0.2">
      <c r="A10" s="931" t="s">
        <v>854</v>
      </c>
      <c r="B10" s="353" t="s">
        <v>855</v>
      </c>
      <c r="C10" s="354">
        <v>45323</v>
      </c>
      <c r="D10" s="358">
        <f>0</f>
        <v>0</v>
      </c>
      <c r="E10" s="358">
        <v>0</v>
      </c>
      <c r="F10" s="358">
        <v>0</v>
      </c>
      <c r="G10" s="358">
        <f>0</f>
        <v>0</v>
      </c>
      <c r="H10" s="356">
        <f t="shared" si="0"/>
        <v>0</v>
      </c>
      <c r="I10" s="368"/>
      <c r="J10" s="370"/>
    </row>
    <row r="11" spans="1:10" ht="16.5" x14ac:dyDescent="0.2">
      <c r="A11" s="931" t="s">
        <v>856</v>
      </c>
      <c r="B11" s="353" t="s">
        <v>857</v>
      </c>
      <c r="C11" s="354">
        <v>45323</v>
      </c>
      <c r="D11" s="358">
        <v>0</v>
      </c>
      <c r="E11" s="358">
        <v>0</v>
      </c>
      <c r="F11" s="358">
        <v>0</v>
      </c>
      <c r="G11" s="358">
        <v>0</v>
      </c>
      <c r="H11" s="356">
        <f t="shared" si="0"/>
        <v>0</v>
      </c>
      <c r="I11" s="371"/>
    </row>
    <row r="12" spans="1:10" ht="16.5" x14ac:dyDescent="0.2">
      <c r="A12" s="931" t="s">
        <v>858</v>
      </c>
      <c r="B12" s="353" t="s">
        <v>859</v>
      </c>
      <c r="C12" s="354">
        <v>45323</v>
      </c>
      <c r="D12" s="358">
        <v>50000</v>
      </c>
      <c r="E12" s="358">
        <v>0</v>
      </c>
      <c r="F12" s="358">
        <v>0</v>
      </c>
      <c r="G12" s="358">
        <f>385000</f>
        <v>385000</v>
      </c>
      <c r="H12" s="356">
        <f t="shared" si="0"/>
        <v>435000</v>
      </c>
      <c r="I12" s="369"/>
    </row>
    <row r="13" spans="1:10" ht="16.5" x14ac:dyDescent="0.2">
      <c r="A13" s="931" t="s">
        <v>860</v>
      </c>
      <c r="B13" s="353" t="s">
        <v>861</v>
      </c>
      <c r="C13" s="354">
        <v>45323</v>
      </c>
      <c r="D13" s="358">
        <v>0</v>
      </c>
      <c r="E13" s="358">
        <v>0</v>
      </c>
      <c r="F13" s="358">
        <v>0</v>
      </c>
      <c r="G13" s="358">
        <v>0</v>
      </c>
      <c r="H13" s="356">
        <f t="shared" si="0"/>
        <v>0</v>
      </c>
      <c r="I13" s="371"/>
    </row>
    <row r="14" spans="1:10" ht="16.5" x14ac:dyDescent="0.2">
      <c r="A14" s="931" t="s">
        <v>862</v>
      </c>
      <c r="B14" s="353" t="s">
        <v>863</v>
      </c>
      <c r="C14" s="354">
        <v>45323</v>
      </c>
      <c r="D14" s="358">
        <f>0</f>
        <v>0</v>
      </c>
      <c r="E14" s="358">
        <v>0</v>
      </c>
      <c r="F14" s="358">
        <v>0</v>
      </c>
      <c r="G14" s="358">
        <f>0</f>
        <v>0</v>
      </c>
      <c r="H14" s="356">
        <f t="shared" si="0"/>
        <v>0</v>
      </c>
      <c r="I14" s="368"/>
    </row>
    <row r="15" spans="1:10" ht="16.5" x14ac:dyDescent="0.2">
      <c r="A15" s="931" t="s">
        <v>864</v>
      </c>
      <c r="B15" s="353" t="s">
        <v>619</v>
      </c>
      <c r="C15" s="354">
        <v>45323</v>
      </c>
      <c r="D15" s="358">
        <v>30000</v>
      </c>
      <c r="E15" s="358">
        <v>0</v>
      </c>
      <c r="F15" s="358">
        <v>0</v>
      </c>
      <c r="G15" s="358">
        <v>91666.67</v>
      </c>
      <c r="H15" s="356">
        <f t="shared" si="0"/>
        <v>121666.67</v>
      </c>
      <c r="I15" s="369"/>
    </row>
    <row r="16" spans="1:10" ht="16.5" x14ac:dyDescent="0.2">
      <c r="A16" s="931" t="s">
        <v>865</v>
      </c>
      <c r="B16" s="353" t="s">
        <v>253</v>
      </c>
      <c r="C16" s="354">
        <v>45323</v>
      </c>
      <c r="D16" s="358">
        <f>100000</f>
        <v>100000</v>
      </c>
      <c r="E16" s="358">
        <v>0</v>
      </c>
      <c r="F16" s="358">
        <v>0</v>
      </c>
      <c r="G16" s="358">
        <f>0</f>
        <v>0</v>
      </c>
      <c r="H16" s="356">
        <f t="shared" si="0"/>
        <v>100000</v>
      </c>
      <c r="I16" s="369"/>
    </row>
    <row r="17" spans="1:9" ht="16.5" x14ac:dyDescent="0.2">
      <c r="A17" s="931" t="s">
        <v>866</v>
      </c>
      <c r="B17" s="353" t="s">
        <v>867</v>
      </c>
      <c r="C17" s="354">
        <v>45323</v>
      </c>
      <c r="D17" s="358">
        <f>0</f>
        <v>0</v>
      </c>
      <c r="E17" s="358">
        <v>0</v>
      </c>
      <c r="F17" s="358">
        <v>0</v>
      </c>
      <c r="G17" s="358">
        <f>0</f>
        <v>0</v>
      </c>
      <c r="H17" s="356">
        <f t="shared" si="0"/>
        <v>0</v>
      </c>
      <c r="I17" s="368"/>
    </row>
    <row r="18" spans="1:9" ht="16.5" x14ac:dyDescent="0.2">
      <c r="A18" s="931" t="s">
        <v>868</v>
      </c>
      <c r="B18" s="353" t="s">
        <v>869</v>
      </c>
      <c r="C18" s="354">
        <v>45323</v>
      </c>
      <c r="D18" s="358">
        <v>0</v>
      </c>
      <c r="E18" s="358">
        <v>0</v>
      </c>
      <c r="F18" s="358">
        <v>0</v>
      </c>
      <c r="G18" s="358">
        <v>0</v>
      </c>
      <c r="H18" s="356">
        <f t="shared" si="0"/>
        <v>0</v>
      </c>
      <c r="I18" s="372"/>
    </row>
    <row r="19" spans="1:9" ht="16.5" x14ac:dyDescent="0.2">
      <c r="A19" s="931" t="s">
        <v>870</v>
      </c>
      <c r="B19" s="353" t="s">
        <v>871</v>
      </c>
      <c r="C19" s="354">
        <v>45323</v>
      </c>
      <c r="D19" s="358">
        <f>100000</f>
        <v>100000</v>
      </c>
      <c r="E19" s="358">
        <v>0</v>
      </c>
      <c r="F19" s="358">
        <v>0</v>
      </c>
      <c r="G19" s="358">
        <f>0</f>
        <v>0</v>
      </c>
      <c r="H19" s="356">
        <f t="shared" si="0"/>
        <v>100000</v>
      </c>
      <c r="I19" s="373"/>
    </row>
    <row r="20" spans="1:9" ht="16.5" x14ac:dyDescent="0.2">
      <c r="A20" s="931" t="s">
        <v>872</v>
      </c>
      <c r="B20" s="353" t="s">
        <v>873</v>
      </c>
      <c r="C20" s="354">
        <v>45323</v>
      </c>
      <c r="D20" s="358">
        <f>50000</f>
        <v>50000</v>
      </c>
      <c r="E20" s="358">
        <v>0</v>
      </c>
      <c r="F20" s="358">
        <v>0</v>
      </c>
      <c r="G20" s="356">
        <f>200000</f>
        <v>200000</v>
      </c>
      <c r="H20" s="356">
        <f t="shared" si="0"/>
        <v>250000</v>
      </c>
      <c r="I20" s="374"/>
    </row>
    <row r="21" spans="1:9" ht="16.5" x14ac:dyDescent="0.2">
      <c r="A21" s="931" t="s">
        <v>874</v>
      </c>
      <c r="B21" s="353" t="s">
        <v>875</v>
      </c>
      <c r="C21" s="354">
        <v>45323</v>
      </c>
      <c r="D21" s="355">
        <f>0</f>
        <v>0</v>
      </c>
      <c r="E21" s="355">
        <v>0</v>
      </c>
      <c r="F21" s="355">
        <v>0</v>
      </c>
      <c r="G21" s="359">
        <f>0</f>
        <v>0</v>
      </c>
      <c r="H21" s="356">
        <f t="shared" si="0"/>
        <v>0</v>
      </c>
      <c r="I21" s="375"/>
    </row>
    <row r="22" spans="1:9" ht="16.5" x14ac:dyDescent="0.2">
      <c r="A22" s="931" t="s">
        <v>876</v>
      </c>
      <c r="B22" s="353" t="s">
        <v>877</v>
      </c>
      <c r="C22" s="354">
        <v>45323</v>
      </c>
      <c r="D22" s="358">
        <v>50000</v>
      </c>
      <c r="E22" s="358">
        <v>0</v>
      </c>
      <c r="F22" s="358">
        <v>0</v>
      </c>
      <c r="G22" s="358">
        <f>0</f>
        <v>0</v>
      </c>
      <c r="H22" s="356">
        <f t="shared" si="0"/>
        <v>50000</v>
      </c>
      <c r="I22" s="374"/>
    </row>
    <row r="23" spans="1:9" ht="16.5" x14ac:dyDescent="0.2">
      <c r="A23" s="931" t="s">
        <v>878</v>
      </c>
      <c r="B23" s="353" t="s">
        <v>879</v>
      </c>
      <c r="C23" s="354">
        <v>45323</v>
      </c>
      <c r="D23" s="358">
        <v>0</v>
      </c>
      <c r="E23" s="358">
        <v>0</v>
      </c>
      <c r="F23" s="358">
        <v>0</v>
      </c>
      <c r="G23" s="358">
        <v>0</v>
      </c>
      <c r="H23" s="356">
        <f t="shared" si="0"/>
        <v>0</v>
      </c>
    </row>
    <row r="24" spans="1:9" ht="16.5" x14ac:dyDescent="0.2">
      <c r="A24" s="931" t="s">
        <v>880</v>
      </c>
      <c r="B24" s="353" t="s">
        <v>259</v>
      </c>
      <c r="C24" s="354">
        <v>45323</v>
      </c>
      <c r="D24" s="355">
        <f>20000</f>
        <v>20000</v>
      </c>
      <c r="E24" s="355">
        <v>0</v>
      </c>
      <c r="F24" s="355">
        <f>0</f>
        <v>0</v>
      </c>
      <c r="G24" s="355">
        <v>75694.44</v>
      </c>
      <c r="H24" s="356">
        <f t="shared" si="0"/>
        <v>95694.44</v>
      </c>
      <c r="I24" s="369"/>
    </row>
    <row r="25" spans="1:9" ht="16.5" x14ac:dyDescent="0.2">
      <c r="A25" s="931" t="s">
        <v>881</v>
      </c>
      <c r="B25" s="353" t="s">
        <v>882</v>
      </c>
      <c r="C25" s="354">
        <v>45323</v>
      </c>
      <c r="D25" s="358">
        <v>0</v>
      </c>
      <c r="E25" s="358">
        <v>0</v>
      </c>
      <c r="F25" s="358">
        <v>0</v>
      </c>
      <c r="G25" s="358">
        <v>0</v>
      </c>
      <c r="H25" s="356">
        <f t="shared" si="0"/>
        <v>0</v>
      </c>
      <c r="I25" s="368"/>
    </row>
    <row r="26" spans="1:9" ht="16.5" x14ac:dyDescent="0.2">
      <c r="A26" s="931" t="s">
        <v>883</v>
      </c>
      <c r="B26" s="353" t="s">
        <v>884</v>
      </c>
      <c r="C26" s="354">
        <v>45323</v>
      </c>
      <c r="D26" s="358">
        <v>10000</v>
      </c>
      <c r="E26" s="358">
        <v>0</v>
      </c>
      <c r="F26" s="358">
        <v>0</v>
      </c>
      <c r="G26" s="358">
        <f>65885.83</f>
        <v>65885.83</v>
      </c>
      <c r="H26" s="356">
        <f t="shared" si="0"/>
        <v>75885.83</v>
      </c>
      <c r="I26" s="369"/>
    </row>
    <row r="27" spans="1:9" ht="16.5" x14ac:dyDescent="0.2">
      <c r="A27" s="931" t="s">
        <v>885</v>
      </c>
      <c r="B27" s="353" t="s">
        <v>886</v>
      </c>
      <c r="C27" s="354">
        <v>45323</v>
      </c>
      <c r="D27" s="358">
        <v>30000</v>
      </c>
      <c r="E27" s="358">
        <v>0</v>
      </c>
      <c r="F27" s="358">
        <v>10000</v>
      </c>
      <c r="G27" s="358">
        <f>238888.89</f>
        <v>238888.89</v>
      </c>
      <c r="H27" s="356">
        <f t="shared" si="0"/>
        <v>278888.89</v>
      </c>
      <c r="I27" s="369"/>
    </row>
    <row r="28" spans="1:9" ht="16.5" x14ac:dyDescent="0.2">
      <c r="A28" s="931" t="s">
        <v>887</v>
      </c>
      <c r="B28" s="353" t="s">
        <v>888</v>
      </c>
      <c r="C28" s="354">
        <v>45323</v>
      </c>
      <c r="D28" s="358">
        <v>30000</v>
      </c>
      <c r="E28" s="358">
        <v>0</v>
      </c>
      <c r="F28" s="358">
        <v>0</v>
      </c>
      <c r="G28" s="358">
        <f>61111.11</f>
        <v>61111.11</v>
      </c>
      <c r="H28" s="356">
        <f t="shared" si="0"/>
        <v>91111.11</v>
      </c>
      <c r="I28" s="369"/>
    </row>
    <row r="29" spans="1:9" ht="18" x14ac:dyDescent="0.2">
      <c r="A29" s="931" t="s">
        <v>889</v>
      </c>
      <c r="B29" s="353" t="s">
        <v>890</v>
      </c>
      <c r="C29" s="354">
        <v>45323</v>
      </c>
      <c r="D29" s="360">
        <f>15000</f>
        <v>15000</v>
      </c>
      <c r="E29" s="360"/>
      <c r="F29" s="360"/>
      <c r="G29" s="361">
        <f>30000</f>
        <v>30000</v>
      </c>
      <c r="H29" s="356">
        <f t="shared" si="0"/>
        <v>45000</v>
      </c>
      <c r="I29" s="369"/>
    </row>
    <row r="30" spans="1:9" ht="16.5" x14ac:dyDescent="0.2">
      <c r="A30" s="931" t="s">
        <v>891</v>
      </c>
      <c r="B30" s="353" t="s">
        <v>892</v>
      </c>
      <c r="C30" s="354">
        <v>45323</v>
      </c>
      <c r="D30" s="358">
        <v>20000</v>
      </c>
      <c r="E30" s="358">
        <v>0</v>
      </c>
      <c r="F30" s="358">
        <v>0</v>
      </c>
      <c r="G30" s="358">
        <f>163103.59</f>
        <v>163103.59</v>
      </c>
      <c r="H30" s="356">
        <f t="shared" si="0"/>
        <v>183103.59</v>
      </c>
      <c r="I30" s="369"/>
    </row>
    <row r="31" spans="1:9" ht="16.5" x14ac:dyDescent="0.2">
      <c r="A31" s="931" t="s">
        <v>893</v>
      </c>
      <c r="B31" s="353" t="s">
        <v>174</v>
      </c>
      <c r="C31" s="354">
        <v>45323</v>
      </c>
      <c r="D31" s="358">
        <v>20000</v>
      </c>
      <c r="E31" s="358">
        <v>0</v>
      </c>
      <c r="F31" s="358">
        <v>0</v>
      </c>
      <c r="G31" s="358">
        <v>96664.65</v>
      </c>
      <c r="H31" s="356">
        <f t="shared" si="0"/>
        <v>116664.65</v>
      </c>
      <c r="I31" s="369"/>
    </row>
    <row r="32" spans="1:9" ht="16.5" x14ac:dyDescent="0.2">
      <c r="A32" s="931" t="s">
        <v>894</v>
      </c>
      <c r="B32" s="353" t="s">
        <v>895</v>
      </c>
      <c r="C32" s="354">
        <v>45323</v>
      </c>
      <c r="D32" s="358">
        <v>20000</v>
      </c>
      <c r="E32" s="358">
        <v>0</v>
      </c>
      <c r="F32" s="358">
        <v>0</v>
      </c>
      <c r="G32" s="362"/>
      <c r="H32" s="356">
        <f t="shared" si="0"/>
        <v>20000</v>
      </c>
      <c r="I32" s="369"/>
    </row>
    <row r="33" spans="1:9" ht="16.5" x14ac:dyDescent="0.2">
      <c r="A33" s="931" t="s">
        <v>896</v>
      </c>
      <c r="B33" s="353" t="s">
        <v>897</v>
      </c>
      <c r="C33" s="354">
        <v>45323</v>
      </c>
      <c r="D33" s="359"/>
      <c r="E33" s="359"/>
      <c r="F33" s="359"/>
      <c r="G33" s="359"/>
      <c r="H33" s="356">
        <f t="shared" si="0"/>
        <v>0</v>
      </c>
      <c r="I33" s="368"/>
    </row>
    <row r="34" spans="1:9" ht="16.5" x14ac:dyDescent="0.2">
      <c r="A34" s="931" t="s">
        <v>898</v>
      </c>
      <c r="B34" s="353" t="s">
        <v>899</v>
      </c>
      <c r="C34" s="354">
        <v>45323</v>
      </c>
      <c r="D34" s="358">
        <v>20000</v>
      </c>
      <c r="E34" s="358">
        <v>0</v>
      </c>
      <c r="F34" s="360">
        <f>5000+5000</f>
        <v>10000</v>
      </c>
      <c r="G34" s="358">
        <f>47916.66</f>
        <v>47916.66</v>
      </c>
      <c r="H34" s="356">
        <f t="shared" si="0"/>
        <v>77916.66</v>
      </c>
      <c r="I34" s="369"/>
    </row>
    <row r="35" spans="1:9" ht="16.5" x14ac:dyDescent="0.2">
      <c r="A35" s="931" t="s">
        <v>900</v>
      </c>
      <c r="B35" s="353" t="s">
        <v>901</v>
      </c>
      <c r="C35" s="354">
        <v>45323</v>
      </c>
      <c r="D35" s="358">
        <v>0</v>
      </c>
      <c r="E35" s="358">
        <v>0</v>
      </c>
      <c r="F35" s="358">
        <v>0</v>
      </c>
      <c r="G35" s="358">
        <v>0</v>
      </c>
      <c r="H35" s="356">
        <f t="shared" si="0"/>
        <v>0</v>
      </c>
      <c r="I35" s="368"/>
    </row>
    <row r="36" spans="1:9" ht="16.5" x14ac:dyDescent="0.2">
      <c r="A36" s="931" t="s">
        <v>902</v>
      </c>
      <c r="B36" s="353" t="s">
        <v>903</v>
      </c>
      <c r="C36" s="354">
        <v>45323</v>
      </c>
      <c r="D36" s="358">
        <f>20000</f>
        <v>20000</v>
      </c>
      <c r="E36" s="358">
        <v>0</v>
      </c>
      <c r="F36" s="358">
        <v>0</v>
      </c>
      <c r="G36" s="358">
        <f>43750</f>
        <v>43750</v>
      </c>
      <c r="H36" s="356">
        <f t="shared" si="0"/>
        <v>63750</v>
      </c>
      <c r="I36" s="369"/>
    </row>
    <row r="37" spans="1:9" ht="16.5" x14ac:dyDescent="0.2">
      <c r="A37" s="931" t="s">
        <v>904</v>
      </c>
      <c r="B37" s="353" t="s">
        <v>905</v>
      </c>
      <c r="C37" s="354">
        <v>45323</v>
      </c>
      <c r="D37" s="358">
        <f>10000</f>
        <v>10000</v>
      </c>
      <c r="E37" s="358">
        <f>0</f>
        <v>0</v>
      </c>
      <c r="F37" s="358">
        <f>0</f>
        <v>0</v>
      </c>
      <c r="G37" s="358">
        <f>90000+25000</f>
        <v>115000</v>
      </c>
      <c r="H37" s="356">
        <f t="shared" si="0"/>
        <v>125000</v>
      </c>
      <c r="I37" s="369"/>
    </row>
    <row r="38" spans="1:9" ht="16.5" x14ac:dyDescent="0.2">
      <c r="A38" s="931" t="s">
        <v>906</v>
      </c>
      <c r="B38" s="353" t="s">
        <v>280</v>
      </c>
      <c r="C38" s="354">
        <v>45323</v>
      </c>
      <c r="D38" s="358">
        <f>0</f>
        <v>0</v>
      </c>
      <c r="E38" s="358">
        <v>0</v>
      </c>
      <c r="F38" s="358">
        <v>0</v>
      </c>
      <c r="G38" s="358">
        <f>50000</f>
        <v>50000</v>
      </c>
      <c r="H38" s="356">
        <f t="shared" si="0"/>
        <v>50000</v>
      </c>
      <c r="I38" s="368"/>
    </row>
    <row r="39" spans="1:9" ht="16.5" x14ac:dyDescent="0.2">
      <c r="A39" s="931" t="s">
        <v>907</v>
      </c>
      <c r="B39" s="353" t="s">
        <v>33</v>
      </c>
      <c r="C39" s="354">
        <v>45323</v>
      </c>
      <c r="D39" s="358">
        <f>10000</f>
        <v>10000</v>
      </c>
      <c r="E39" s="358">
        <v>0</v>
      </c>
      <c r="F39" s="358">
        <v>0</v>
      </c>
      <c r="G39" s="358">
        <f>200000</f>
        <v>200000</v>
      </c>
      <c r="H39" s="356">
        <f t="shared" si="0"/>
        <v>210000</v>
      </c>
      <c r="I39" s="369"/>
    </row>
    <row r="40" spans="1:9" ht="16.5" x14ac:dyDescent="0.2">
      <c r="A40" s="931" t="s">
        <v>908</v>
      </c>
      <c r="B40" s="353" t="s">
        <v>260</v>
      </c>
      <c r="C40" s="354">
        <v>45323</v>
      </c>
      <c r="D40" s="358">
        <v>35000</v>
      </c>
      <c r="E40" s="358">
        <v>0</v>
      </c>
      <c r="F40" s="358">
        <f>25000</f>
        <v>25000</v>
      </c>
      <c r="G40" s="358">
        <f>55000</f>
        <v>55000</v>
      </c>
      <c r="H40" s="356">
        <f t="shared" si="0"/>
        <v>115000</v>
      </c>
      <c r="I40" s="369"/>
    </row>
    <row r="41" spans="1:9" ht="16.5" x14ac:dyDescent="0.2">
      <c r="A41" s="931" t="s">
        <v>909</v>
      </c>
      <c r="B41" s="353" t="s">
        <v>286</v>
      </c>
      <c r="C41" s="354">
        <v>45323</v>
      </c>
      <c r="D41" s="358">
        <v>10000</v>
      </c>
      <c r="E41" s="358">
        <v>0</v>
      </c>
      <c r="F41" s="358">
        <v>0</v>
      </c>
      <c r="G41" s="358">
        <f>100000</f>
        <v>100000</v>
      </c>
      <c r="H41" s="356">
        <f t="shared" si="0"/>
        <v>110000</v>
      </c>
      <c r="I41" s="369"/>
    </row>
    <row r="42" spans="1:9" ht="16.5" x14ac:dyDescent="0.2">
      <c r="A42" s="931" t="s">
        <v>910</v>
      </c>
      <c r="B42" s="353" t="s">
        <v>911</v>
      </c>
      <c r="C42" s="354">
        <v>45323</v>
      </c>
      <c r="D42" s="358">
        <f>10000</f>
        <v>10000</v>
      </c>
      <c r="E42" s="359"/>
      <c r="F42" s="359"/>
      <c r="G42" s="359"/>
      <c r="H42" s="356">
        <f t="shared" si="0"/>
        <v>10000</v>
      </c>
      <c r="I42" s="369"/>
    </row>
    <row r="43" spans="1:9" ht="16.5" x14ac:dyDescent="0.2">
      <c r="A43" s="931" t="s">
        <v>912</v>
      </c>
      <c r="B43" s="353" t="s">
        <v>342</v>
      </c>
      <c r="C43" s="354">
        <v>45323</v>
      </c>
      <c r="D43" s="356">
        <v>10000</v>
      </c>
      <c r="E43" s="363">
        <v>0</v>
      </c>
      <c r="F43" s="360">
        <f>5000+5000</f>
        <v>10000</v>
      </c>
      <c r="G43" s="356">
        <f>22361.11</f>
        <v>22361.11</v>
      </c>
      <c r="H43" s="356">
        <f t="shared" si="0"/>
        <v>42361.11</v>
      </c>
      <c r="I43" s="369"/>
    </row>
    <row r="44" spans="1:9" ht="16.5" x14ac:dyDescent="0.2">
      <c r="A44" s="931" t="s">
        <v>913</v>
      </c>
      <c r="B44" s="353" t="s">
        <v>914</v>
      </c>
      <c r="C44" s="354">
        <v>45323</v>
      </c>
      <c r="D44" s="356">
        <f>10000</f>
        <v>10000</v>
      </c>
      <c r="E44" s="363">
        <v>0</v>
      </c>
      <c r="F44" s="360">
        <f>5000+5000</f>
        <v>10000</v>
      </c>
      <c r="G44" s="356">
        <f>20000</f>
        <v>20000</v>
      </c>
      <c r="H44" s="356">
        <f t="shared" si="0"/>
        <v>40000</v>
      </c>
      <c r="I44" s="369"/>
    </row>
    <row r="45" spans="1:9" ht="16.5" x14ac:dyDescent="0.2">
      <c r="A45" s="931" t="s">
        <v>915</v>
      </c>
      <c r="B45" s="353" t="s">
        <v>916</v>
      </c>
      <c r="C45" s="354">
        <v>45323</v>
      </c>
      <c r="D45" s="358">
        <f>5000</f>
        <v>5000</v>
      </c>
      <c r="E45" s="358">
        <v>0</v>
      </c>
      <c r="F45" s="360">
        <f>5000+5000</f>
        <v>10000</v>
      </c>
      <c r="G45" s="358">
        <f>35704.84</f>
        <v>35704.839999999997</v>
      </c>
      <c r="H45" s="356">
        <f t="shared" si="0"/>
        <v>50704.84</v>
      </c>
      <c r="I45" s="369"/>
    </row>
    <row r="46" spans="1:9" ht="16.5" x14ac:dyDescent="0.2">
      <c r="A46" s="931" t="s">
        <v>917</v>
      </c>
      <c r="B46" s="353" t="s">
        <v>318</v>
      </c>
      <c r="C46" s="354">
        <v>45323</v>
      </c>
      <c r="D46" s="358">
        <v>10000</v>
      </c>
      <c r="E46" s="358">
        <v>0</v>
      </c>
      <c r="F46" s="358">
        <f>5000+5000</f>
        <v>10000</v>
      </c>
      <c r="G46" s="358">
        <f>32000</f>
        <v>32000</v>
      </c>
      <c r="H46" s="356">
        <f t="shared" si="0"/>
        <v>52000</v>
      </c>
      <c r="I46" s="369"/>
    </row>
    <row r="47" spans="1:9" ht="16.5" x14ac:dyDescent="0.2">
      <c r="A47" s="931" t="s">
        <v>918</v>
      </c>
      <c r="B47" s="353" t="s">
        <v>919</v>
      </c>
      <c r="C47" s="354">
        <v>45323</v>
      </c>
      <c r="D47" s="358">
        <v>0</v>
      </c>
      <c r="E47" s="358">
        <v>0</v>
      </c>
      <c r="F47" s="358">
        <v>0</v>
      </c>
      <c r="G47" s="358">
        <v>0</v>
      </c>
      <c r="H47" s="356">
        <f t="shared" si="0"/>
        <v>0</v>
      </c>
      <c r="I47" s="368"/>
    </row>
    <row r="48" spans="1:9" ht="16.5" x14ac:dyDescent="0.2">
      <c r="A48" s="931" t="s">
        <v>920</v>
      </c>
      <c r="B48" s="353" t="s">
        <v>921</v>
      </c>
      <c r="C48" s="354">
        <v>45323</v>
      </c>
      <c r="D48" s="358">
        <f>0</f>
        <v>0</v>
      </c>
      <c r="E48" s="358">
        <v>0</v>
      </c>
      <c r="F48" s="358">
        <v>0</v>
      </c>
      <c r="G48" s="358">
        <f>0</f>
        <v>0</v>
      </c>
      <c r="H48" s="356">
        <f t="shared" si="0"/>
        <v>0</v>
      </c>
      <c r="I48" s="368"/>
    </row>
    <row r="49" spans="1:11" ht="16.5" x14ac:dyDescent="0.2">
      <c r="A49" s="931" t="s">
        <v>922</v>
      </c>
      <c r="B49" s="353" t="s">
        <v>923</v>
      </c>
      <c r="C49" s="354">
        <v>45323</v>
      </c>
      <c r="D49" s="358">
        <f>0</f>
        <v>0</v>
      </c>
      <c r="E49" s="358">
        <v>0</v>
      </c>
      <c r="F49" s="360">
        <f>0</f>
        <v>0</v>
      </c>
      <c r="G49" s="358">
        <f>0</f>
        <v>0</v>
      </c>
      <c r="H49" s="356">
        <f t="shared" si="0"/>
        <v>0</v>
      </c>
      <c r="I49" s="368"/>
    </row>
    <row r="50" spans="1:11" ht="16.5" x14ac:dyDescent="0.2">
      <c r="A50" s="931" t="s">
        <v>924</v>
      </c>
      <c r="B50" s="353" t="s">
        <v>333</v>
      </c>
      <c r="C50" s="354">
        <v>45323</v>
      </c>
      <c r="D50" s="358">
        <v>10000</v>
      </c>
      <c r="E50" s="358">
        <v>0</v>
      </c>
      <c r="F50" s="358">
        <f>5000+5000</f>
        <v>10000</v>
      </c>
      <c r="G50" s="364">
        <f>0</f>
        <v>0</v>
      </c>
      <c r="H50" s="356">
        <f t="shared" si="0"/>
        <v>20000</v>
      </c>
      <c r="I50" s="369"/>
    </row>
    <row r="51" spans="1:11" ht="16.5" x14ac:dyDescent="0.2">
      <c r="A51" s="931" t="s">
        <v>925</v>
      </c>
      <c r="B51" s="353" t="s">
        <v>926</v>
      </c>
      <c r="C51" s="354">
        <v>45323</v>
      </c>
      <c r="D51" s="356">
        <v>20000</v>
      </c>
      <c r="E51" s="365">
        <f>0</f>
        <v>0</v>
      </c>
      <c r="F51" s="358">
        <f>5000+5000</f>
        <v>10000</v>
      </c>
      <c r="G51" s="358">
        <f>26430.62</f>
        <v>26430.62</v>
      </c>
      <c r="H51" s="356">
        <f t="shared" si="0"/>
        <v>56430.62</v>
      </c>
      <c r="I51" s="369"/>
      <c r="J51" s="372"/>
    </row>
    <row r="52" spans="1:11" ht="16.5" x14ac:dyDescent="0.2">
      <c r="A52" s="931" t="s">
        <v>927</v>
      </c>
      <c r="B52" s="353" t="s">
        <v>347</v>
      </c>
      <c r="C52" s="354">
        <v>45323</v>
      </c>
      <c r="D52" s="356">
        <f>3000</f>
        <v>3000</v>
      </c>
      <c r="E52" s="356"/>
      <c r="F52" s="358">
        <f>5000+5000</f>
        <v>10000</v>
      </c>
      <c r="G52" s="356">
        <f>44000</f>
        <v>44000</v>
      </c>
      <c r="H52" s="356">
        <f t="shared" si="0"/>
        <v>57000</v>
      </c>
      <c r="I52" s="369"/>
    </row>
    <row r="53" spans="1:11" ht="16.5" x14ac:dyDescent="0.2">
      <c r="A53" s="931" t="s">
        <v>928</v>
      </c>
      <c r="B53" s="353" t="s">
        <v>335</v>
      </c>
      <c r="C53" s="354">
        <v>45323</v>
      </c>
      <c r="D53" s="358">
        <v>10000</v>
      </c>
      <c r="E53" s="358">
        <v>0</v>
      </c>
      <c r="F53" s="358">
        <f>5000+5000</f>
        <v>10000</v>
      </c>
      <c r="G53" s="358">
        <f>15112.49</f>
        <v>15112.49</v>
      </c>
      <c r="H53" s="356">
        <f t="shared" si="0"/>
        <v>35112.49</v>
      </c>
      <c r="I53" s="369"/>
      <c r="K53" s="370"/>
    </row>
    <row r="54" spans="1:11" ht="16.5" x14ac:dyDescent="0.2">
      <c r="A54" s="931" t="s">
        <v>929</v>
      </c>
      <c r="B54" s="353" t="s">
        <v>930</v>
      </c>
      <c r="C54" s="354">
        <v>45323</v>
      </c>
      <c r="D54" s="358">
        <v>20000</v>
      </c>
      <c r="E54" s="358">
        <v>0</v>
      </c>
      <c r="F54" s="358">
        <f>5000+5000</f>
        <v>10000</v>
      </c>
      <c r="G54" s="358">
        <f>25555.56</f>
        <v>25555.56</v>
      </c>
      <c r="H54" s="356">
        <f t="shared" si="0"/>
        <v>55555.56</v>
      </c>
      <c r="I54" s="369"/>
    </row>
    <row r="55" spans="1:11" ht="16.5" x14ac:dyDescent="0.2">
      <c r="A55" s="932" t="s">
        <v>931</v>
      </c>
      <c r="B55" s="366" t="s">
        <v>932</v>
      </c>
      <c r="C55" s="354">
        <v>45323</v>
      </c>
      <c r="D55" s="367">
        <v>0</v>
      </c>
      <c r="E55" s="367">
        <v>0</v>
      </c>
      <c r="F55" s="367">
        <v>0</v>
      </c>
      <c r="G55" s="367">
        <v>0</v>
      </c>
      <c r="H55" s="356">
        <f t="shared" si="0"/>
        <v>0</v>
      </c>
      <c r="I55" s="368"/>
      <c r="K55" s="370"/>
    </row>
    <row r="56" spans="1:11" ht="16.5" x14ac:dyDescent="0.2">
      <c r="A56" s="931" t="s">
        <v>933</v>
      </c>
      <c r="B56" s="353" t="s">
        <v>557</v>
      </c>
      <c r="C56" s="354">
        <v>45323</v>
      </c>
      <c r="D56" s="355">
        <v>100000</v>
      </c>
      <c r="E56" s="355">
        <v>0</v>
      </c>
      <c r="F56" s="355">
        <v>0</v>
      </c>
      <c r="G56" s="355">
        <v>208526.23499999999</v>
      </c>
      <c r="H56" s="356">
        <f t="shared" si="0"/>
        <v>308526.23499999999</v>
      </c>
      <c r="I56" s="369"/>
    </row>
    <row r="57" spans="1:11" ht="16.5" x14ac:dyDescent="0.2">
      <c r="A57" s="931" t="s">
        <v>934</v>
      </c>
      <c r="B57" s="353" t="s">
        <v>935</v>
      </c>
      <c r="C57" s="354">
        <v>45323</v>
      </c>
      <c r="D57" s="356"/>
      <c r="E57" s="356">
        <v>0</v>
      </c>
      <c r="F57" s="356">
        <v>0</v>
      </c>
      <c r="G57" s="356">
        <v>0</v>
      </c>
      <c r="H57" s="356">
        <f t="shared" si="0"/>
        <v>0</v>
      </c>
      <c r="I57" s="368"/>
    </row>
    <row r="58" spans="1:11" ht="16.5" x14ac:dyDescent="0.2">
      <c r="A58" s="931" t="s">
        <v>936</v>
      </c>
      <c r="B58" s="353" t="s">
        <v>937</v>
      </c>
      <c r="C58" s="354">
        <v>45323</v>
      </c>
      <c r="D58" s="356">
        <f>80000</f>
        <v>80000</v>
      </c>
      <c r="E58" s="356">
        <v>0</v>
      </c>
      <c r="F58" s="356">
        <v>0</v>
      </c>
      <c r="G58" s="358">
        <f>230499.8</f>
        <v>230499.8</v>
      </c>
      <c r="H58" s="356">
        <f t="shared" si="0"/>
        <v>310499.8</v>
      </c>
      <c r="I58" s="369"/>
      <c r="J58" s="368"/>
    </row>
    <row r="59" spans="1:11" ht="16.5" x14ac:dyDescent="0.2">
      <c r="A59" s="932" t="s">
        <v>938</v>
      </c>
      <c r="B59" s="366" t="s">
        <v>939</v>
      </c>
      <c r="C59" s="354">
        <v>45323</v>
      </c>
      <c r="D59" s="367">
        <v>0</v>
      </c>
      <c r="E59" s="367">
        <v>0</v>
      </c>
      <c r="F59" s="367">
        <v>0</v>
      </c>
      <c r="G59" s="367">
        <v>0</v>
      </c>
      <c r="H59" s="356">
        <f t="shared" si="0"/>
        <v>0</v>
      </c>
      <c r="I59" s="368"/>
    </row>
    <row r="60" spans="1:11" ht="16.5" x14ac:dyDescent="0.2">
      <c r="A60" s="931" t="s">
        <v>940</v>
      </c>
      <c r="B60" s="353" t="s">
        <v>941</v>
      </c>
      <c r="C60" s="354">
        <v>45323</v>
      </c>
      <c r="D60" s="358">
        <f>30000</f>
        <v>30000</v>
      </c>
      <c r="E60" s="358">
        <v>0</v>
      </c>
      <c r="F60" s="358">
        <f>10000</f>
        <v>10000</v>
      </c>
      <c r="G60" s="358">
        <f>70000</f>
        <v>70000</v>
      </c>
      <c r="H60" s="356">
        <f t="shared" si="0"/>
        <v>110000</v>
      </c>
      <c r="I60" s="369"/>
    </row>
    <row r="61" spans="1:11" ht="16.5" x14ac:dyDescent="0.2">
      <c r="A61" s="931" t="s">
        <v>942</v>
      </c>
      <c r="B61" s="353" t="s">
        <v>943</v>
      </c>
      <c r="C61" s="354">
        <v>45323</v>
      </c>
      <c r="D61" s="358">
        <f>0</f>
        <v>0</v>
      </c>
      <c r="E61" s="358">
        <v>0</v>
      </c>
      <c r="F61" s="358">
        <v>0</v>
      </c>
      <c r="G61" s="358">
        <f>0</f>
        <v>0</v>
      </c>
      <c r="H61" s="356">
        <f t="shared" si="0"/>
        <v>0</v>
      </c>
      <c r="I61" s="368"/>
    </row>
    <row r="62" spans="1:11" ht="16.5" x14ac:dyDescent="0.2">
      <c r="A62" s="931" t="s">
        <v>944</v>
      </c>
      <c r="B62" s="353" t="s">
        <v>945</v>
      </c>
      <c r="C62" s="354">
        <v>45323</v>
      </c>
      <c r="D62" s="359">
        <v>0</v>
      </c>
      <c r="E62" s="359">
        <v>0</v>
      </c>
      <c r="F62" s="359">
        <v>0</v>
      </c>
      <c r="G62" s="359">
        <v>0</v>
      </c>
      <c r="H62" s="356">
        <f t="shared" si="0"/>
        <v>0</v>
      </c>
      <c r="I62" s="368"/>
    </row>
    <row r="63" spans="1:11" ht="16.5" x14ac:dyDescent="0.2">
      <c r="A63" s="931" t="s">
        <v>946</v>
      </c>
      <c r="B63" s="353" t="s">
        <v>947</v>
      </c>
      <c r="C63" s="354">
        <v>45323</v>
      </c>
      <c r="D63" s="358">
        <f>0</f>
        <v>0</v>
      </c>
      <c r="E63" s="358"/>
      <c r="F63" s="358"/>
      <c r="G63" s="358">
        <f>0</f>
        <v>0</v>
      </c>
      <c r="H63" s="356">
        <f t="shared" si="0"/>
        <v>0</v>
      </c>
      <c r="I63" s="369"/>
    </row>
    <row r="64" spans="1:11" ht="16.5" x14ac:dyDescent="0.2">
      <c r="A64" s="931" t="s">
        <v>948</v>
      </c>
      <c r="B64" s="353" t="s">
        <v>949</v>
      </c>
      <c r="C64" s="354">
        <v>45323</v>
      </c>
      <c r="D64" s="358">
        <f>0</f>
        <v>0</v>
      </c>
      <c r="E64" s="358">
        <v>0</v>
      </c>
      <c r="F64" s="358">
        <f>0</f>
        <v>0</v>
      </c>
      <c r="G64" s="358"/>
      <c r="H64" s="356">
        <f t="shared" si="0"/>
        <v>0</v>
      </c>
      <c r="I64" s="368"/>
    </row>
    <row r="65" spans="1:9" ht="16.5" x14ac:dyDescent="0.2">
      <c r="A65" s="931" t="s">
        <v>950</v>
      </c>
      <c r="B65" s="353" t="s">
        <v>278</v>
      </c>
      <c r="C65" s="354">
        <v>45323</v>
      </c>
      <c r="D65" s="358">
        <f>0</f>
        <v>0</v>
      </c>
      <c r="E65" s="358">
        <v>0</v>
      </c>
      <c r="F65" s="358">
        <v>0</v>
      </c>
      <c r="G65" s="358">
        <f>133333.33+30000</f>
        <v>163333.32999999999</v>
      </c>
      <c r="H65" s="356">
        <f t="shared" si="0"/>
        <v>163333.32999999999</v>
      </c>
      <c r="I65" s="369"/>
    </row>
    <row r="66" spans="1:9" ht="16.5" x14ac:dyDescent="0.2">
      <c r="A66" s="931" t="s">
        <v>951</v>
      </c>
      <c r="B66" s="353" t="s">
        <v>952</v>
      </c>
      <c r="C66" s="354">
        <v>45323</v>
      </c>
      <c r="D66" s="358"/>
      <c r="E66" s="358"/>
      <c r="F66" s="358"/>
      <c r="G66" s="358"/>
      <c r="H66" s="356">
        <f t="shared" si="0"/>
        <v>0</v>
      </c>
      <c r="I66" s="369"/>
    </row>
    <row r="67" spans="1:9" ht="16.5" x14ac:dyDescent="0.2">
      <c r="A67" s="931" t="s">
        <v>953</v>
      </c>
      <c r="B67" s="353" t="s">
        <v>332</v>
      </c>
      <c r="C67" s="354">
        <v>45323</v>
      </c>
      <c r="D67" s="358">
        <v>5000</v>
      </c>
      <c r="E67" s="358">
        <v>0</v>
      </c>
      <c r="F67" s="358">
        <f>5000+5000</f>
        <v>10000</v>
      </c>
      <c r="G67" s="358">
        <f>14524.11</f>
        <v>14524.11</v>
      </c>
      <c r="H67" s="356">
        <f t="shared" si="0"/>
        <v>29524.11</v>
      </c>
      <c r="I67" s="369"/>
    </row>
    <row r="68" spans="1:9" ht="16.5" x14ac:dyDescent="0.2">
      <c r="A68" s="931" t="s">
        <v>954</v>
      </c>
      <c r="B68" s="353" t="s">
        <v>129</v>
      </c>
      <c r="C68" s="354">
        <v>45323</v>
      </c>
      <c r="D68" s="358">
        <v>30000</v>
      </c>
      <c r="E68" s="358">
        <v>0</v>
      </c>
      <c r="F68" s="358"/>
      <c r="G68" s="364">
        <f>176288.88</f>
        <v>176288.88</v>
      </c>
      <c r="H68" s="356">
        <f t="shared" si="0"/>
        <v>206288.88</v>
      </c>
      <c r="I68" s="369"/>
    </row>
    <row r="69" spans="1:9" ht="16.5" x14ac:dyDescent="0.2">
      <c r="A69" s="931" t="s">
        <v>955</v>
      </c>
      <c r="B69" s="353" t="s">
        <v>956</v>
      </c>
      <c r="C69" s="354">
        <v>45323</v>
      </c>
      <c r="D69" s="358">
        <v>80000</v>
      </c>
      <c r="E69" s="358">
        <v>0</v>
      </c>
      <c r="F69" s="358">
        <f>23000</f>
        <v>23000</v>
      </c>
      <c r="G69" s="358">
        <v>246905.964583333</v>
      </c>
      <c r="H69" s="356">
        <f t="shared" si="0"/>
        <v>349905.964583333</v>
      </c>
      <c r="I69" s="369"/>
    </row>
    <row r="70" spans="1:9" ht="16.5" x14ac:dyDescent="0.2">
      <c r="A70" s="931" t="s">
        <v>957</v>
      </c>
      <c r="B70" s="353" t="s">
        <v>39</v>
      </c>
      <c r="C70" s="354">
        <v>45323</v>
      </c>
      <c r="D70" s="358">
        <v>0</v>
      </c>
      <c r="E70" s="358">
        <v>0</v>
      </c>
      <c r="F70" s="358">
        <v>0</v>
      </c>
      <c r="G70" s="358">
        <v>0</v>
      </c>
      <c r="H70" s="356">
        <f t="shared" ref="H70:H133" si="1">D70+E70+F70+G70</f>
        <v>0</v>
      </c>
      <c r="I70" s="368"/>
    </row>
    <row r="71" spans="1:9" ht="16.5" x14ac:dyDescent="0.2">
      <c r="A71" s="931" t="s">
        <v>958</v>
      </c>
      <c r="B71" s="353" t="s">
        <v>959</v>
      </c>
      <c r="C71" s="354">
        <v>45323</v>
      </c>
      <c r="D71" s="358">
        <f>70000</f>
        <v>70000</v>
      </c>
      <c r="E71" s="358">
        <f>0</f>
        <v>0</v>
      </c>
      <c r="F71" s="358">
        <v>0</v>
      </c>
      <c r="G71" s="358">
        <f>50000</f>
        <v>50000</v>
      </c>
      <c r="H71" s="356">
        <f t="shared" si="1"/>
        <v>120000</v>
      </c>
      <c r="I71" s="369"/>
    </row>
    <row r="72" spans="1:9" ht="16.5" x14ac:dyDescent="0.2">
      <c r="A72" s="931" t="s">
        <v>960</v>
      </c>
      <c r="B72" s="353" t="s">
        <v>961</v>
      </c>
      <c r="C72" s="354">
        <v>45323</v>
      </c>
      <c r="D72" s="358">
        <f>10000</f>
        <v>10000</v>
      </c>
      <c r="E72" s="358">
        <v>0</v>
      </c>
      <c r="F72" s="358">
        <v>0</v>
      </c>
      <c r="G72" s="358">
        <f>54585.66</f>
        <v>54585.66</v>
      </c>
      <c r="H72" s="356">
        <f t="shared" si="1"/>
        <v>64585.66</v>
      </c>
      <c r="I72" s="371"/>
    </row>
    <row r="73" spans="1:9" ht="16.5" x14ac:dyDescent="0.2">
      <c r="A73" s="931" t="s">
        <v>962</v>
      </c>
      <c r="B73" s="353" t="s">
        <v>963</v>
      </c>
      <c r="C73" s="354">
        <v>45323</v>
      </c>
      <c r="D73" s="358">
        <v>10000</v>
      </c>
      <c r="E73" s="358">
        <v>0</v>
      </c>
      <c r="F73" s="358">
        <f>5000+5000</f>
        <v>10000</v>
      </c>
      <c r="G73" s="358">
        <f>13750</f>
        <v>13750</v>
      </c>
      <c r="H73" s="356">
        <f t="shared" si="1"/>
        <v>33750</v>
      </c>
      <c r="I73" s="369"/>
    </row>
    <row r="74" spans="1:9" ht="18" x14ac:dyDescent="0.2">
      <c r="A74" s="931" t="s">
        <v>964</v>
      </c>
      <c r="B74" s="353" t="s">
        <v>341</v>
      </c>
      <c r="C74" s="354">
        <v>45323</v>
      </c>
      <c r="D74" s="358">
        <f>10000</f>
        <v>10000</v>
      </c>
      <c r="E74" s="358">
        <v>0</v>
      </c>
      <c r="F74" s="358">
        <f>5000+5000</f>
        <v>10000</v>
      </c>
      <c r="G74" s="376">
        <f>16958.34</f>
        <v>16958.34</v>
      </c>
      <c r="H74" s="356">
        <f t="shared" si="1"/>
        <v>36958.339999999997</v>
      </c>
      <c r="I74" s="369"/>
    </row>
    <row r="75" spans="1:9" ht="16.5" x14ac:dyDescent="0.2">
      <c r="A75" s="931" t="s">
        <v>965</v>
      </c>
      <c r="B75" s="353" t="s">
        <v>966</v>
      </c>
      <c r="C75" s="354">
        <v>45323</v>
      </c>
      <c r="D75" s="358">
        <f>0</f>
        <v>0</v>
      </c>
      <c r="E75" s="358">
        <v>0</v>
      </c>
      <c r="F75" s="358">
        <f>0</f>
        <v>0</v>
      </c>
      <c r="G75" s="358">
        <f>0</f>
        <v>0</v>
      </c>
      <c r="H75" s="356">
        <f t="shared" si="1"/>
        <v>0</v>
      </c>
      <c r="I75" s="368"/>
    </row>
    <row r="76" spans="1:9" ht="18" x14ac:dyDescent="0.2">
      <c r="A76" s="931" t="s">
        <v>967</v>
      </c>
      <c r="B76" s="353" t="s">
        <v>968</v>
      </c>
      <c r="C76" s="354">
        <v>45323</v>
      </c>
      <c r="D76" s="376">
        <f>20000</f>
        <v>20000</v>
      </c>
      <c r="E76" s="363"/>
      <c r="F76" s="363"/>
      <c r="G76" s="358">
        <f>111833.33</f>
        <v>111833.33</v>
      </c>
      <c r="H76" s="356">
        <f t="shared" si="1"/>
        <v>131833.32999999999</v>
      </c>
      <c r="I76" s="369"/>
    </row>
    <row r="77" spans="1:9" ht="16.5" x14ac:dyDescent="0.2">
      <c r="A77" s="931" t="s">
        <v>969</v>
      </c>
      <c r="B77" s="353" t="s">
        <v>970</v>
      </c>
      <c r="C77" s="354">
        <v>45323</v>
      </c>
      <c r="D77" s="358"/>
      <c r="E77" s="358"/>
      <c r="F77" s="358"/>
      <c r="G77" s="377"/>
      <c r="H77" s="356">
        <f t="shared" si="1"/>
        <v>0</v>
      </c>
      <c r="I77" s="369"/>
    </row>
    <row r="78" spans="1:9" ht="16.5" x14ac:dyDescent="0.2">
      <c r="A78" s="931" t="s">
        <v>971</v>
      </c>
      <c r="B78" s="353" t="s">
        <v>972</v>
      </c>
      <c r="C78" s="354">
        <v>45323</v>
      </c>
      <c r="D78" s="358">
        <v>0</v>
      </c>
      <c r="E78" s="358">
        <v>0</v>
      </c>
      <c r="F78" s="358">
        <v>0</v>
      </c>
      <c r="G78" s="358"/>
      <c r="H78" s="356">
        <f t="shared" si="1"/>
        <v>0</v>
      </c>
      <c r="I78" s="371"/>
    </row>
    <row r="79" spans="1:9" ht="16.5" x14ac:dyDescent="0.2">
      <c r="A79" s="931" t="s">
        <v>973</v>
      </c>
      <c r="B79" s="353" t="s">
        <v>974</v>
      </c>
      <c r="C79" s="354">
        <v>45323</v>
      </c>
      <c r="D79" s="358">
        <v>0</v>
      </c>
      <c r="E79" s="358">
        <v>0</v>
      </c>
      <c r="F79" s="358">
        <v>0</v>
      </c>
      <c r="G79" s="358"/>
      <c r="H79" s="356">
        <f t="shared" si="1"/>
        <v>0</v>
      </c>
      <c r="I79" s="368"/>
    </row>
    <row r="80" spans="1:9" ht="16.5" x14ac:dyDescent="0.2">
      <c r="A80" s="931" t="s">
        <v>975</v>
      </c>
      <c r="B80" s="353" t="s">
        <v>976</v>
      </c>
      <c r="C80" s="354">
        <v>45323</v>
      </c>
      <c r="D80" s="358">
        <v>20000</v>
      </c>
      <c r="E80" s="358">
        <v>0</v>
      </c>
      <c r="F80" s="358">
        <v>0</v>
      </c>
      <c r="G80" s="358">
        <f>68750</f>
        <v>68750</v>
      </c>
      <c r="H80" s="356">
        <f t="shared" si="1"/>
        <v>88750</v>
      </c>
      <c r="I80" s="369"/>
    </row>
    <row r="81" spans="1:9" ht="16.5" x14ac:dyDescent="0.2">
      <c r="A81" s="931" t="s">
        <v>977</v>
      </c>
      <c r="B81" s="353" t="s">
        <v>978</v>
      </c>
      <c r="C81" s="354">
        <v>45323</v>
      </c>
      <c r="D81" s="358">
        <f>37500</f>
        <v>37500</v>
      </c>
      <c r="E81" s="358">
        <v>0</v>
      </c>
      <c r="F81" s="358"/>
      <c r="G81" s="358"/>
      <c r="H81" s="356">
        <f t="shared" si="1"/>
        <v>37500</v>
      </c>
      <c r="I81" s="369"/>
    </row>
    <row r="82" spans="1:9" ht="16.5" x14ac:dyDescent="0.2">
      <c r="A82" s="931" t="s">
        <v>979</v>
      </c>
      <c r="B82" s="353" t="s">
        <v>980</v>
      </c>
      <c r="C82" s="354">
        <v>45323</v>
      </c>
      <c r="D82" s="355">
        <v>0</v>
      </c>
      <c r="E82" s="355">
        <v>0</v>
      </c>
      <c r="F82" s="355">
        <v>0</v>
      </c>
      <c r="G82" s="359">
        <v>0</v>
      </c>
      <c r="H82" s="356">
        <f t="shared" si="1"/>
        <v>0</v>
      </c>
      <c r="I82" s="368"/>
    </row>
    <row r="83" spans="1:9" ht="16.5" x14ac:dyDescent="0.2">
      <c r="A83" s="931" t="s">
        <v>981</v>
      </c>
      <c r="B83" s="353" t="s">
        <v>982</v>
      </c>
      <c r="C83" s="354">
        <v>45323</v>
      </c>
      <c r="D83" s="358">
        <v>50000</v>
      </c>
      <c r="E83" s="358">
        <v>0</v>
      </c>
      <c r="F83" s="358"/>
      <c r="G83" s="377">
        <f>103000</f>
        <v>103000</v>
      </c>
      <c r="H83" s="356">
        <f t="shared" si="1"/>
        <v>153000</v>
      </c>
      <c r="I83" s="369"/>
    </row>
    <row r="84" spans="1:9" ht="16.5" x14ac:dyDescent="0.2">
      <c r="A84" s="931" t="s">
        <v>983</v>
      </c>
      <c r="B84" s="353" t="s">
        <v>984</v>
      </c>
      <c r="C84" s="354">
        <v>45323</v>
      </c>
      <c r="D84" s="358">
        <v>100000</v>
      </c>
      <c r="E84" s="358">
        <v>0</v>
      </c>
      <c r="F84" s="358">
        <v>10000</v>
      </c>
      <c r="G84" s="358"/>
      <c r="H84" s="356">
        <f t="shared" si="1"/>
        <v>110000</v>
      </c>
      <c r="I84" s="369"/>
    </row>
    <row r="85" spans="1:9" ht="16.5" x14ac:dyDescent="0.2">
      <c r="A85" s="931" t="s">
        <v>985</v>
      </c>
      <c r="B85" s="353" t="s">
        <v>986</v>
      </c>
      <c r="C85" s="354">
        <v>45323</v>
      </c>
      <c r="D85" s="358">
        <v>0</v>
      </c>
      <c r="E85" s="358">
        <v>0</v>
      </c>
      <c r="F85" s="358">
        <v>0</v>
      </c>
      <c r="G85" s="358"/>
      <c r="H85" s="356">
        <f t="shared" si="1"/>
        <v>0</v>
      </c>
      <c r="I85" s="368"/>
    </row>
    <row r="86" spans="1:9" ht="16.5" x14ac:dyDescent="0.2">
      <c r="A86" s="931" t="s">
        <v>987</v>
      </c>
      <c r="B86" s="353" t="s">
        <v>988</v>
      </c>
      <c r="C86" s="354">
        <v>45323</v>
      </c>
      <c r="D86" s="358">
        <f>0</f>
        <v>0</v>
      </c>
      <c r="E86" s="358">
        <v>0</v>
      </c>
      <c r="F86" s="358">
        <f>0</f>
        <v>0</v>
      </c>
      <c r="G86" s="358">
        <f>0</f>
        <v>0</v>
      </c>
      <c r="H86" s="356">
        <f t="shared" si="1"/>
        <v>0</v>
      </c>
      <c r="I86" s="368"/>
    </row>
    <row r="87" spans="1:9" ht="16.5" x14ac:dyDescent="0.2">
      <c r="A87" s="931" t="s">
        <v>989</v>
      </c>
      <c r="B87" s="353" t="s">
        <v>990</v>
      </c>
      <c r="C87" s="354">
        <v>45323</v>
      </c>
      <c r="D87" s="358">
        <v>15000</v>
      </c>
      <c r="E87" s="358">
        <f>0</f>
        <v>0</v>
      </c>
      <c r="F87" s="358">
        <v>0</v>
      </c>
      <c r="G87" s="358">
        <f>133333.34+25000+33333.33+25000</f>
        <v>216666.67</v>
      </c>
      <c r="H87" s="356">
        <f t="shared" si="1"/>
        <v>231666.67</v>
      </c>
      <c r="I87" s="369"/>
    </row>
    <row r="88" spans="1:9" ht="16.5" x14ac:dyDescent="0.2">
      <c r="A88" s="931" t="s">
        <v>991</v>
      </c>
      <c r="B88" s="353" t="s">
        <v>992</v>
      </c>
      <c r="C88" s="354">
        <v>45323</v>
      </c>
      <c r="D88" s="358">
        <v>50000</v>
      </c>
      <c r="E88" s="358">
        <v>0</v>
      </c>
      <c r="F88" s="358">
        <f>20000</f>
        <v>20000</v>
      </c>
      <c r="G88" s="358">
        <f>0</f>
        <v>0</v>
      </c>
      <c r="H88" s="356">
        <f t="shared" si="1"/>
        <v>70000</v>
      </c>
      <c r="I88" s="369"/>
    </row>
    <row r="89" spans="1:9" ht="16.5" x14ac:dyDescent="0.2">
      <c r="A89" s="931" t="s">
        <v>993</v>
      </c>
      <c r="B89" s="353" t="s">
        <v>994</v>
      </c>
      <c r="C89" s="354">
        <v>45323</v>
      </c>
      <c r="D89" s="358">
        <f>50000</f>
        <v>50000</v>
      </c>
      <c r="E89" s="358">
        <v>0</v>
      </c>
      <c r="F89" s="358"/>
      <c r="G89" s="358"/>
      <c r="H89" s="356">
        <f t="shared" si="1"/>
        <v>50000</v>
      </c>
      <c r="I89" s="368"/>
    </row>
    <row r="90" spans="1:9" ht="16.5" x14ac:dyDescent="0.2">
      <c r="A90" s="931" t="s">
        <v>995</v>
      </c>
      <c r="B90" s="353" t="s">
        <v>996</v>
      </c>
      <c r="C90" s="354">
        <v>45323</v>
      </c>
      <c r="D90" s="362"/>
      <c r="E90" s="358">
        <v>0</v>
      </c>
      <c r="F90" s="358"/>
      <c r="G90" s="358"/>
      <c r="H90" s="356">
        <f t="shared" si="1"/>
        <v>0</v>
      </c>
      <c r="I90" s="368"/>
    </row>
    <row r="91" spans="1:9" ht="16.5" x14ac:dyDescent="0.2">
      <c r="A91" s="931" t="s">
        <v>997</v>
      </c>
      <c r="B91" s="353" t="s">
        <v>998</v>
      </c>
      <c r="C91" s="354">
        <v>45323</v>
      </c>
      <c r="D91" s="358">
        <f>10000</f>
        <v>10000</v>
      </c>
      <c r="E91" s="358">
        <v>0</v>
      </c>
      <c r="F91" s="358"/>
      <c r="G91" s="362"/>
      <c r="H91" s="356">
        <f t="shared" si="1"/>
        <v>10000</v>
      </c>
      <c r="I91" s="369"/>
    </row>
    <row r="92" spans="1:9" ht="16.5" x14ac:dyDescent="0.2">
      <c r="A92" s="931" t="s">
        <v>999</v>
      </c>
      <c r="B92" s="353" t="s">
        <v>1000</v>
      </c>
      <c r="C92" s="354">
        <v>45323</v>
      </c>
      <c r="D92" s="358">
        <f>50000</f>
        <v>50000</v>
      </c>
      <c r="E92" s="358">
        <v>0</v>
      </c>
      <c r="F92" s="358"/>
      <c r="G92" s="364">
        <f>79861.11</f>
        <v>79861.11</v>
      </c>
      <c r="H92" s="356">
        <f t="shared" si="1"/>
        <v>129861.11</v>
      </c>
      <c r="I92" s="369"/>
    </row>
    <row r="93" spans="1:9" ht="16.5" x14ac:dyDescent="0.2">
      <c r="A93" s="931" t="s">
        <v>1001</v>
      </c>
      <c r="B93" s="353" t="s">
        <v>1002</v>
      </c>
      <c r="C93" s="354">
        <v>45323</v>
      </c>
      <c r="D93" s="358">
        <f>30000</f>
        <v>30000</v>
      </c>
      <c r="E93" s="358">
        <v>0</v>
      </c>
      <c r="F93" s="358">
        <v>0</v>
      </c>
      <c r="G93" s="356">
        <f>68750+30000</f>
        <v>98750</v>
      </c>
      <c r="H93" s="356">
        <f t="shared" si="1"/>
        <v>128750</v>
      </c>
      <c r="I93" s="369"/>
    </row>
    <row r="94" spans="1:9" ht="16.5" x14ac:dyDescent="0.2">
      <c r="A94" s="931" t="s">
        <v>1003</v>
      </c>
      <c r="B94" s="353" t="s">
        <v>1004</v>
      </c>
      <c r="C94" s="354">
        <v>45323</v>
      </c>
      <c r="D94" s="358">
        <v>0</v>
      </c>
      <c r="E94" s="358">
        <v>0</v>
      </c>
      <c r="F94" s="359">
        <v>0</v>
      </c>
      <c r="G94" s="358">
        <v>0</v>
      </c>
      <c r="H94" s="356">
        <f t="shared" si="1"/>
        <v>0</v>
      </c>
      <c r="I94" s="368"/>
    </row>
    <row r="95" spans="1:9" ht="16.5" x14ac:dyDescent="0.2">
      <c r="A95" s="931" t="s">
        <v>1005</v>
      </c>
      <c r="B95" s="353" t="s">
        <v>357</v>
      </c>
      <c r="C95" s="354">
        <v>45323</v>
      </c>
      <c r="D95" s="358">
        <f>10000</f>
        <v>10000</v>
      </c>
      <c r="E95" s="358">
        <v>0</v>
      </c>
      <c r="F95" s="360">
        <f>5000+5000</f>
        <v>10000</v>
      </c>
      <c r="G95" s="358">
        <f>8416.67</f>
        <v>8416.67</v>
      </c>
      <c r="H95" s="356">
        <f t="shared" si="1"/>
        <v>28416.67</v>
      </c>
      <c r="I95" s="369"/>
    </row>
    <row r="96" spans="1:9" ht="16.5" x14ac:dyDescent="0.2">
      <c r="A96" s="931" t="s">
        <v>1006</v>
      </c>
      <c r="B96" s="353" t="s">
        <v>1007</v>
      </c>
      <c r="C96" s="354">
        <v>45323</v>
      </c>
      <c r="D96" s="358">
        <f>20000</f>
        <v>20000</v>
      </c>
      <c r="E96" s="358">
        <v>0</v>
      </c>
      <c r="F96" s="358">
        <f>5000+5000</f>
        <v>10000</v>
      </c>
      <c r="G96" s="358">
        <f>25555.56</f>
        <v>25555.56</v>
      </c>
      <c r="H96" s="356">
        <f t="shared" si="1"/>
        <v>55555.56</v>
      </c>
      <c r="I96" s="369"/>
    </row>
    <row r="97" spans="1:9" ht="16.5" x14ac:dyDescent="0.2">
      <c r="A97" s="931" t="s">
        <v>1008</v>
      </c>
      <c r="B97" s="353" t="s">
        <v>1009</v>
      </c>
      <c r="C97" s="354">
        <v>45323</v>
      </c>
      <c r="D97" s="358">
        <f>5000</f>
        <v>5000</v>
      </c>
      <c r="E97" s="358">
        <v>0</v>
      </c>
      <c r="F97" s="360">
        <f>5000+5000</f>
        <v>10000</v>
      </c>
      <c r="G97" s="358">
        <f>15972.22</f>
        <v>15972.22</v>
      </c>
      <c r="H97" s="356">
        <f t="shared" si="1"/>
        <v>30972.22</v>
      </c>
      <c r="I97" s="369"/>
    </row>
    <row r="98" spans="1:9" ht="16.5" x14ac:dyDescent="0.2">
      <c r="A98" s="931" t="s">
        <v>1010</v>
      </c>
      <c r="B98" s="353" t="s">
        <v>1011</v>
      </c>
      <c r="C98" s="354">
        <v>45323</v>
      </c>
      <c r="D98" s="358">
        <v>10000</v>
      </c>
      <c r="E98" s="358">
        <v>0</v>
      </c>
      <c r="F98" s="358">
        <f>10000</f>
        <v>10000</v>
      </c>
      <c r="G98" s="358">
        <f>30000</f>
        <v>30000</v>
      </c>
      <c r="H98" s="356">
        <f t="shared" si="1"/>
        <v>50000</v>
      </c>
      <c r="I98" s="369"/>
    </row>
    <row r="99" spans="1:9" ht="16.5" x14ac:dyDescent="0.2">
      <c r="A99" s="931" t="s">
        <v>1012</v>
      </c>
      <c r="B99" s="353" t="s">
        <v>1013</v>
      </c>
      <c r="C99" s="354">
        <v>45323</v>
      </c>
      <c r="D99" s="358">
        <v>0</v>
      </c>
      <c r="E99" s="358">
        <v>0</v>
      </c>
      <c r="F99" s="358">
        <v>0</v>
      </c>
      <c r="G99" s="358">
        <v>0</v>
      </c>
      <c r="H99" s="356">
        <f t="shared" si="1"/>
        <v>0</v>
      </c>
      <c r="I99" s="368"/>
    </row>
    <row r="100" spans="1:9" ht="16.5" x14ac:dyDescent="0.2">
      <c r="A100" s="931" t="s">
        <v>1014</v>
      </c>
      <c r="B100" s="353" t="s">
        <v>1015</v>
      </c>
      <c r="C100" s="354">
        <v>45323</v>
      </c>
      <c r="D100" s="358">
        <f>0</f>
        <v>0</v>
      </c>
      <c r="E100" s="358">
        <v>0</v>
      </c>
      <c r="F100" s="358">
        <v>0</v>
      </c>
      <c r="G100" s="358">
        <f>0</f>
        <v>0</v>
      </c>
      <c r="H100" s="356">
        <f t="shared" si="1"/>
        <v>0</v>
      </c>
      <c r="I100" s="368"/>
    </row>
    <row r="101" spans="1:9" ht="16.5" x14ac:dyDescent="0.2">
      <c r="A101" s="931" t="s">
        <v>1016</v>
      </c>
      <c r="B101" s="353" t="s">
        <v>1017</v>
      </c>
      <c r="C101" s="354">
        <v>45323</v>
      </c>
      <c r="D101" s="358">
        <v>0</v>
      </c>
      <c r="E101" s="358">
        <v>0</v>
      </c>
      <c r="F101" s="358">
        <v>0</v>
      </c>
      <c r="G101" s="358">
        <v>0</v>
      </c>
      <c r="H101" s="356">
        <f t="shared" si="1"/>
        <v>0</v>
      </c>
      <c r="I101" s="368"/>
    </row>
    <row r="102" spans="1:9" ht="16.5" x14ac:dyDescent="0.2">
      <c r="A102" s="931" t="s">
        <v>1018</v>
      </c>
      <c r="B102" s="353" t="s">
        <v>1019</v>
      </c>
      <c r="C102" s="354">
        <v>45323</v>
      </c>
      <c r="D102" s="358">
        <f>10000</f>
        <v>10000</v>
      </c>
      <c r="E102" s="358">
        <v>0</v>
      </c>
      <c r="F102" s="358">
        <v>0</v>
      </c>
      <c r="G102" s="358">
        <f>50000</f>
        <v>50000</v>
      </c>
      <c r="H102" s="356">
        <f t="shared" si="1"/>
        <v>60000</v>
      </c>
      <c r="I102" s="369"/>
    </row>
    <row r="103" spans="1:9" ht="16.5" x14ac:dyDescent="0.2">
      <c r="A103" s="931" t="s">
        <v>1020</v>
      </c>
      <c r="B103" s="353" t="s">
        <v>1021</v>
      </c>
      <c r="C103" s="354">
        <v>45323</v>
      </c>
      <c r="D103" s="358">
        <v>0</v>
      </c>
      <c r="E103" s="358">
        <v>0</v>
      </c>
      <c r="F103" s="358">
        <v>0</v>
      </c>
      <c r="G103" s="358">
        <v>0</v>
      </c>
      <c r="H103" s="356">
        <f t="shared" si="1"/>
        <v>0</v>
      </c>
      <c r="I103" s="368"/>
    </row>
    <row r="104" spans="1:9" ht="16.5" x14ac:dyDescent="0.2">
      <c r="A104" s="931" t="s">
        <v>1022</v>
      </c>
      <c r="B104" s="353" t="s">
        <v>1023</v>
      </c>
      <c r="C104" s="354">
        <v>45323</v>
      </c>
      <c r="D104" s="358"/>
      <c r="E104" s="358"/>
      <c r="F104" s="358"/>
      <c r="G104" s="358">
        <f>0</f>
        <v>0</v>
      </c>
      <c r="H104" s="356">
        <f t="shared" si="1"/>
        <v>0</v>
      </c>
      <c r="I104" s="369"/>
    </row>
    <row r="105" spans="1:9" ht="16.5" x14ac:dyDescent="0.2">
      <c r="A105" s="931" t="s">
        <v>1024</v>
      </c>
      <c r="B105" s="353" t="s">
        <v>1025</v>
      </c>
      <c r="C105" s="354">
        <v>45323</v>
      </c>
      <c r="D105" s="358"/>
      <c r="E105" s="358"/>
      <c r="F105" s="358"/>
      <c r="G105" s="362"/>
      <c r="H105" s="356">
        <f t="shared" si="1"/>
        <v>0</v>
      </c>
      <c r="I105" s="368"/>
    </row>
    <row r="106" spans="1:9" ht="16.5" x14ac:dyDescent="0.2">
      <c r="A106" s="931" t="s">
        <v>1026</v>
      </c>
      <c r="B106" s="353" t="s">
        <v>1027</v>
      </c>
      <c r="C106" s="354">
        <v>45323</v>
      </c>
      <c r="D106" s="358">
        <v>0</v>
      </c>
      <c r="E106" s="358">
        <v>0</v>
      </c>
      <c r="F106" s="358">
        <v>0</v>
      </c>
      <c r="G106" s="358">
        <v>0</v>
      </c>
      <c r="H106" s="356">
        <f t="shared" si="1"/>
        <v>0</v>
      </c>
      <c r="I106" s="368"/>
    </row>
    <row r="107" spans="1:9" ht="15" customHeight="1" x14ac:dyDescent="0.2">
      <c r="A107" s="933" t="s">
        <v>1028</v>
      </c>
      <c r="B107" s="353" t="s">
        <v>1029</v>
      </c>
      <c r="C107" s="354">
        <v>45323</v>
      </c>
      <c r="D107" s="356">
        <f>50000</f>
        <v>50000</v>
      </c>
      <c r="E107" s="359"/>
      <c r="F107" s="359"/>
      <c r="G107" s="377">
        <f>0</f>
        <v>0</v>
      </c>
      <c r="H107" s="356">
        <f t="shared" si="1"/>
        <v>50000</v>
      </c>
      <c r="I107" s="369"/>
    </row>
    <row r="108" spans="1:9" ht="18" x14ac:dyDescent="0.2">
      <c r="A108" s="933" t="s">
        <v>1030</v>
      </c>
      <c r="B108" s="353" t="s">
        <v>1031</v>
      </c>
      <c r="C108" s="354">
        <v>45323</v>
      </c>
      <c r="D108" s="356">
        <f>30000</f>
        <v>30000</v>
      </c>
      <c r="E108" s="358"/>
      <c r="F108" s="358">
        <f>0</f>
        <v>0</v>
      </c>
      <c r="G108" s="378">
        <f>17500</f>
        <v>17500</v>
      </c>
      <c r="H108" s="356">
        <f t="shared" si="1"/>
        <v>47500</v>
      </c>
      <c r="I108" s="369"/>
    </row>
    <row r="109" spans="1:9" ht="18" x14ac:dyDescent="0.2">
      <c r="A109" s="931" t="s">
        <v>1032</v>
      </c>
      <c r="B109" s="353" t="s">
        <v>1033</v>
      </c>
      <c r="C109" s="354">
        <v>45323</v>
      </c>
      <c r="D109" s="358">
        <v>100000</v>
      </c>
      <c r="E109" s="358"/>
      <c r="F109" s="358">
        <v>0</v>
      </c>
      <c r="G109" s="378">
        <v>0</v>
      </c>
      <c r="H109" s="356">
        <f t="shared" si="1"/>
        <v>100000</v>
      </c>
      <c r="I109" s="369"/>
    </row>
    <row r="110" spans="1:9" ht="18" x14ac:dyDescent="0.2">
      <c r="A110" s="931" t="s">
        <v>1034</v>
      </c>
      <c r="B110" s="353" t="s">
        <v>1035</v>
      </c>
      <c r="C110" s="354">
        <v>45323</v>
      </c>
      <c r="D110" s="358">
        <f>20000</f>
        <v>20000</v>
      </c>
      <c r="E110" s="358"/>
      <c r="F110" s="358">
        <f>10000</f>
        <v>10000</v>
      </c>
      <c r="G110" s="378">
        <v>45833.333333333299</v>
      </c>
      <c r="H110" s="356">
        <f t="shared" si="1"/>
        <v>75833.333333333299</v>
      </c>
      <c r="I110" s="369"/>
    </row>
    <row r="111" spans="1:9" ht="18" x14ac:dyDescent="0.2">
      <c r="A111" s="933" t="s">
        <v>1036</v>
      </c>
      <c r="B111" s="353" t="s">
        <v>195</v>
      </c>
      <c r="C111" s="354">
        <v>45323</v>
      </c>
      <c r="D111" s="376">
        <f>50000</f>
        <v>50000</v>
      </c>
      <c r="E111" s="376"/>
      <c r="F111" s="359"/>
      <c r="G111" s="376">
        <f>0</f>
        <v>0</v>
      </c>
      <c r="H111" s="356">
        <f t="shared" si="1"/>
        <v>50000</v>
      </c>
      <c r="I111" s="368"/>
    </row>
    <row r="112" spans="1:9" ht="18" x14ac:dyDescent="0.2">
      <c r="A112" s="931" t="s">
        <v>1037</v>
      </c>
      <c r="B112" s="353" t="s">
        <v>1038</v>
      </c>
      <c r="C112" s="354">
        <v>45323</v>
      </c>
      <c r="D112" s="378">
        <f>15000</f>
        <v>15000</v>
      </c>
      <c r="E112" s="378"/>
      <c r="F112" s="358"/>
      <c r="G112" s="358">
        <f>20000</f>
        <v>20000</v>
      </c>
      <c r="H112" s="356">
        <f t="shared" si="1"/>
        <v>35000</v>
      </c>
      <c r="I112" s="369"/>
    </row>
    <row r="113" spans="1:15" ht="18" x14ac:dyDescent="0.2">
      <c r="A113" s="934" t="s">
        <v>1039</v>
      </c>
      <c r="B113" s="353" t="s">
        <v>196</v>
      </c>
      <c r="C113" s="354">
        <v>45323</v>
      </c>
      <c r="D113" s="376">
        <f>0</f>
        <v>0</v>
      </c>
      <c r="E113" s="378"/>
      <c r="F113" s="358"/>
      <c r="G113" s="358">
        <f>0</f>
        <v>0</v>
      </c>
      <c r="H113" s="356">
        <f t="shared" si="1"/>
        <v>0</v>
      </c>
      <c r="I113" s="368"/>
    </row>
    <row r="114" spans="1:15" ht="18" x14ac:dyDescent="0.2">
      <c r="A114" s="931" t="s">
        <v>1040</v>
      </c>
      <c r="B114" s="353" t="s">
        <v>1041</v>
      </c>
      <c r="C114" s="354">
        <v>45323</v>
      </c>
      <c r="D114" s="378">
        <f>20000</f>
        <v>20000</v>
      </c>
      <c r="E114" s="379"/>
      <c r="F114" s="358">
        <v>0</v>
      </c>
      <c r="G114" s="358">
        <f>50000</f>
        <v>50000</v>
      </c>
      <c r="H114" s="356">
        <f t="shared" si="1"/>
        <v>70000</v>
      </c>
      <c r="I114" s="369"/>
    </row>
    <row r="115" spans="1:15" ht="18" x14ac:dyDescent="0.2">
      <c r="A115" s="931" t="s">
        <v>1042</v>
      </c>
      <c r="B115" s="353" t="s">
        <v>1043</v>
      </c>
      <c r="C115" s="354">
        <v>45323</v>
      </c>
      <c r="D115" s="378">
        <f>10000</f>
        <v>10000</v>
      </c>
      <c r="E115" s="379"/>
      <c r="F115" s="360">
        <f>5000+5000</f>
        <v>10000</v>
      </c>
      <c r="G115" s="358">
        <f>14222.06+12000</f>
        <v>26222.06</v>
      </c>
      <c r="H115" s="356">
        <f t="shared" si="1"/>
        <v>46222.06</v>
      </c>
      <c r="I115" s="369"/>
    </row>
    <row r="116" spans="1:15" ht="18" x14ac:dyDescent="0.2">
      <c r="A116" s="931" t="s">
        <v>1044</v>
      </c>
      <c r="B116" s="353" t="s">
        <v>284</v>
      </c>
      <c r="C116" s="354">
        <v>45323</v>
      </c>
      <c r="D116" s="378">
        <f>35000</f>
        <v>35000</v>
      </c>
      <c r="E116" s="379"/>
      <c r="F116" s="358">
        <v>0</v>
      </c>
      <c r="G116" s="358">
        <v>159722.22222222199</v>
      </c>
      <c r="H116" s="356">
        <f t="shared" si="1"/>
        <v>194722.22222222199</v>
      </c>
      <c r="I116" s="369"/>
    </row>
    <row r="117" spans="1:15" ht="16.5" x14ac:dyDescent="0.2">
      <c r="A117" s="934" t="s">
        <v>1045</v>
      </c>
      <c r="B117" s="353" t="s">
        <v>1046</v>
      </c>
      <c r="C117" s="354">
        <v>45323</v>
      </c>
      <c r="D117" s="356">
        <f>35000</f>
        <v>35000</v>
      </c>
      <c r="E117" s="356"/>
      <c r="F117" s="356">
        <f>50000</f>
        <v>50000</v>
      </c>
      <c r="G117" s="380"/>
      <c r="H117" s="356">
        <f t="shared" si="1"/>
        <v>85000</v>
      </c>
      <c r="I117" s="369"/>
    </row>
    <row r="118" spans="1:15" ht="18" x14ac:dyDescent="0.2">
      <c r="A118" s="931" t="s">
        <v>1047</v>
      </c>
      <c r="B118" s="353" t="s">
        <v>1048</v>
      </c>
      <c r="C118" s="354">
        <v>45323</v>
      </c>
      <c r="D118" s="358">
        <f>10000</f>
        <v>10000</v>
      </c>
      <c r="E118" s="358"/>
      <c r="F118" s="360">
        <f>10000</f>
        <v>10000</v>
      </c>
      <c r="G118" s="381">
        <f>18333.33</f>
        <v>18333.330000000002</v>
      </c>
      <c r="H118" s="356">
        <f t="shared" si="1"/>
        <v>38333.33</v>
      </c>
      <c r="I118" s="369"/>
      <c r="J118" s="368"/>
      <c r="L118" s="370"/>
    </row>
    <row r="119" spans="1:15" ht="16.5" x14ac:dyDescent="0.2">
      <c r="A119" s="931" t="s">
        <v>1049</v>
      </c>
      <c r="B119" s="353" t="s">
        <v>1050</v>
      </c>
      <c r="C119" s="354">
        <v>45323</v>
      </c>
      <c r="D119" s="358">
        <f>10000</f>
        <v>10000</v>
      </c>
      <c r="E119" s="358"/>
      <c r="F119" s="360">
        <f>5000+5000</f>
        <v>10000</v>
      </c>
      <c r="G119" s="358">
        <f>13125+2500</f>
        <v>15625</v>
      </c>
      <c r="H119" s="356">
        <f t="shared" si="1"/>
        <v>35625</v>
      </c>
      <c r="I119" s="369"/>
    </row>
    <row r="120" spans="1:15" ht="16.5" x14ac:dyDescent="0.2">
      <c r="A120" s="931" t="s">
        <v>1051</v>
      </c>
      <c r="B120" s="353" t="s">
        <v>1052</v>
      </c>
      <c r="C120" s="354">
        <v>45323</v>
      </c>
      <c r="D120" s="358">
        <f>10000</f>
        <v>10000</v>
      </c>
      <c r="E120" s="358"/>
      <c r="F120" s="360">
        <f>10000</f>
        <v>10000</v>
      </c>
      <c r="G120" s="358">
        <f>10000</f>
        <v>10000</v>
      </c>
      <c r="H120" s="356">
        <f t="shared" si="1"/>
        <v>30000</v>
      </c>
      <c r="I120" s="369"/>
    </row>
    <row r="121" spans="1:15" ht="16.5" x14ac:dyDescent="0.2">
      <c r="A121" s="931" t="s">
        <v>1053</v>
      </c>
      <c r="B121" s="353" t="s">
        <v>1054</v>
      </c>
      <c r="C121" s="354">
        <v>45323</v>
      </c>
      <c r="D121" s="358">
        <v>10000</v>
      </c>
      <c r="E121" s="358"/>
      <c r="F121" s="360"/>
      <c r="G121" s="358">
        <v>63888.89</v>
      </c>
      <c r="H121" s="356">
        <f t="shared" si="1"/>
        <v>73888.89</v>
      </c>
      <c r="I121" s="369"/>
    </row>
    <row r="122" spans="1:15" ht="16.5" x14ac:dyDescent="0.2">
      <c r="A122" s="931" t="s">
        <v>1055</v>
      </c>
      <c r="B122" s="353" t="s">
        <v>1056</v>
      </c>
      <c r="C122" s="354">
        <v>45323</v>
      </c>
      <c r="D122" s="358">
        <f>50000</f>
        <v>50000</v>
      </c>
      <c r="E122" s="358"/>
      <c r="F122" s="358">
        <f>50000</f>
        <v>50000</v>
      </c>
      <c r="G122" s="358"/>
      <c r="H122" s="356">
        <f t="shared" si="1"/>
        <v>100000</v>
      </c>
      <c r="I122" s="369"/>
      <c r="O122" s="368"/>
    </row>
    <row r="123" spans="1:15" ht="18" x14ac:dyDescent="0.2">
      <c r="A123" s="931" t="s">
        <v>1057</v>
      </c>
      <c r="B123" s="353" t="s">
        <v>217</v>
      </c>
      <c r="C123" s="354">
        <v>45323</v>
      </c>
      <c r="D123" s="358">
        <f>5000</f>
        <v>5000</v>
      </c>
      <c r="E123" s="358"/>
      <c r="F123" s="358"/>
      <c r="G123" s="378">
        <f>64806.29</f>
        <v>64806.29</v>
      </c>
      <c r="H123" s="356">
        <f t="shared" si="1"/>
        <v>69806.289999999994</v>
      </c>
      <c r="I123" s="369"/>
      <c r="O123" s="368"/>
    </row>
    <row r="124" spans="1:15" ht="18" x14ac:dyDescent="0.2">
      <c r="A124" s="931" t="s">
        <v>1058</v>
      </c>
      <c r="B124" s="353" t="s">
        <v>1059</v>
      </c>
      <c r="C124" s="354">
        <v>45323</v>
      </c>
      <c r="D124" s="360">
        <f>30000</f>
        <v>30000</v>
      </c>
      <c r="E124" s="360">
        <f>0</f>
        <v>0</v>
      </c>
      <c r="F124" s="360">
        <f>0</f>
        <v>0</v>
      </c>
      <c r="G124" s="382">
        <f>60000</f>
        <v>60000</v>
      </c>
      <c r="H124" s="356">
        <f t="shared" si="1"/>
        <v>90000</v>
      </c>
      <c r="I124" s="369"/>
      <c r="N124" s="368"/>
      <c r="O124" s="368"/>
    </row>
    <row r="125" spans="1:15" ht="18" x14ac:dyDescent="0.2">
      <c r="A125" s="934" t="s">
        <v>1060</v>
      </c>
      <c r="B125" s="353" t="s">
        <v>1061</v>
      </c>
      <c r="C125" s="354">
        <v>45323</v>
      </c>
      <c r="D125" s="360">
        <f>20000</f>
        <v>20000</v>
      </c>
      <c r="E125" s="360"/>
      <c r="F125" s="377"/>
      <c r="G125" s="383">
        <f>17500</f>
        <v>17500</v>
      </c>
      <c r="H125" s="356">
        <f t="shared" si="1"/>
        <v>37500</v>
      </c>
      <c r="I125" s="369"/>
      <c r="N125" s="368"/>
      <c r="O125" s="368"/>
    </row>
    <row r="126" spans="1:15" ht="16.5" x14ac:dyDescent="0.2">
      <c r="A126" s="934" t="s">
        <v>1062</v>
      </c>
      <c r="B126" s="353" t="s">
        <v>281</v>
      </c>
      <c r="C126" s="354">
        <v>45323</v>
      </c>
      <c r="D126" s="358">
        <v>0</v>
      </c>
      <c r="E126" s="358">
        <v>0</v>
      </c>
      <c r="F126" s="358">
        <v>0</v>
      </c>
      <c r="G126" s="358">
        <f>100000</f>
        <v>100000</v>
      </c>
      <c r="H126" s="356">
        <f t="shared" si="1"/>
        <v>100000</v>
      </c>
      <c r="I126" s="369"/>
      <c r="N126" s="368"/>
      <c r="O126" s="372"/>
    </row>
    <row r="127" spans="1:15" ht="16.5" x14ac:dyDescent="0.2">
      <c r="A127" s="934" t="s">
        <v>1063</v>
      </c>
      <c r="B127" s="353" t="s">
        <v>1064</v>
      </c>
      <c r="C127" s="354">
        <v>45323</v>
      </c>
      <c r="D127" s="358"/>
      <c r="E127" s="358"/>
      <c r="F127" s="358"/>
      <c r="G127" s="358"/>
      <c r="H127" s="356">
        <f t="shared" si="1"/>
        <v>0</v>
      </c>
      <c r="I127" s="368"/>
      <c r="N127" s="368"/>
      <c r="O127" s="370"/>
    </row>
    <row r="128" spans="1:15" ht="16.5" x14ac:dyDescent="0.2">
      <c r="A128" s="934" t="s">
        <v>1065</v>
      </c>
      <c r="B128" s="353" t="s">
        <v>1066</v>
      </c>
      <c r="C128" s="354">
        <v>45323</v>
      </c>
      <c r="D128" s="356">
        <f>0</f>
        <v>0</v>
      </c>
      <c r="E128" s="358"/>
      <c r="F128" s="358"/>
      <c r="G128" s="358">
        <f>0</f>
        <v>0</v>
      </c>
      <c r="H128" s="356">
        <f t="shared" si="1"/>
        <v>0</v>
      </c>
      <c r="I128" s="368"/>
      <c r="N128" s="368"/>
    </row>
    <row r="129" spans="1:15" ht="16.5" x14ac:dyDescent="0.2">
      <c r="A129" s="934" t="s">
        <v>1067</v>
      </c>
      <c r="B129" s="353" t="s">
        <v>1068</v>
      </c>
      <c r="C129" s="354">
        <v>45323</v>
      </c>
      <c r="D129" s="356">
        <f>50000</f>
        <v>50000</v>
      </c>
      <c r="E129" s="358"/>
      <c r="F129" s="358">
        <f>0</f>
        <v>0</v>
      </c>
      <c r="G129" s="358"/>
      <c r="H129" s="356">
        <f t="shared" si="1"/>
        <v>50000</v>
      </c>
      <c r="I129" s="369"/>
      <c r="K129" s="368"/>
    </row>
    <row r="130" spans="1:15" ht="16.5" x14ac:dyDescent="0.2">
      <c r="A130" s="934" t="s">
        <v>1067</v>
      </c>
      <c r="B130" s="353" t="s">
        <v>1069</v>
      </c>
      <c r="C130" s="354">
        <v>45323</v>
      </c>
      <c r="D130" s="356"/>
      <c r="E130" s="358"/>
      <c r="F130" s="358"/>
      <c r="G130" s="358"/>
      <c r="H130" s="356">
        <f t="shared" si="1"/>
        <v>0</v>
      </c>
      <c r="I130" s="369"/>
      <c r="K130" s="368"/>
      <c r="O130" s="370"/>
    </row>
    <row r="131" spans="1:15" ht="16.5" x14ac:dyDescent="0.2">
      <c r="A131" s="934" t="s">
        <v>1070</v>
      </c>
      <c r="B131" s="353" t="s">
        <v>194</v>
      </c>
      <c r="C131" s="354">
        <v>45323</v>
      </c>
      <c r="D131" s="358">
        <f>50000</f>
        <v>50000</v>
      </c>
      <c r="E131" s="358">
        <f>0</f>
        <v>0</v>
      </c>
      <c r="F131" s="358">
        <v>0</v>
      </c>
      <c r="G131" s="358">
        <f>0</f>
        <v>0</v>
      </c>
      <c r="H131" s="356">
        <f t="shared" si="1"/>
        <v>50000</v>
      </c>
      <c r="I131" s="369"/>
      <c r="K131" s="368"/>
      <c r="L131" s="370"/>
    </row>
    <row r="132" spans="1:15" ht="16.5" x14ac:dyDescent="0.2">
      <c r="A132" s="934" t="s">
        <v>1071</v>
      </c>
      <c r="B132" s="353" t="s">
        <v>1072</v>
      </c>
      <c r="C132" s="354">
        <v>45323</v>
      </c>
      <c r="D132" s="358">
        <f>0</f>
        <v>0</v>
      </c>
      <c r="E132" s="358">
        <f>0</f>
        <v>0</v>
      </c>
      <c r="F132" s="358">
        <f>0</f>
        <v>0</v>
      </c>
      <c r="G132" s="358">
        <v>0</v>
      </c>
      <c r="H132" s="356">
        <f t="shared" si="1"/>
        <v>0</v>
      </c>
      <c r="I132" s="368"/>
      <c r="K132" s="370"/>
      <c r="L132" s="370"/>
      <c r="N132" s="368"/>
    </row>
    <row r="133" spans="1:15" ht="16.5" x14ac:dyDescent="0.2">
      <c r="A133" s="934" t="s">
        <v>1073</v>
      </c>
      <c r="B133" s="353" t="s">
        <v>1074</v>
      </c>
      <c r="C133" s="354">
        <v>45323</v>
      </c>
      <c r="D133" s="356">
        <f>50000</f>
        <v>50000</v>
      </c>
      <c r="E133" s="358"/>
      <c r="F133" s="358"/>
      <c r="G133" s="358">
        <v>59583.333333333299</v>
      </c>
      <c r="H133" s="356">
        <f t="shared" si="1"/>
        <v>109583.33333333299</v>
      </c>
      <c r="I133" s="369"/>
      <c r="L133" s="370"/>
      <c r="N133" s="368"/>
    </row>
    <row r="134" spans="1:15" ht="16.5" x14ac:dyDescent="0.2">
      <c r="A134" s="934" t="s">
        <v>1075</v>
      </c>
      <c r="B134" s="353" t="s">
        <v>1076</v>
      </c>
      <c r="C134" s="354">
        <v>45323</v>
      </c>
      <c r="D134" s="359"/>
      <c r="E134" s="359"/>
      <c r="F134" s="358"/>
      <c r="G134" s="358"/>
      <c r="H134" s="356">
        <f t="shared" ref="H134:H184" si="2">D134+E134+F134+G134</f>
        <v>0</v>
      </c>
      <c r="I134" s="368"/>
      <c r="N134" s="368"/>
    </row>
    <row r="135" spans="1:15" ht="16.5" x14ac:dyDescent="0.2">
      <c r="A135" s="934" t="s">
        <v>1077</v>
      </c>
      <c r="B135" s="353" t="s">
        <v>1078</v>
      </c>
      <c r="C135" s="354">
        <v>45323</v>
      </c>
      <c r="D135" s="358">
        <f>10000</f>
        <v>10000</v>
      </c>
      <c r="E135" s="358">
        <f>0</f>
        <v>0</v>
      </c>
      <c r="F135" s="358"/>
      <c r="G135" s="358">
        <f>95833.33</f>
        <v>95833.33</v>
      </c>
      <c r="H135" s="356">
        <f t="shared" si="2"/>
        <v>105833.33</v>
      </c>
      <c r="I135" s="369"/>
      <c r="J135" s="368"/>
      <c r="L135" s="370"/>
      <c r="M135" s="368"/>
      <c r="N135" s="368"/>
    </row>
    <row r="136" spans="1:15" ht="16.5" x14ac:dyDescent="0.2">
      <c r="A136" s="934" t="s">
        <v>1079</v>
      </c>
      <c r="B136" s="353" t="s">
        <v>1080</v>
      </c>
      <c r="C136" s="354">
        <v>45323</v>
      </c>
      <c r="D136" s="358">
        <f>10000</f>
        <v>10000</v>
      </c>
      <c r="E136" s="358">
        <v>0</v>
      </c>
      <c r="F136" s="358">
        <f>5000+5000</f>
        <v>10000</v>
      </c>
      <c r="G136" s="360">
        <f>22916.67+10000</f>
        <v>32916.67</v>
      </c>
      <c r="H136" s="356">
        <f t="shared" si="2"/>
        <v>52916.67</v>
      </c>
      <c r="I136" s="369"/>
      <c r="J136" s="368"/>
      <c r="M136" s="368"/>
      <c r="N136" s="368"/>
    </row>
    <row r="137" spans="1:15" ht="16.5" x14ac:dyDescent="0.2">
      <c r="A137" s="934" t="s">
        <v>1081</v>
      </c>
      <c r="B137" s="353" t="s">
        <v>1082</v>
      </c>
      <c r="C137" s="354">
        <v>45323</v>
      </c>
      <c r="D137" s="360">
        <f>100000</f>
        <v>100000</v>
      </c>
      <c r="E137" s="358"/>
      <c r="F137" s="358"/>
      <c r="G137" s="360">
        <f>131250</f>
        <v>131250</v>
      </c>
      <c r="H137" s="356">
        <f t="shared" si="2"/>
        <v>231250</v>
      </c>
      <c r="I137" s="369"/>
      <c r="J137" s="368"/>
      <c r="M137" s="368"/>
    </row>
    <row r="138" spans="1:15" ht="16.5" x14ac:dyDescent="0.2">
      <c r="A138" s="934" t="s">
        <v>1083</v>
      </c>
      <c r="B138" s="353" t="s">
        <v>1084</v>
      </c>
      <c r="C138" s="354">
        <v>45323</v>
      </c>
      <c r="D138" s="360">
        <f>50000</f>
        <v>50000</v>
      </c>
      <c r="E138" s="360">
        <f>0</f>
        <v>0</v>
      </c>
      <c r="F138" s="360"/>
      <c r="G138" s="360"/>
      <c r="H138" s="356">
        <f t="shared" si="2"/>
        <v>50000</v>
      </c>
      <c r="I138" s="369"/>
      <c r="J138" s="368"/>
      <c r="M138" s="368"/>
    </row>
    <row r="139" spans="1:15" ht="16.5" x14ac:dyDescent="0.2">
      <c r="A139" s="934" t="s">
        <v>1085</v>
      </c>
      <c r="B139" s="353" t="s">
        <v>303</v>
      </c>
      <c r="C139" s="354">
        <v>45323</v>
      </c>
      <c r="D139" s="360">
        <f>10000</f>
        <v>10000</v>
      </c>
      <c r="E139" s="360">
        <f>0</f>
        <v>0</v>
      </c>
      <c r="F139" s="360"/>
      <c r="G139" s="356">
        <f>90000</f>
        <v>90000</v>
      </c>
      <c r="H139" s="356">
        <f t="shared" si="2"/>
        <v>100000</v>
      </c>
      <c r="I139" s="369"/>
      <c r="J139" s="368"/>
      <c r="M139" s="368"/>
    </row>
    <row r="140" spans="1:15" ht="16.5" x14ac:dyDescent="0.2">
      <c r="A140" s="934" t="s">
        <v>1086</v>
      </c>
      <c r="B140" s="353" t="s">
        <v>181</v>
      </c>
      <c r="C140" s="354">
        <v>45323</v>
      </c>
      <c r="D140" s="360">
        <f>50000</f>
        <v>50000</v>
      </c>
      <c r="E140" s="360"/>
      <c r="F140" s="360"/>
      <c r="G140" s="356">
        <f>50000</f>
        <v>50000</v>
      </c>
      <c r="H140" s="356">
        <f t="shared" si="2"/>
        <v>100000</v>
      </c>
      <c r="I140" s="369"/>
      <c r="M140" s="368"/>
    </row>
    <row r="141" spans="1:15" ht="16.5" x14ac:dyDescent="0.2">
      <c r="A141" s="934" t="s">
        <v>1087</v>
      </c>
      <c r="B141" s="353" t="s">
        <v>1088</v>
      </c>
      <c r="C141" s="354">
        <v>45323</v>
      </c>
      <c r="D141" s="360">
        <f>100000</f>
        <v>100000</v>
      </c>
      <c r="E141" s="360">
        <f>0</f>
        <v>0</v>
      </c>
      <c r="F141" s="360">
        <f>100000</f>
        <v>100000</v>
      </c>
      <c r="G141" s="360">
        <f>223611.11</f>
        <v>223611.11</v>
      </c>
      <c r="H141" s="356">
        <f t="shared" si="2"/>
        <v>423611.11</v>
      </c>
      <c r="I141" s="369"/>
      <c r="J141" s="368"/>
      <c r="M141" s="368"/>
      <c r="N141" s="370"/>
    </row>
    <row r="142" spans="1:15" ht="16.5" x14ac:dyDescent="0.2">
      <c r="A142" s="934" t="s">
        <v>1089</v>
      </c>
      <c r="B142" s="353" t="s">
        <v>1090</v>
      </c>
      <c r="C142" s="354">
        <v>45323</v>
      </c>
      <c r="D142" s="360">
        <f>10000</f>
        <v>10000</v>
      </c>
      <c r="E142" s="360">
        <f>0</f>
        <v>0</v>
      </c>
      <c r="F142" s="360"/>
      <c r="G142" s="360">
        <f>70000</f>
        <v>70000</v>
      </c>
      <c r="H142" s="356">
        <f t="shared" si="2"/>
        <v>80000</v>
      </c>
      <c r="I142" s="369"/>
      <c r="J142" s="368"/>
      <c r="M142" s="368"/>
    </row>
    <row r="143" spans="1:15" ht="16.5" x14ac:dyDescent="0.2">
      <c r="A143" s="934" t="s">
        <v>1091</v>
      </c>
      <c r="B143" s="353" t="s">
        <v>352</v>
      </c>
      <c r="C143" s="354">
        <v>45323</v>
      </c>
      <c r="D143" s="360">
        <f>5000</f>
        <v>5000</v>
      </c>
      <c r="E143" s="360">
        <f>0</f>
        <v>0</v>
      </c>
      <c r="F143" s="360">
        <f>5000+5000</f>
        <v>10000</v>
      </c>
      <c r="G143" s="360">
        <f>15000</f>
        <v>15000</v>
      </c>
      <c r="H143" s="356">
        <f t="shared" si="2"/>
        <v>30000</v>
      </c>
      <c r="I143" s="369"/>
      <c r="M143" s="368"/>
    </row>
    <row r="144" spans="1:15" ht="16.5" x14ac:dyDescent="0.2">
      <c r="A144" s="934" t="s">
        <v>1092</v>
      </c>
      <c r="B144" s="353" t="s">
        <v>1093</v>
      </c>
      <c r="C144" s="354">
        <v>45323</v>
      </c>
      <c r="D144" s="360">
        <f>0</f>
        <v>0</v>
      </c>
      <c r="E144" s="360">
        <v>0</v>
      </c>
      <c r="F144" s="360"/>
      <c r="G144" s="360">
        <f>0</f>
        <v>0</v>
      </c>
      <c r="H144" s="356">
        <f t="shared" si="2"/>
        <v>0</v>
      </c>
      <c r="I144" s="368"/>
      <c r="L144" s="368"/>
      <c r="M144" s="368"/>
    </row>
    <row r="145" spans="1:13" ht="18" x14ac:dyDescent="0.2">
      <c r="A145" s="934" t="s">
        <v>1094</v>
      </c>
      <c r="B145" s="353" t="s">
        <v>1095</v>
      </c>
      <c r="C145" s="354">
        <v>45323</v>
      </c>
      <c r="D145" s="360"/>
      <c r="E145" s="360"/>
      <c r="F145" s="360"/>
      <c r="G145" s="378"/>
      <c r="H145" s="356">
        <f t="shared" si="2"/>
        <v>0</v>
      </c>
      <c r="I145" s="369"/>
      <c r="L145" s="368"/>
      <c r="M145" s="368"/>
    </row>
    <row r="146" spans="1:13" ht="16.5" x14ac:dyDescent="0.2">
      <c r="A146" s="934" t="s">
        <v>1096</v>
      </c>
      <c r="B146" s="353" t="s">
        <v>1097</v>
      </c>
      <c r="C146" s="354">
        <v>45323</v>
      </c>
      <c r="D146" s="360">
        <f>200000</f>
        <v>200000</v>
      </c>
      <c r="E146" s="360">
        <f>0</f>
        <v>0</v>
      </c>
      <c r="F146" s="360"/>
      <c r="G146" s="360">
        <f>52500*2+275000</f>
        <v>380000</v>
      </c>
      <c r="H146" s="356">
        <f t="shared" si="2"/>
        <v>580000</v>
      </c>
      <c r="I146" s="369"/>
      <c r="L146" s="368"/>
    </row>
    <row r="147" spans="1:13" ht="16.5" x14ac:dyDescent="0.2">
      <c r="A147" s="934" t="s">
        <v>1098</v>
      </c>
      <c r="B147" s="353" t="s">
        <v>1099</v>
      </c>
      <c r="C147" s="354">
        <v>45323</v>
      </c>
      <c r="D147" s="360">
        <f>25000</f>
        <v>25000</v>
      </c>
      <c r="E147" s="360"/>
      <c r="F147" s="360"/>
      <c r="G147" s="362"/>
      <c r="H147" s="356">
        <f t="shared" si="2"/>
        <v>25000</v>
      </c>
      <c r="I147" s="369"/>
      <c r="L147" s="368"/>
    </row>
    <row r="148" spans="1:13" ht="16.5" x14ac:dyDescent="0.2">
      <c r="A148" s="934" t="s">
        <v>1100</v>
      </c>
      <c r="B148" s="353" t="s">
        <v>1101</v>
      </c>
      <c r="C148" s="354">
        <v>45323</v>
      </c>
      <c r="D148" s="360">
        <f>0</f>
        <v>0</v>
      </c>
      <c r="E148" s="360"/>
      <c r="F148" s="360"/>
      <c r="G148" s="360"/>
      <c r="H148" s="356">
        <f t="shared" si="2"/>
        <v>0</v>
      </c>
      <c r="I148" s="369"/>
      <c r="L148" s="368"/>
    </row>
    <row r="149" spans="1:13" ht="16.5" x14ac:dyDescent="0.2">
      <c r="A149" s="934" t="s">
        <v>1102</v>
      </c>
      <c r="B149" s="353" t="s">
        <v>148</v>
      </c>
      <c r="C149" s="354">
        <v>45323</v>
      </c>
      <c r="D149" s="360">
        <v>50000</v>
      </c>
      <c r="E149" s="360"/>
      <c r="F149" s="360"/>
      <c r="G149" s="360">
        <v>145000</v>
      </c>
      <c r="H149" s="356">
        <f t="shared" si="2"/>
        <v>195000</v>
      </c>
      <c r="I149" s="369"/>
    </row>
    <row r="150" spans="1:13" ht="16.5" x14ac:dyDescent="0.2">
      <c r="A150" s="934" t="s">
        <v>1103</v>
      </c>
      <c r="B150" s="353" t="s">
        <v>219</v>
      </c>
      <c r="C150" s="354">
        <v>45323</v>
      </c>
      <c r="D150" s="360">
        <f>10000</f>
        <v>10000</v>
      </c>
      <c r="E150" s="360">
        <f>0</f>
        <v>0</v>
      </c>
      <c r="F150" s="360"/>
      <c r="G150" s="358">
        <v>19583.330000000002</v>
      </c>
      <c r="H150" s="356">
        <f t="shared" si="2"/>
        <v>29583.33</v>
      </c>
      <c r="I150" s="368"/>
      <c r="L150" s="368"/>
    </row>
    <row r="151" spans="1:13" ht="16.5" x14ac:dyDescent="0.2">
      <c r="A151" s="934" t="s">
        <v>1104</v>
      </c>
      <c r="B151" s="353" t="s">
        <v>1105</v>
      </c>
      <c r="C151" s="354">
        <v>45323</v>
      </c>
      <c r="D151" s="360">
        <f>10000</f>
        <v>10000</v>
      </c>
      <c r="E151" s="360"/>
      <c r="F151" s="360"/>
      <c r="G151" s="360">
        <f>95833.33</f>
        <v>95833.33</v>
      </c>
      <c r="H151" s="356">
        <f t="shared" si="2"/>
        <v>105833.33</v>
      </c>
      <c r="I151" s="369"/>
    </row>
    <row r="152" spans="1:13" ht="16.5" x14ac:dyDescent="0.2">
      <c r="A152" s="934" t="s">
        <v>1106</v>
      </c>
      <c r="B152" s="353" t="s">
        <v>92</v>
      </c>
      <c r="C152" s="354">
        <v>45323</v>
      </c>
      <c r="D152" s="360">
        <f>0</f>
        <v>0</v>
      </c>
      <c r="E152" s="360"/>
      <c r="F152" s="360"/>
      <c r="G152" s="360">
        <f>26666.67</f>
        <v>26666.67</v>
      </c>
      <c r="H152" s="356">
        <f t="shared" si="2"/>
        <v>26666.67</v>
      </c>
      <c r="I152" s="369"/>
    </row>
    <row r="153" spans="1:13" ht="16.5" x14ac:dyDescent="0.2">
      <c r="A153" s="934" t="s">
        <v>1107</v>
      </c>
      <c r="B153" s="353" t="s">
        <v>89</v>
      </c>
      <c r="C153" s="354">
        <v>45323</v>
      </c>
      <c r="D153" s="360">
        <f>50000</f>
        <v>50000</v>
      </c>
      <c r="E153" s="360"/>
      <c r="F153" s="360"/>
      <c r="G153" s="360">
        <f>50000</f>
        <v>50000</v>
      </c>
      <c r="H153" s="356">
        <f t="shared" si="2"/>
        <v>100000</v>
      </c>
      <c r="I153" s="369"/>
    </row>
    <row r="154" spans="1:13" ht="16.5" x14ac:dyDescent="0.2">
      <c r="A154" s="934" t="s">
        <v>1108</v>
      </c>
      <c r="B154" s="353" t="s">
        <v>1109</v>
      </c>
      <c r="C154" s="354">
        <v>45323</v>
      </c>
      <c r="D154" s="360">
        <f>30000</f>
        <v>30000</v>
      </c>
      <c r="E154" s="360"/>
      <c r="F154" s="360"/>
      <c r="G154" s="360"/>
      <c r="H154" s="356">
        <f t="shared" si="2"/>
        <v>30000</v>
      </c>
      <c r="I154" s="369"/>
    </row>
    <row r="155" spans="1:13" ht="16.5" x14ac:dyDescent="0.2">
      <c r="A155" s="934" t="s">
        <v>1110</v>
      </c>
      <c r="B155" s="353" t="s">
        <v>1111</v>
      </c>
      <c r="C155" s="354">
        <v>45323</v>
      </c>
      <c r="D155" s="360">
        <f>0</f>
        <v>0</v>
      </c>
      <c r="E155" s="360"/>
      <c r="F155" s="360"/>
      <c r="G155" s="360"/>
      <c r="H155" s="356">
        <f t="shared" si="2"/>
        <v>0</v>
      </c>
      <c r="I155" s="368"/>
    </row>
    <row r="156" spans="1:13" ht="16.5" x14ac:dyDescent="0.2">
      <c r="A156" s="934" t="s">
        <v>1112</v>
      </c>
      <c r="B156" s="353" t="s">
        <v>1113</v>
      </c>
      <c r="C156" s="354">
        <v>45323</v>
      </c>
      <c r="D156" s="360">
        <f>100000</f>
        <v>100000</v>
      </c>
      <c r="E156" s="360"/>
      <c r="F156" s="360"/>
      <c r="G156" s="360">
        <f>51500</f>
        <v>51500</v>
      </c>
      <c r="H156" s="356">
        <f t="shared" si="2"/>
        <v>151500</v>
      </c>
      <c r="I156" s="369"/>
    </row>
    <row r="157" spans="1:13" ht="16.5" x14ac:dyDescent="0.2">
      <c r="A157" s="934" t="s">
        <v>1114</v>
      </c>
      <c r="B157" s="353" t="s">
        <v>1115</v>
      </c>
      <c r="C157" s="354">
        <v>45323</v>
      </c>
      <c r="D157" s="360">
        <f>10000</f>
        <v>10000</v>
      </c>
      <c r="E157" s="360"/>
      <c r="F157" s="360">
        <f>10000</f>
        <v>10000</v>
      </c>
      <c r="G157" s="360">
        <f>11518</f>
        <v>11518</v>
      </c>
      <c r="H157" s="356">
        <f t="shared" si="2"/>
        <v>31518</v>
      </c>
      <c r="I157" s="369"/>
    </row>
    <row r="158" spans="1:13" ht="16.5" x14ac:dyDescent="0.2">
      <c r="A158" s="934" t="s">
        <v>1116</v>
      </c>
      <c r="B158" s="353" t="s">
        <v>1117</v>
      </c>
      <c r="C158" s="354">
        <v>45323</v>
      </c>
      <c r="D158" s="360">
        <f>20000</f>
        <v>20000</v>
      </c>
      <c r="E158" s="360"/>
      <c r="F158" s="360"/>
      <c r="G158" s="360"/>
      <c r="H158" s="356">
        <f t="shared" si="2"/>
        <v>20000</v>
      </c>
      <c r="I158" s="369"/>
    </row>
    <row r="159" spans="1:13" ht="16.5" x14ac:dyDescent="0.2">
      <c r="A159" s="934" t="s">
        <v>1118</v>
      </c>
      <c r="B159" s="353" t="s">
        <v>360</v>
      </c>
      <c r="C159" s="354">
        <v>45323</v>
      </c>
      <c r="D159" s="360">
        <v>10000</v>
      </c>
      <c r="E159" s="360"/>
      <c r="F159" s="360">
        <f>5000+5000</f>
        <v>10000</v>
      </c>
      <c r="G159" s="360"/>
      <c r="H159" s="356">
        <f t="shared" si="2"/>
        <v>20000</v>
      </c>
      <c r="I159" s="369"/>
    </row>
    <row r="160" spans="1:13" ht="16.5" x14ac:dyDescent="0.2">
      <c r="A160" s="934" t="s">
        <v>1119</v>
      </c>
      <c r="B160" s="353" t="s">
        <v>1120</v>
      </c>
      <c r="C160" s="354">
        <v>45323</v>
      </c>
      <c r="D160" s="360">
        <v>200000</v>
      </c>
      <c r="E160" s="360"/>
      <c r="F160" s="360"/>
      <c r="G160" s="384">
        <f>0</f>
        <v>0</v>
      </c>
      <c r="H160" s="356">
        <f t="shared" si="2"/>
        <v>200000</v>
      </c>
      <c r="I160" s="369"/>
    </row>
    <row r="161" spans="1:9" ht="16.5" x14ac:dyDescent="0.2">
      <c r="A161" s="934" t="s">
        <v>1121</v>
      </c>
      <c r="B161" s="353" t="s">
        <v>1122</v>
      </c>
      <c r="C161" s="354">
        <v>45323</v>
      </c>
      <c r="D161" s="360">
        <f>0</f>
        <v>0</v>
      </c>
      <c r="E161" s="360"/>
      <c r="F161" s="360"/>
      <c r="G161" s="360">
        <f>0</f>
        <v>0</v>
      </c>
      <c r="H161" s="356">
        <f t="shared" si="2"/>
        <v>0</v>
      </c>
      <c r="I161" s="368"/>
    </row>
    <row r="162" spans="1:9" ht="16.5" x14ac:dyDescent="0.2">
      <c r="A162" s="934" t="s">
        <v>1123</v>
      </c>
      <c r="B162" s="353" t="s">
        <v>1124</v>
      </c>
      <c r="C162" s="354">
        <v>45323</v>
      </c>
      <c r="D162" s="360">
        <f>100000</f>
        <v>100000</v>
      </c>
      <c r="E162" s="360"/>
      <c r="F162" s="360"/>
      <c r="G162" s="360"/>
      <c r="H162" s="356">
        <f t="shared" si="2"/>
        <v>100000</v>
      </c>
      <c r="I162" s="369"/>
    </row>
    <row r="163" spans="1:9" ht="16.5" x14ac:dyDescent="0.2">
      <c r="A163" s="934" t="s">
        <v>1125</v>
      </c>
      <c r="B163" s="353" t="s">
        <v>1126</v>
      </c>
      <c r="C163" s="354">
        <v>45323</v>
      </c>
      <c r="D163" s="360">
        <f>5000</f>
        <v>5000</v>
      </c>
      <c r="E163" s="360">
        <f>0</f>
        <v>0</v>
      </c>
      <c r="F163" s="360">
        <f>10000</f>
        <v>10000</v>
      </c>
      <c r="G163" s="360">
        <v>20000</v>
      </c>
      <c r="H163" s="356">
        <f t="shared" si="2"/>
        <v>35000</v>
      </c>
      <c r="I163" s="369"/>
    </row>
    <row r="164" spans="1:9" ht="16.5" x14ac:dyDescent="0.2">
      <c r="A164" s="934" t="s">
        <v>1127</v>
      </c>
      <c r="B164" s="353" t="s">
        <v>1128</v>
      </c>
      <c r="C164" s="354">
        <v>45323</v>
      </c>
      <c r="D164" s="360">
        <f>20000</f>
        <v>20000</v>
      </c>
      <c r="E164" s="360"/>
      <c r="F164" s="360"/>
      <c r="G164" s="360"/>
      <c r="H164" s="356">
        <f t="shared" si="2"/>
        <v>20000</v>
      </c>
      <c r="I164" s="369"/>
    </row>
    <row r="165" spans="1:9" ht="16.5" x14ac:dyDescent="0.2">
      <c r="A165" s="934" t="s">
        <v>1129</v>
      </c>
      <c r="B165" s="353" t="s">
        <v>1130</v>
      </c>
      <c r="C165" s="354">
        <v>45323</v>
      </c>
      <c r="D165" s="360">
        <f>50000</f>
        <v>50000</v>
      </c>
      <c r="E165" s="360"/>
      <c r="F165" s="360"/>
      <c r="G165" s="360">
        <f>91666.67</f>
        <v>91666.67</v>
      </c>
      <c r="H165" s="356">
        <f t="shared" si="2"/>
        <v>141666.67000000001</v>
      </c>
      <c r="I165" s="369"/>
    </row>
    <row r="166" spans="1:9" ht="16.5" x14ac:dyDescent="0.2">
      <c r="A166" s="934" t="s">
        <v>1131</v>
      </c>
      <c r="B166" s="353" t="s">
        <v>198</v>
      </c>
      <c r="C166" s="354">
        <v>45323</v>
      </c>
      <c r="D166" s="360">
        <f>20000</f>
        <v>20000</v>
      </c>
      <c r="E166" s="360">
        <f>0</f>
        <v>0</v>
      </c>
      <c r="F166" s="360"/>
      <c r="G166" s="360">
        <f>43750</f>
        <v>43750</v>
      </c>
      <c r="H166" s="356">
        <f t="shared" si="2"/>
        <v>63750</v>
      </c>
      <c r="I166" s="369"/>
    </row>
    <row r="167" spans="1:9" ht="16.5" x14ac:dyDescent="0.2">
      <c r="A167" s="934" t="s">
        <v>1132</v>
      </c>
      <c r="B167" s="353" t="s">
        <v>1133</v>
      </c>
      <c r="C167" s="354">
        <v>45323</v>
      </c>
      <c r="D167" s="360">
        <f>10000</f>
        <v>10000</v>
      </c>
      <c r="E167" s="360">
        <f>0</f>
        <v>0</v>
      </c>
      <c r="F167" s="360"/>
      <c r="G167" s="360"/>
      <c r="H167" s="356">
        <f t="shared" si="2"/>
        <v>10000</v>
      </c>
      <c r="I167" s="369"/>
    </row>
    <row r="168" spans="1:9" ht="16.5" x14ac:dyDescent="0.2">
      <c r="A168" s="934" t="s">
        <v>1134</v>
      </c>
      <c r="B168" s="353" t="s">
        <v>77</v>
      </c>
      <c r="C168" s="354">
        <v>45323</v>
      </c>
      <c r="D168" s="360">
        <f>10000</f>
        <v>10000</v>
      </c>
      <c r="E168" s="360">
        <f>0</f>
        <v>0</v>
      </c>
      <c r="F168" s="360"/>
      <c r="G168" s="360">
        <f>20000</f>
        <v>20000</v>
      </c>
      <c r="H168" s="356">
        <f t="shared" si="2"/>
        <v>30000</v>
      </c>
      <c r="I168" s="369"/>
    </row>
    <row r="169" spans="1:9" ht="16.5" x14ac:dyDescent="0.2">
      <c r="A169" s="934" t="s">
        <v>1135</v>
      </c>
      <c r="B169" s="353" t="s">
        <v>1136</v>
      </c>
      <c r="C169" s="354">
        <v>45323</v>
      </c>
      <c r="D169" s="360">
        <v>20000</v>
      </c>
      <c r="E169" s="360">
        <f>0</f>
        <v>0</v>
      </c>
      <c r="F169" s="360"/>
      <c r="G169" s="360"/>
      <c r="H169" s="356">
        <f t="shared" si="2"/>
        <v>20000</v>
      </c>
      <c r="I169" s="369"/>
    </row>
    <row r="170" spans="1:9" ht="16.5" x14ac:dyDescent="0.2">
      <c r="A170" s="934" t="s">
        <v>1137</v>
      </c>
      <c r="B170" s="353" t="s">
        <v>1138</v>
      </c>
      <c r="C170" s="354">
        <v>45323</v>
      </c>
      <c r="D170" s="360">
        <f>0</f>
        <v>0</v>
      </c>
      <c r="E170" s="360">
        <f>0</f>
        <v>0</v>
      </c>
      <c r="F170" s="360">
        <f>120000</f>
        <v>120000</v>
      </c>
      <c r="G170" s="360"/>
      <c r="H170" s="356">
        <f t="shared" si="2"/>
        <v>120000</v>
      </c>
      <c r="I170" s="369"/>
    </row>
    <row r="171" spans="1:9" ht="16.5" x14ac:dyDescent="0.2">
      <c r="A171" s="934" t="s">
        <v>1139</v>
      </c>
      <c r="B171" s="353" t="s">
        <v>1140</v>
      </c>
      <c r="C171" s="354">
        <v>45323</v>
      </c>
      <c r="D171" s="360">
        <f>50000</f>
        <v>50000</v>
      </c>
      <c r="E171" s="360"/>
      <c r="F171" s="360"/>
      <c r="G171" s="360"/>
      <c r="H171" s="356">
        <f t="shared" si="2"/>
        <v>50000</v>
      </c>
      <c r="I171" s="369"/>
    </row>
    <row r="172" spans="1:9" ht="16.5" x14ac:dyDescent="0.2">
      <c r="A172" s="934" t="s">
        <v>1141</v>
      </c>
      <c r="B172" s="353" t="s">
        <v>164</v>
      </c>
      <c r="C172" s="354">
        <v>45323</v>
      </c>
      <c r="D172" s="360">
        <f>65000</f>
        <v>65000</v>
      </c>
      <c r="E172" s="360"/>
      <c r="F172" s="360"/>
      <c r="G172" s="360"/>
      <c r="H172" s="356">
        <f t="shared" si="2"/>
        <v>65000</v>
      </c>
      <c r="I172" s="369"/>
    </row>
    <row r="173" spans="1:9" ht="16.5" x14ac:dyDescent="0.2">
      <c r="A173" s="934" t="s">
        <v>1142</v>
      </c>
      <c r="B173" s="353" t="s">
        <v>314</v>
      </c>
      <c r="C173" s="354">
        <v>45323</v>
      </c>
      <c r="D173" s="360">
        <f>10000</f>
        <v>10000</v>
      </c>
      <c r="E173" s="360"/>
      <c r="F173" s="360"/>
      <c r="G173" s="360"/>
      <c r="H173" s="356">
        <f t="shared" si="2"/>
        <v>10000</v>
      </c>
      <c r="I173" s="369"/>
    </row>
    <row r="174" spans="1:9" ht="16.5" x14ac:dyDescent="0.2">
      <c r="A174" s="934" t="s">
        <v>1143</v>
      </c>
      <c r="B174" s="353" t="s">
        <v>1144</v>
      </c>
      <c r="C174" s="354">
        <v>45323</v>
      </c>
      <c r="D174" s="360">
        <f>10000</f>
        <v>10000</v>
      </c>
      <c r="E174" s="360"/>
      <c r="F174" s="360"/>
      <c r="G174" s="360"/>
      <c r="H174" s="356">
        <f t="shared" si="2"/>
        <v>10000</v>
      </c>
      <c r="I174" s="369"/>
    </row>
    <row r="175" spans="1:9" ht="16.5" x14ac:dyDescent="0.2">
      <c r="A175" s="934" t="s">
        <v>1145</v>
      </c>
      <c r="B175" s="353" t="s">
        <v>1146</v>
      </c>
      <c r="C175" s="354">
        <v>45323</v>
      </c>
      <c r="D175" s="360">
        <f>30000</f>
        <v>30000</v>
      </c>
      <c r="E175" s="360"/>
      <c r="F175" s="360"/>
      <c r="G175" s="360"/>
      <c r="H175" s="356">
        <f t="shared" si="2"/>
        <v>30000</v>
      </c>
      <c r="I175" s="369"/>
    </row>
    <row r="176" spans="1:9" ht="16.5" x14ac:dyDescent="0.2">
      <c r="A176" s="934" t="s">
        <v>1147</v>
      </c>
      <c r="B176" s="353" t="s">
        <v>100</v>
      </c>
      <c r="C176" s="354">
        <v>45323</v>
      </c>
      <c r="D176" s="360">
        <f>20000</f>
        <v>20000</v>
      </c>
      <c r="E176" s="360"/>
      <c r="F176" s="360"/>
      <c r="G176" s="360"/>
      <c r="H176" s="356">
        <f t="shared" si="2"/>
        <v>20000</v>
      </c>
      <c r="I176" s="369"/>
    </row>
    <row r="177" spans="1:12" ht="16.5" x14ac:dyDescent="0.2">
      <c r="A177" s="934" t="s">
        <v>1148</v>
      </c>
      <c r="B177" s="353" t="s">
        <v>1149</v>
      </c>
      <c r="C177" s="354">
        <v>45323</v>
      </c>
      <c r="D177" s="360">
        <f>30000</f>
        <v>30000</v>
      </c>
      <c r="E177" s="360"/>
      <c r="F177" s="360"/>
      <c r="G177" s="360"/>
      <c r="H177" s="356">
        <f t="shared" si="2"/>
        <v>30000</v>
      </c>
      <c r="I177" s="369"/>
    </row>
    <row r="178" spans="1:12" ht="16.5" x14ac:dyDescent="0.2">
      <c r="A178" s="934" t="s">
        <v>1150</v>
      </c>
      <c r="B178" s="353" t="s">
        <v>1151</v>
      </c>
      <c r="C178" s="354">
        <v>45323</v>
      </c>
      <c r="D178" s="360">
        <v>30000</v>
      </c>
      <c r="E178" s="360"/>
      <c r="F178" s="360"/>
      <c r="G178" s="360"/>
      <c r="H178" s="356">
        <f t="shared" si="2"/>
        <v>30000</v>
      </c>
      <c r="I178" s="369"/>
    </row>
    <row r="179" spans="1:12" ht="16.5" x14ac:dyDescent="0.2">
      <c r="A179" s="934" t="s">
        <v>1152</v>
      </c>
      <c r="B179" s="353" t="s">
        <v>1153</v>
      </c>
      <c r="C179" s="354">
        <v>45323</v>
      </c>
      <c r="D179" s="360">
        <f>50000</f>
        <v>50000</v>
      </c>
      <c r="E179" s="360"/>
      <c r="F179" s="360"/>
      <c r="G179" s="360"/>
      <c r="H179" s="356">
        <f t="shared" si="2"/>
        <v>50000</v>
      </c>
      <c r="I179" s="369"/>
    </row>
    <row r="180" spans="1:12" ht="16.5" x14ac:dyDescent="0.2">
      <c r="A180" s="934" t="s">
        <v>1154</v>
      </c>
      <c r="B180" s="353" t="s">
        <v>1155</v>
      </c>
      <c r="C180" s="354">
        <v>45323</v>
      </c>
      <c r="D180" s="360">
        <v>5000</v>
      </c>
      <c r="E180" s="360"/>
      <c r="F180" s="360">
        <f>10000</f>
        <v>10000</v>
      </c>
      <c r="G180" s="360"/>
      <c r="H180" s="356">
        <f t="shared" si="2"/>
        <v>15000</v>
      </c>
      <c r="I180" s="369"/>
    </row>
    <row r="181" spans="1:12" ht="16.5" x14ac:dyDescent="0.2">
      <c r="A181" s="934" t="s">
        <v>1156</v>
      </c>
      <c r="B181" s="353" t="s">
        <v>374</v>
      </c>
      <c r="C181" s="354">
        <v>45323</v>
      </c>
      <c r="D181" s="360">
        <f>10000</f>
        <v>10000</v>
      </c>
      <c r="E181" s="360"/>
      <c r="F181" s="360">
        <f>10000</f>
        <v>10000</v>
      </c>
      <c r="G181" s="360"/>
      <c r="H181" s="356">
        <f t="shared" si="2"/>
        <v>20000</v>
      </c>
      <c r="I181" s="369"/>
    </row>
    <row r="182" spans="1:12" ht="16.5" x14ac:dyDescent="0.2">
      <c r="A182" s="934" t="s">
        <v>1154</v>
      </c>
      <c r="B182" s="353" t="s">
        <v>1157</v>
      </c>
      <c r="C182" s="354">
        <v>45323</v>
      </c>
      <c r="D182" s="360">
        <f>10000</f>
        <v>10000</v>
      </c>
      <c r="E182" s="360"/>
      <c r="F182" s="360"/>
      <c r="G182" s="360"/>
      <c r="H182" s="356">
        <f t="shared" si="2"/>
        <v>10000</v>
      </c>
      <c r="I182" s="369"/>
    </row>
    <row r="183" spans="1:12" ht="16.5" x14ac:dyDescent="0.2">
      <c r="A183" s="934" t="s">
        <v>1154</v>
      </c>
      <c r="B183" s="353" t="s">
        <v>369</v>
      </c>
      <c r="C183" s="354">
        <v>45323</v>
      </c>
      <c r="D183" s="360">
        <f>10000</f>
        <v>10000</v>
      </c>
      <c r="E183" s="360"/>
      <c r="F183" s="360"/>
      <c r="G183" s="360"/>
      <c r="H183" s="356">
        <f t="shared" si="2"/>
        <v>10000</v>
      </c>
      <c r="I183" s="369"/>
    </row>
    <row r="184" spans="1:12" ht="16.5" x14ac:dyDescent="0.2">
      <c r="A184" s="934" t="s">
        <v>1154</v>
      </c>
      <c r="B184" s="353" t="s">
        <v>1158</v>
      </c>
      <c r="C184" s="354">
        <v>45323</v>
      </c>
      <c r="D184" s="360">
        <f>10000</f>
        <v>10000</v>
      </c>
      <c r="E184" s="360"/>
      <c r="F184" s="360"/>
      <c r="G184" s="360"/>
      <c r="H184" s="356">
        <f t="shared" si="2"/>
        <v>10000</v>
      </c>
      <c r="I184" s="369"/>
    </row>
    <row r="185" spans="1:12" ht="16.5" x14ac:dyDescent="0.2">
      <c r="A185" s="353"/>
      <c r="B185" s="353"/>
      <c r="C185" s="385"/>
      <c r="D185" s="386">
        <f>SUM(D5:D184)</f>
        <v>4415500</v>
      </c>
      <c r="E185" s="386">
        <f>SUM(E5:E184)</f>
        <v>0</v>
      </c>
      <c r="F185" s="386">
        <f>SUM(F5:F184)</f>
        <v>708000</v>
      </c>
      <c r="G185" s="386">
        <f>SUM(G5:G184)</f>
        <v>7015945.6884722197</v>
      </c>
      <c r="H185" s="387">
        <f>SUM(H5:H184)</f>
        <v>12139445.6884722</v>
      </c>
      <c r="I185" s="368"/>
      <c r="J185" s="368"/>
      <c r="L185" s="368"/>
    </row>
    <row r="186" spans="1:12" ht="22.5" x14ac:dyDescent="0.25">
      <c r="A186" s="388"/>
      <c r="B186" s="389" t="s">
        <v>111</v>
      </c>
      <c r="C186" s="353"/>
      <c r="D186" s="390">
        <f>D185+E185+F185</f>
        <v>5123500</v>
      </c>
      <c r="E186" s="391"/>
      <c r="F186" s="391"/>
      <c r="G186" s="391"/>
      <c r="H186" s="391"/>
      <c r="I186" s="370"/>
      <c r="J186" s="370"/>
      <c r="L186" s="368"/>
    </row>
    <row r="187" spans="1:12" ht="15.75" x14ac:dyDescent="0.2">
      <c r="A187" s="345"/>
      <c r="B187" s="348" t="s">
        <v>1159</v>
      </c>
      <c r="C187" s="348"/>
      <c r="D187" s="392"/>
      <c r="E187" s="353"/>
      <c r="F187" s="370"/>
      <c r="G187" s="393"/>
      <c r="H187" s="368"/>
      <c r="I187" s="368"/>
      <c r="L187" s="394"/>
    </row>
    <row r="188" spans="1:12" ht="15.75" x14ac:dyDescent="0.2">
      <c r="A188" s="345"/>
      <c r="B188" s="353"/>
      <c r="C188" s="348" t="s">
        <v>1160</v>
      </c>
      <c r="D188" s="348" t="s">
        <v>1161</v>
      </c>
      <c r="E188" s="353"/>
      <c r="F188" s="393"/>
      <c r="G188" s="393"/>
      <c r="H188" s="394"/>
      <c r="I188" s="368"/>
    </row>
    <row r="189" spans="1:12" ht="18" x14ac:dyDescent="0.2">
      <c r="A189" s="353"/>
      <c r="B189" s="353" t="s">
        <v>1162</v>
      </c>
      <c r="C189" s="376">
        <f>22000</f>
        <v>22000</v>
      </c>
      <c r="D189" s="395">
        <f>20000</f>
        <v>20000</v>
      </c>
      <c r="E189" s="396">
        <f>D189-C189</f>
        <v>-2000</v>
      </c>
      <c r="F189" t="s">
        <v>1163</v>
      </c>
      <c r="G189" s="368"/>
      <c r="H189" s="368"/>
      <c r="I189" s="368"/>
      <c r="K189" s="368"/>
    </row>
    <row r="190" spans="1:12" ht="18" x14ac:dyDescent="0.2">
      <c r="A190" s="353"/>
      <c r="B190" s="353" t="s">
        <v>1164</v>
      </c>
      <c r="C190" s="376">
        <f>52000</f>
        <v>52000</v>
      </c>
      <c r="D190" s="397">
        <f>50000</f>
        <v>50000</v>
      </c>
      <c r="E190" s="376">
        <f t="shared" ref="E190:E191" si="3">D190-C190</f>
        <v>-2000</v>
      </c>
      <c r="G190" s="368"/>
      <c r="H190" s="368"/>
      <c r="I190" s="368"/>
      <c r="K190" s="368"/>
    </row>
    <row r="191" spans="1:12" ht="18" x14ac:dyDescent="0.2">
      <c r="A191" s="353"/>
      <c r="B191" s="353" t="s">
        <v>1165</v>
      </c>
      <c r="C191" s="376">
        <f>17000</f>
        <v>17000</v>
      </c>
      <c r="D191" s="397">
        <f>15000</f>
        <v>15000</v>
      </c>
      <c r="E191" s="376">
        <f t="shared" si="3"/>
        <v>-2000</v>
      </c>
      <c r="F191" s="369"/>
      <c r="G191" s="368"/>
      <c r="H191" s="368"/>
      <c r="I191" s="368"/>
      <c r="K191" s="368"/>
    </row>
    <row r="192" spans="1:12" ht="18" x14ac:dyDescent="0.2">
      <c r="A192" s="353"/>
      <c r="B192" s="353" t="s">
        <v>374</v>
      </c>
      <c r="C192" s="376">
        <v>22000</v>
      </c>
      <c r="D192" s="397">
        <f>20000</f>
        <v>20000</v>
      </c>
      <c r="E192" s="376">
        <f t="shared" ref="E192:E195" si="4">D192-C192</f>
        <v>-2000</v>
      </c>
      <c r="F192" s="369"/>
      <c r="G192" s="368"/>
      <c r="H192" s="368"/>
      <c r="I192" s="368"/>
      <c r="K192" s="368"/>
    </row>
    <row r="193" spans="1:11" ht="18" x14ac:dyDescent="0.2">
      <c r="A193" s="353"/>
      <c r="B193" s="353" t="s">
        <v>1157</v>
      </c>
      <c r="C193" s="376">
        <v>12000</v>
      </c>
      <c r="D193" s="397">
        <f>10000</f>
        <v>10000</v>
      </c>
      <c r="E193" s="376">
        <f t="shared" si="4"/>
        <v>-2000</v>
      </c>
      <c r="F193" s="369"/>
      <c r="G193" s="368"/>
      <c r="H193" s="368"/>
      <c r="I193" s="368"/>
      <c r="K193" s="368"/>
    </row>
    <row r="194" spans="1:11" ht="18" x14ac:dyDescent="0.2">
      <c r="A194" s="353"/>
      <c r="B194" s="353" t="s">
        <v>369</v>
      </c>
      <c r="C194" s="376">
        <v>12000</v>
      </c>
      <c r="D194" s="397">
        <f>10000</f>
        <v>10000</v>
      </c>
      <c r="E194" s="376">
        <f t="shared" si="4"/>
        <v>-2000</v>
      </c>
      <c r="F194" s="369"/>
      <c r="G194" s="368"/>
      <c r="H194" s="368"/>
      <c r="I194" s="368"/>
      <c r="K194" s="368"/>
    </row>
    <row r="195" spans="1:11" ht="18" x14ac:dyDescent="0.2">
      <c r="A195" s="353"/>
      <c r="B195" s="353" t="s">
        <v>1158</v>
      </c>
      <c r="C195" s="376">
        <v>12000</v>
      </c>
      <c r="D195" s="397">
        <f>10000</f>
        <v>10000</v>
      </c>
      <c r="E195" s="376">
        <f t="shared" si="4"/>
        <v>-2000</v>
      </c>
      <c r="F195" s="369"/>
      <c r="G195" s="368"/>
      <c r="H195" s="368"/>
      <c r="I195" s="368"/>
      <c r="K195" s="368"/>
    </row>
    <row r="196" spans="1:11" ht="18" x14ac:dyDescent="0.2">
      <c r="A196" s="345"/>
      <c r="B196" s="398" t="s">
        <v>647</v>
      </c>
      <c r="C196" s="363"/>
      <c r="D196" s="399">
        <f>0</f>
        <v>0</v>
      </c>
      <c r="E196" s="400">
        <f>SUM(E190:E195)</f>
        <v>-12000</v>
      </c>
      <c r="I196" s="372"/>
      <c r="K196" s="368"/>
    </row>
    <row r="197" spans="1:11" ht="15" x14ac:dyDescent="0.15">
      <c r="A197" s="353"/>
      <c r="B197" s="353"/>
      <c r="C197" s="348"/>
      <c r="D197" s="353"/>
      <c r="E197" s="353"/>
      <c r="K197" s="368"/>
    </row>
    <row r="198" spans="1:11" ht="15" x14ac:dyDescent="0.15">
      <c r="A198" s="353"/>
      <c r="B198" s="348" t="s">
        <v>1166</v>
      </c>
      <c r="C198" s="348"/>
      <c r="D198" s="353"/>
      <c r="E198" s="353"/>
      <c r="K198" s="368"/>
    </row>
    <row r="199" spans="1:11" ht="15" x14ac:dyDescent="0.15">
      <c r="A199" s="353"/>
      <c r="B199" s="348"/>
      <c r="C199" s="348" t="s">
        <v>1160</v>
      </c>
      <c r="D199" s="348" t="s">
        <v>1161</v>
      </c>
      <c r="E199" s="353"/>
      <c r="K199" s="368"/>
    </row>
    <row r="200" spans="1:11" ht="18" x14ac:dyDescent="0.2">
      <c r="A200" s="401"/>
      <c r="B200" s="401" t="s">
        <v>1167</v>
      </c>
      <c r="C200" s="356">
        <f>20000</f>
        <v>20000</v>
      </c>
      <c r="D200" s="358">
        <f>0</f>
        <v>0</v>
      </c>
      <c r="E200" s="376">
        <f>D200-C200</f>
        <v>-20000</v>
      </c>
      <c r="G200" s="368"/>
      <c r="K200" s="368"/>
    </row>
    <row r="201" spans="1:11" ht="18" x14ac:dyDescent="0.2">
      <c r="A201" s="401"/>
      <c r="B201" s="401" t="s">
        <v>1168</v>
      </c>
      <c r="C201" s="356">
        <v>120000</v>
      </c>
      <c r="D201" s="358"/>
      <c r="E201" s="376">
        <f>D201-C201</f>
        <v>-120000</v>
      </c>
      <c r="G201" s="368"/>
      <c r="K201" s="368"/>
    </row>
    <row r="202" spans="1:11" ht="18" x14ac:dyDescent="0.2">
      <c r="A202" s="401"/>
      <c r="B202" s="401"/>
      <c r="C202" s="356"/>
      <c r="D202" s="358"/>
      <c r="E202" s="376"/>
      <c r="G202" s="368"/>
      <c r="K202" s="368"/>
    </row>
    <row r="203" spans="1:11" ht="18" x14ac:dyDescent="0.2">
      <c r="A203" s="401"/>
      <c r="B203" s="401"/>
      <c r="C203" s="376"/>
      <c r="D203" s="376"/>
      <c r="E203" s="376"/>
      <c r="G203" s="368"/>
      <c r="K203" s="368"/>
    </row>
    <row r="204" spans="1:11" ht="18" x14ac:dyDescent="0.2">
      <c r="A204" s="401"/>
      <c r="B204" s="401"/>
      <c r="C204" s="356"/>
      <c r="D204" s="358"/>
      <c r="E204" s="376"/>
      <c r="G204" s="368"/>
      <c r="H204" s="368"/>
      <c r="K204" s="368"/>
    </row>
    <row r="205" spans="1:11" ht="18" x14ac:dyDescent="0.2">
      <c r="A205" s="345"/>
      <c r="B205" s="345"/>
      <c r="C205" s="345"/>
      <c r="D205" s="345"/>
      <c r="E205" s="400">
        <f>SUM(E200:E204)</f>
        <v>-140000</v>
      </c>
      <c r="G205" s="368"/>
      <c r="K205" s="368"/>
    </row>
    <row r="206" spans="1:11" ht="30" customHeight="1" x14ac:dyDescent="0.2">
      <c r="A206" s="345"/>
      <c r="B206" s="398" t="s">
        <v>1169</v>
      </c>
      <c r="C206" s="345"/>
      <c r="D206" s="345"/>
      <c r="E206" s="402">
        <f>E196+E205</f>
        <v>-152000</v>
      </c>
      <c r="G206" s="368"/>
      <c r="K206" s="368"/>
    </row>
    <row r="207" spans="1:11" ht="18.75" x14ac:dyDescent="0.25">
      <c r="E207" s="403"/>
      <c r="K207" s="368"/>
    </row>
    <row r="208" spans="1:11" ht="16.5" x14ac:dyDescent="0.2">
      <c r="A208" s="934" t="s">
        <v>896</v>
      </c>
      <c r="B208" s="353" t="s">
        <v>897</v>
      </c>
      <c r="C208" s="354">
        <v>45292</v>
      </c>
      <c r="D208" s="358">
        <v>10000</v>
      </c>
      <c r="E208" s="358">
        <v>0</v>
      </c>
      <c r="F208" s="358">
        <v>0</v>
      </c>
      <c r="G208" s="358">
        <f>40000</f>
        <v>40000</v>
      </c>
      <c r="H208" s="356">
        <f t="shared" ref="H208:H223" si="5">D208+E208+F208+G208</f>
        <v>50000</v>
      </c>
      <c r="I208" s="368"/>
      <c r="K208" s="368"/>
    </row>
    <row r="209" spans="1:14" ht="16.5" x14ac:dyDescent="0.2">
      <c r="A209" s="934" t="s">
        <v>944</v>
      </c>
      <c r="B209" s="353" t="s">
        <v>945</v>
      </c>
      <c r="C209" s="354">
        <v>45292</v>
      </c>
      <c r="D209" s="360">
        <v>30000</v>
      </c>
      <c r="E209" s="360">
        <v>0</v>
      </c>
      <c r="F209" s="360">
        <v>0</v>
      </c>
      <c r="G209" s="360">
        <f>0</f>
        <v>0</v>
      </c>
      <c r="H209" s="356">
        <f t="shared" si="5"/>
        <v>30000</v>
      </c>
      <c r="K209" s="368"/>
    </row>
    <row r="210" spans="1:14" ht="16.5" x14ac:dyDescent="0.2">
      <c r="A210" s="934" t="s">
        <v>979</v>
      </c>
      <c r="B210" s="353" t="s">
        <v>980</v>
      </c>
      <c r="C210" s="354">
        <v>45292</v>
      </c>
      <c r="D210" s="360">
        <v>10000</v>
      </c>
      <c r="E210" s="360">
        <v>0</v>
      </c>
      <c r="F210" s="360"/>
      <c r="G210" s="360">
        <f>20000</f>
        <v>20000</v>
      </c>
      <c r="H210" s="356">
        <f t="shared" si="5"/>
        <v>30000</v>
      </c>
      <c r="K210" s="368"/>
      <c r="N210" s="368"/>
    </row>
    <row r="211" spans="1:14" ht="16.5" x14ac:dyDescent="0.2">
      <c r="A211" s="934" t="s">
        <v>1053</v>
      </c>
      <c r="B211" s="353" t="s">
        <v>1054</v>
      </c>
      <c r="C211" s="354">
        <v>45292</v>
      </c>
      <c r="D211" s="360"/>
      <c r="E211" s="360"/>
      <c r="F211" s="360"/>
      <c r="G211" s="360"/>
      <c r="H211" s="356">
        <f t="shared" si="5"/>
        <v>0</v>
      </c>
      <c r="I211" s="368"/>
      <c r="K211" s="368"/>
      <c r="N211" s="368"/>
    </row>
    <row r="212" spans="1:14" ht="16.5" x14ac:dyDescent="0.2">
      <c r="A212" s="934" t="s">
        <v>1170</v>
      </c>
      <c r="B212" s="353" t="s">
        <v>1171</v>
      </c>
      <c r="C212" s="354">
        <v>45292</v>
      </c>
      <c r="D212" s="360">
        <f>5000</f>
        <v>5000</v>
      </c>
      <c r="E212" s="360">
        <f>0</f>
        <v>0</v>
      </c>
      <c r="F212" s="360">
        <f>5000+5000</f>
        <v>10000</v>
      </c>
      <c r="G212" s="360">
        <f>14350</f>
        <v>14350</v>
      </c>
      <c r="H212" s="356">
        <f t="shared" si="5"/>
        <v>29350</v>
      </c>
      <c r="I212" s="370"/>
      <c r="K212" s="368"/>
      <c r="N212" s="368"/>
    </row>
    <row r="213" spans="1:14" ht="16.5" x14ac:dyDescent="0.2">
      <c r="A213" s="934" t="s">
        <v>1172</v>
      </c>
      <c r="B213" s="353" t="s">
        <v>1173</v>
      </c>
      <c r="C213" s="354">
        <v>45292</v>
      </c>
      <c r="D213" s="360">
        <f>0</f>
        <v>0</v>
      </c>
      <c r="E213" s="360"/>
      <c r="F213" s="360"/>
      <c r="G213" s="360"/>
      <c r="H213" s="356">
        <f t="shared" si="5"/>
        <v>0</v>
      </c>
      <c r="K213" s="368"/>
      <c r="N213" s="368"/>
    </row>
    <row r="214" spans="1:14" ht="16.5" x14ac:dyDescent="0.2">
      <c r="A214" s="934" t="s">
        <v>1174</v>
      </c>
      <c r="B214" s="353" t="s">
        <v>1175</v>
      </c>
      <c r="C214" s="354">
        <v>45292</v>
      </c>
      <c r="D214" s="360">
        <f>5000</f>
        <v>5000</v>
      </c>
      <c r="E214" s="360"/>
      <c r="F214" s="360"/>
      <c r="G214" s="360">
        <f>0</f>
        <v>0</v>
      </c>
      <c r="H214" s="356">
        <f t="shared" si="5"/>
        <v>5000</v>
      </c>
      <c r="K214" s="368"/>
      <c r="N214" s="368"/>
    </row>
    <row r="215" spans="1:14" ht="16.5" x14ac:dyDescent="0.2">
      <c r="A215" s="934" t="s">
        <v>1176</v>
      </c>
      <c r="B215" s="353" t="s">
        <v>1177</v>
      </c>
      <c r="C215" s="354">
        <v>45292</v>
      </c>
      <c r="D215" s="360">
        <f>10000</f>
        <v>10000</v>
      </c>
      <c r="E215" s="360">
        <f>0</f>
        <v>0</v>
      </c>
      <c r="F215" s="360"/>
      <c r="G215" s="360">
        <f>20000</f>
        <v>20000</v>
      </c>
      <c r="H215" s="356">
        <f t="shared" si="5"/>
        <v>30000</v>
      </c>
      <c r="J215" s="368"/>
      <c r="K215" s="368"/>
      <c r="N215" s="368"/>
    </row>
    <row r="216" spans="1:14" ht="16.5" x14ac:dyDescent="0.2">
      <c r="A216" s="934" t="s">
        <v>1178</v>
      </c>
      <c r="B216" s="353" t="s">
        <v>1179</v>
      </c>
      <c r="C216" s="354">
        <v>45292</v>
      </c>
      <c r="D216" s="360">
        <f>25000</f>
        <v>25000</v>
      </c>
      <c r="E216" s="360"/>
      <c r="F216" s="360"/>
      <c r="G216" s="360">
        <f>60640</f>
        <v>60640</v>
      </c>
      <c r="H216" s="356">
        <f t="shared" si="5"/>
        <v>85640</v>
      </c>
      <c r="J216" s="368"/>
      <c r="K216" s="368"/>
      <c r="N216" s="368"/>
    </row>
    <row r="217" spans="1:14" ht="18" x14ac:dyDescent="0.2">
      <c r="A217" s="934" t="s">
        <v>1180</v>
      </c>
      <c r="B217" s="353" t="s">
        <v>1181</v>
      </c>
      <c r="C217" s="354">
        <v>45292</v>
      </c>
      <c r="D217" s="360">
        <v>10000</v>
      </c>
      <c r="E217" s="360"/>
      <c r="F217" s="360"/>
      <c r="G217" s="361">
        <f>0</f>
        <v>0</v>
      </c>
      <c r="H217" s="356">
        <f t="shared" si="5"/>
        <v>10000</v>
      </c>
      <c r="J217" s="368"/>
      <c r="K217" s="368"/>
      <c r="N217" s="368"/>
    </row>
    <row r="218" spans="1:14" ht="16.5" x14ac:dyDescent="0.2">
      <c r="A218" s="934" t="s">
        <v>1135</v>
      </c>
      <c r="B218" s="353" t="s">
        <v>1136</v>
      </c>
      <c r="C218" s="354">
        <v>45292</v>
      </c>
      <c r="D218" s="360"/>
      <c r="E218" s="360">
        <f>0</f>
        <v>0</v>
      </c>
      <c r="F218" s="360"/>
      <c r="G218" s="360"/>
      <c r="H218" s="356">
        <f t="shared" si="5"/>
        <v>0</v>
      </c>
      <c r="J218" s="368"/>
      <c r="K218" s="368"/>
      <c r="N218" s="370"/>
    </row>
    <row r="219" spans="1:14" ht="16.5" x14ac:dyDescent="0.2">
      <c r="A219" s="934" t="s">
        <v>1150</v>
      </c>
      <c r="B219" s="353" t="s">
        <v>1151</v>
      </c>
      <c r="C219" s="354">
        <v>45292</v>
      </c>
      <c r="D219" s="360"/>
      <c r="E219" s="360">
        <f>0</f>
        <v>0</v>
      </c>
      <c r="F219" s="360"/>
      <c r="G219" s="360"/>
      <c r="H219" s="356">
        <f t="shared" si="5"/>
        <v>0</v>
      </c>
      <c r="J219" s="368"/>
      <c r="K219" s="368"/>
      <c r="N219" s="370"/>
    </row>
    <row r="220" spans="1:14" ht="16.5" x14ac:dyDescent="0.2">
      <c r="A220" s="934" t="s">
        <v>1182</v>
      </c>
      <c r="B220" s="353" t="s">
        <v>1183</v>
      </c>
      <c r="C220" s="354">
        <v>45292</v>
      </c>
      <c r="D220" s="360">
        <f>20000</f>
        <v>20000</v>
      </c>
      <c r="E220" s="360"/>
      <c r="F220" s="360"/>
      <c r="G220" s="360"/>
      <c r="H220" s="356">
        <f t="shared" si="5"/>
        <v>20000</v>
      </c>
      <c r="J220" s="368"/>
      <c r="K220" s="368"/>
      <c r="N220" s="370"/>
    </row>
    <row r="221" spans="1:14" ht="16.5" x14ac:dyDescent="0.2">
      <c r="A221" s="934" t="s">
        <v>1184</v>
      </c>
      <c r="B221" s="353" t="s">
        <v>1185</v>
      </c>
      <c r="C221" s="354">
        <v>45292</v>
      </c>
      <c r="D221" s="360">
        <f>20000</f>
        <v>20000</v>
      </c>
      <c r="E221" s="360"/>
      <c r="F221" s="360"/>
      <c r="G221" s="360"/>
      <c r="H221" s="356">
        <f t="shared" si="5"/>
        <v>20000</v>
      </c>
      <c r="J221" s="368"/>
      <c r="K221" s="368"/>
      <c r="N221" s="370"/>
    </row>
    <row r="222" spans="1:14" ht="16.5" x14ac:dyDescent="0.2">
      <c r="A222" s="934" t="s">
        <v>1186</v>
      </c>
      <c r="B222" s="353" t="s">
        <v>103</v>
      </c>
      <c r="C222" s="354">
        <v>45292</v>
      </c>
      <c r="D222" s="360">
        <f>50000</f>
        <v>50000</v>
      </c>
      <c r="E222" s="360"/>
      <c r="F222" s="360"/>
      <c r="G222" s="360"/>
      <c r="H222" s="356">
        <f t="shared" si="5"/>
        <v>50000</v>
      </c>
      <c r="J222" s="368"/>
      <c r="K222" s="368"/>
      <c r="N222" s="370"/>
    </row>
    <row r="223" spans="1:14" ht="16.5" x14ac:dyDescent="0.2">
      <c r="A223" s="934" t="s">
        <v>1187</v>
      </c>
      <c r="B223" s="353" t="s">
        <v>1162</v>
      </c>
      <c r="C223" s="354">
        <v>45292</v>
      </c>
      <c r="D223" s="360">
        <f>20000</f>
        <v>20000</v>
      </c>
      <c r="E223" s="360">
        <f>2000</f>
        <v>2000</v>
      </c>
      <c r="F223" s="360"/>
      <c r="G223" s="360"/>
      <c r="H223" s="356">
        <f t="shared" si="5"/>
        <v>22000</v>
      </c>
      <c r="J223" s="368"/>
      <c r="K223" s="368"/>
      <c r="N223" s="370"/>
    </row>
    <row r="224" spans="1:14" ht="16.5" x14ac:dyDescent="0.2">
      <c r="A224" s="345"/>
      <c r="B224" s="345"/>
      <c r="C224" s="404"/>
      <c r="D224" s="387">
        <f>SUM(D208:D223)</f>
        <v>215000</v>
      </c>
      <c r="E224" s="387">
        <f>SUM(E208:E223)</f>
        <v>2000</v>
      </c>
      <c r="F224" s="387">
        <f>SUM(F208:F223)</f>
        <v>10000</v>
      </c>
      <c r="G224" s="387">
        <f>SUM(G208:G223)</f>
        <v>154990</v>
      </c>
      <c r="H224" s="387">
        <f>SUM(H208:H223)</f>
        <v>381990</v>
      </c>
      <c r="I224" s="372"/>
      <c r="J224" s="368"/>
      <c r="K224" s="368"/>
      <c r="N224" s="370"/>
    </row>
    <row r="225" spans="1:13" ht="15" x14ac:dyDescent="0.15">
      <c r="A225" s="347"/>
      <c r="B225" s="347"/>
      <c r="C225" s="347"/>
      <c r="D225" s="405"/>
      <c r="E225" s="405"/>
      <c r="F225" s="405"/>
      <c r="G225" s="405"/>
      <c r="H225" s="405"/>
      <c r="I225" s="368"/>
      <c r="J225" s="368"/>
      <c r="K225" s="368"/>
      <c r="L225" s="368"/>
      <c r="M225" s="368"/>
    </row>
    <row r="226" spans="1:13" ht="15" x14ac:dyDescent="0.15">
      <c r="A226" s="347"/>
      <c r="B226" s="347"/>
      <c r="C226" s="347"/>
      <c r="D226" s="406">
        <f>D185+D224</f>
        <v>4630500</v>
      </c>
      <c r="E226" s="406">
        <f>E185+E224</f>
        <v>2000</v>
      </c>
      <c r="F226" s="406">
        <f>F185+F224</f>
        <v>718000</v>
      </c>
      <c r="G226" s="406">
        <f>G185+G224</f>
        <v>7170935.6884722197</v>
      </c>
      <c r="H226" s="406">
        <f>H185+H224</f>
        <v>12521435.6884722</v>
      </c>
      <c r="I226" s="368"/>
      <c r="J226" s="368"/>
      <c r="K226" s="368"/>
      <c r="L226" s="368"/>
      <c r="M226" s="368"/>
    </row>
    <row r="227" spans="1:13" ht="16.5" x14ac:dyDescent="0.2">
      <c r="B227" s="380"/>
      <c r="E227" s="370"/>
      <c r="F227" s="393"/>
      <c r="H227" s="393"/>
      <c r="I227" s="368"/>
      <c r="J227" s="394"/>
      <c r="K227" s="368"/>
      <c r="M227" s="368"/>
    </row>
    <row r="228" spans="1:13" x14ac:dyDescent="0.15">
      <c r="H228" s="368"/>
      <c r="I228" s="372"/>
      <c r="J228" s="368"/>
      <c r="K228" s="368"/>
      <c r="L228" s="372"/>
      <c r="M228" s="368"/>
    </row>
    <row r="229" spans="1:13" x14ac:dyDescent="0.15">
      <c r="D229" s="370"/>
      <c r="G229" s="370"/>
      <c r="H229" s="368"/>
      <c r="I229" s="370"/>
      <c r="J229" s="368"/>
      <c r="K229" s="368"/>
      <c r="M229" s="368"/>
    </row>
    <row r="230" spans="1:13" x14ac:dyDescent="0.15">
      <c r="E230" s="370"/>
      <c r="H230" s="368"/>
      <c r="K230" s="368"/>
      <c r="M230" s="368"/>
    </row>
    <row r="231" spans="1:13" x14ac:dyDescent="0.15">
      <c r="H231" s="368"/>
      <c r="K231" s="368"/>
      <c r="M231" s="368"/>
    </row>
    <row r="232" spans="1:13" ht="15" x14ac:dyDescent="0.2">
      <c r="H232" s="368"/>
      <c r="K232" s="368"/>
      <c r="M232" s="394"/>
    </row>
    <row r="233" spans="1:13" x14ac:dyDescent="0.15">
      <c r="H233" s="368"/>
      <c r="K233" s="368"/>
    </row>
    <row r="234" spans="1:13" x14ac:dyDescent="0.15">
      <c r="H234" s="368"/>
      <c r="K234" s="368"/>
    </row>
    <row r="235" spans="1:13" x14ac:dyDescent="0.15">
      <c r="H235" s="368"/>
      <c r="K235" s="368"/>
      <c r="M235" s="370"/>
    </row>
    <row r="236" spans="1:13" x14ac:dyDescent="0.15">
      <c r="H236" s="368"/>
      <c r="K236" s="368"/>
    </row>
    <row r="237" spans="1:13" x14ac:dyDescent="0.15">
      <c r="K237" s="368"/>
    </row>
    <row r="238" spans="1:13" ht="15" x14ac:dyDescent="0.2">
      <c r="K238" s="394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207"/>
  <sheetViews>
    <sheetView zoomScaleSheetLayoutView="50" workbookViewId="0">
      <pane xSplit="3" ySplit="7" topLeftCell="D15" activePane="bottomRight" state="frozen"/>
      <selection pane="bottomLeft"/>
      <selection pane="topRight"/>
      <selection pane="bottomRight" activeCell="G93" sqref="G93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2.67578125" style="1" customWidth="1"/>
    <col min="5" max="5" width="18.7421875" style="1" customWidth="1"/>
    <col min="6" max="6" width="16.1796875" style="1" customWidth="1"/>
    <col min="7" max="7" width="18.0703125" style="1" customWidth="1"/>
    <col min="8" max="16384" width="9.16796875" style="1"/>
  </cols>
  <sheetData>
    <row r="1" spans="1:7" ht="27" customHeight="1" x14ac:dyDescent="0.25">
      <c r="A1" s="971" t="s">
        <v>0</v>
      </c>
      <c r="B1" s="971"/>
      <c r="C1" s="971"/>
      <c r="D1" s="971"/>
      <c r="E1" s="971"/>
    </row>
    <row r="2" spans="1:7" ht="33.75" customHeight="1" x14ac:dyDescent="0.3">
      <c r="A2" s="202" t="s">
        <v>1188</v>
      </c>
      <c r="B2" s="62"/>
      <c r="C2" s="62"/>
      <c r="D2" s="61"/>
      <c r="E2" s="63"/>
    </row>
    <row r="3" spans="1:7" ht="9.75" customHeight="1" x14ac:dyDescent="0.2"/>
    <row r="4" spans="1:7" ht="49.5" customHeight="1" x14ac:dyDescent="0.2">
      <c r="A4" s="2"/>
      <c r="B4" s="3" t="s">
        <v>2</v>
      </c>
      <c r="C4" s="4" t="s">
        <v>3</v>
      </c>
      <c r="D4" s="64" t="s">
        <v>4</v>
      </c>
      <c r="E4" s="65" t="s">
        <v>638</v>
      </c>
      <c r="F4" s="65" t="s">
        <v>1189</v>
      </c>
      <c r="G4" s="65" t="s">
        <v>1190</v>
      </c>
    </row>
    <row r="5" spans="1:7" ht="17.25" customHeight="1" x14ac:dyDescent="0.2"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 x14ac:dyDescent="0.2">
      <c r="A6" s="7" t="s">
        <v>21</v>
      </c>
      <c r="B6" s="6" t="s">
        <v>22</v>
      </c>
      <c r="C6" s="6"/>
      <c r="D6" s="6"/>
      <c r="E6" s="67"/>
      <c r="F6" s="19"/>
      <c r="G6" s="67"/>
    </row>
    <row r="7" spans="1:7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69">
        <v>2000000</v>
      </c>
      <c r="F7" s="69"/>
      <c r="G7" s="69">
        <f>E7</f>
        <v>2000000</v>
      </c>
    </row>
    <row r="8" spans="1:7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 x14ac:dyDescent="0.2">
      <c r="A9" s="8">
        <v>3</v>
      </c>
      <c r="B9" s="12" t="s">
        <v>29</v>
      </c>
      <c r="C9" s="2" t="s">
        <v>30</v>
      </c>
      <c r="D9" s="8" t="s">
        <v>28</v>
      </c>
      <c r="E9" s="69">
        <v>700000</v>
      </c>
      <c r="F9" s="69"/>
      <c r="G9" s="69">
        <f t="shared" si="0"/>
        <v>700000</v>
      </c>
    </row>
    <row r="10" spans="1:7" ht="20.100000000000001" customHeight="1" x14ac:dyDescent="0.2">
      <c r="A10" s="8">
        <v>4</v>
      </c>
      <c r="B10" s="9" t="s">
        <v>31</v>
      </c>
      <c r="C10" s="15" t="s">
        <v>32</v>
      </c>
      <c r="D10" s="8" t="s">
        <v>28</v>
      </c>
      <c r="E10" s="69">
        <v>700000</v>
      </c>
      <c r="F10" s="69"/>
      <c r="G10" s="69">
        <f t="shared" si="0"/>
        <v>700000</v>
      </c>
    </row>
    <row r="11" spans="1:7" ht="20.100000000000001" customHeight="1" x14ac:dyDescent="0.2">
      <c r="A11" s="8">
        <v>5</v>
      </c>
      <c r="B11" s="12" t="s">
        <v>271</v>
      </c>
      <c r="C11" s="2" t="s">
        <v>529</v>
      </c>
      <c r="D11" s="8" t="s">
        <v>28</v>
      </c>
      <c r="E11" s="69">
        <v>700000</v>
      </c>
      <c r="F11" s="69"/>
      <c r="G11" s="69">
        <f t="shared" si="0"/>
        <v>700000</v>
      </c>
    </row>
    <row r="12" spans="1:7" ht="20.100000000000001" customHeight="1" x14ac:dyDescent="0.2">
      <c r="A12" s="8">
        <v>6</v>
      </c>
      <c r="B12" s="16" t="s">
        <v>530</v>
      </c>
      <c r="C12" s="8" t="s">
        <v>531</v>
      </c>
      <c r="D12" s="8" t="s">
        <v>28</v>
      </c>
      <c r="E12" s="69">
        <v>700000</v>
      </c>
      <c r="F12" s="69"/>
      <c r="G12" s="69">
        <f t="shared" si="0"/>
        <v>700000</v>
      </c>
    </row>
    <row r="13" spans="1:7" ht="20.100000000000001" customHeight="1" x14ac:dyDescent="0.2">
      <c r="A13" s="8">
        <v>7</v>
      </c>
      <c r="B13" s="9" t="s">
        <v>33</v>
      </c>
      <c r="C13" s="10" t="s">
        <v>532</v>
      </c>
      <c r="D13" s="13" t="s">
        <v>131</v>
      </c>
      <c r="E13" s="69">
        <v>700000</v>
      </c>
      <c r="F13" s="69"/>
      <c r="G13" s="69">
        <f t="shared" si="0"/>
        <v>700000</v>
      </c>
    </row>
    <row r="14" spans="1:7" ht="20.100000000000001" customHeight="1" x14ac:dyDescent="0.2">
      <c r="A14" s="8">
        <v>8</v>
      </c>
      <c r="B14" s="9" t="s">
        <v>36</v>
      </c>
      <c r="C14" s="2" t="s">
        <v>37</v>
      </c>
      <c r="D14" s="8" t="s">
        <v>49</v>
      </c>
      <c r="E14" s="69">
        <v>700000</v>
      </c>
      <c r="F14" s="69"/>
      <c r="G14" s="69">
        <f t="shared" si="0"/>
        <v>700000</v>
      </c>
    </row>
    <row r="15" spans="1:7" ht="20.100000000000001" customHeight="1" x14ac:dyDescent="0.2">
      <c r="A15" s="8">
        <v>9</v>
      </c>
      <c r="B15" s="9" t="s">
        <v>39</v>
      </c>
      <c r="C15" s="2" t="s">
        <v>40</v>
      </c>
      <c r="D15" s="13" t="s">
        <v>41</v>
      </c>
      <c r="E15" s="69">
        <v>500000</v>
      </c>
      <c r="F15" s="69"/>
      <c r="G15" s="69">
        <f t="shared" si="0"/>
        <v>500000</v>
      </c>
    </row>
    <row r="16" spans="1:7" ht="20.100000000000001" customHeight="1" x14ac:dyDescent="0.2">
      <c r="A16" s="8">
        <v>10</v>
      </c>
      <c r="B16" s="12" t="s">
        <v>42</v>
      </c>
      <c r="C16" s="15" t="s">
        <v>156</v>
      </c>
      <c r="D16" s="13" t="s">
        <v>176</v>
      </c>
      <c r="E16" s="69">
        <v>500000</v>
      </c>
      <c r="F16" s="69"/>
      <c r="G16" s="69">
        <f t="shared" si="0"/>
        <v>500000</v>
      </c>
    </row>
    <row r="17" spans="1:7" ht="20.100000000000001" customHeight="1" x14ac:dyDescent="0.2">
      <c r="A17" s="8">
        <v>11</v>
      </c>
      <c r="B17" s="9" t="s">
        <v>47</v>
      </c>
      <c r="C17" s="2" t="s">
        <v>533</v>
      </c>
      <c r="D17" s="8" t="s">
        <v>52</v>
      </c>
      <c r="E17" s="69">
        <v>500000</v>
      </c>
      <c r="F17" s="69">
        <f>E17</f>
        <v>500000</v>
      </c>
      <c r="G17" s="69"/>
    </row>
    <row r="18" spans="1:7" ht="20.100000000000001" customHeight="1" x14ac:dyDescent="0.2">
      <c r="A18" s="8">
        <v>12</v>
      </c>
      <c r="B18" s="9" t="s">
        <v>50</v>
      </c>
      <c r="C18" s="10" t="s">
        <v>51</v>
      </c>
      <c r="D18" s="13" t="s">
        <v>534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 x14ac:dyDescent="0.2">
      <c r="A19" s="8">
        <v>13</v>
      </c>
      <c r="B19" s="16" t="s">
        <v>53</v>
      </c>
      <c r="C19" s="2" t="s">
        <v>54</v>
      </c>
      <c r="D19" s="13" t="s">
        <v>535</v>
      </c>
      <c r="E19" s="69">
        <v>500000</v>
      </c>
      <c r="F19" s="69">
        <f t="shared" si="1"/>
        <v>500000</v>
      </c>
      <c r="G19" s="69"/>
    </row>
    <row r="20" spans="1:7" ht="18.75" customHeight="1" x14ac:dyDescent="0.2">
      <c r="A20" s="8">
        <v>14</v>
      </c>
      <c r="B20" s="9" t="s">
        <v>63</v>
      </c>
      <c r="C20" s="10" t="s">
        <v>64</v>
      </c>
      <c r="D20" s="13" t="s">
        <v>162</v>
      </c>
      <c r="E20" s="69">
        <v>400000</v>
      </c>
      <c r="F20" s="69">
        <f t="shared" si="1"/>
        <v>400000</v>
      </c>
      <c r="G20" s="69"/>
    </row>
    <row r="21" spans="1:7" ht="20.100000000000001" customHeight="1" x14ac:dyDescent="0.2">
      <c r="A21" s="8">
        <v>15</v>
      </c>
      <c r="B21" s="12" t="s">
        <v>66</v>
      </c>
      <c r="C21" s="15" t="s">
        <v>67</v>
      </c>
      <c r="D21" s="8" t="s">
        <v>137</v>
      </c>
      <c r="E21" s="69">
        <v>400000</v>
      </c>
      <c r="F21" s="69">
        <f t="shared" si="1"/>
        <v>400000</v>
      </c>
      <c r="G21" s="69"/>
    </row>
    <row r="22" spans="1:7" ht="20.100000000000001" customHeight="1" x14ac:dyDescent="0.2">
      <c r="A22" s="8">
        <v>16</v>
      </c>
      <c r="B22" s="12" t="s">
        <v>71</v>
      </c>
      <c r="C22" s="15" t="s">
        <v>72</v>
      </c>
      <c r="D22" s="8" t="s">
        <v>73</v>
      </c>
      <c r="E22" s="69">
        <v>300000</v>
      </c>
      <c r="F22" s="69">
        <f t="shared" si="1"/>
        <v>300000</v>
      </c>
      <c r="G22" s="69"/>
    </row>
    <row r="23" spans="1:7" ht="18.75" customHeight="1" x14ac:dyDescent="0.2">
      <c r="A23" s="8">
        <v>17</v>
      </c>
      <c r="B23" s="2" t="s">
        <v>77</v>
      </c>
      <c r="C23" s="2" t="s">
        <v>78</v>
      </c>
      <c r="D23" s="8" t="s">
        <v>84</v>
      </c>
      <c r="E23" s="69">
        <v>300000</v>
      </c>
      <c r="F23" s="69">
        <f t="shared" si="1"/>
        <v>300000</v>
      </c>
      <c r="G23" s="69"/>
    </row>
    <row r="24" spans="1:7" ht="18.75" customHeight="1" x14ac:dyDescent="0.2">
      <c r="A24" s="8">
        <v>18</v>
      </c>
      <c r="B24" s="16" t="s">
        <v>80</v>
      </c>
      <c r="C24" s="10" t="s">
        <v>78</v>
      </c>
      <c r="D24" s="13" t="s">
        <v>84</v>
      </c>
      <c r="E24" s="69">
        <v>300000</v>
      </c>
      <c r="F24" s="69">
        <f t="shared" si="1"/>
        <v>300000</v>
      </c>
      <c r="G24" s="69"/>
    </row>
    <row r="25" spans="1:7" ht="18.75" customHeight="1" x14ac:dyDescent="0.2">
      <c r="A25" s="8">
        <v>19</v>
      </c>
      <c r="B25" s="16" t="s">
        <v>82</v>
      </c>
      <c r="C25" s="10" t="s">
        <v>83</v>
      </c>
      <c r="D25" s="13" t="s">
        <v>87</v>
      </c>
      <c r="E25" s="69">
        <v>300000</v>
      </c>
      <c r="F25" s="69">
        <f t="shared" si="1"/>
        <v>300000</v>
      </c>
      <c r="G25" s="69"/>
    </row>
    <row r="26" spans="1:7" ht="18.75" customHeight="1" x14ac:dyDescent="0.2">
      <c r="A26" s="8">
        <v>20</v>
      </c>
      <c r="B26" s="16" t="s">
        <v>85</v>
      </c>
      <c r="C26" s="2" t="s">
        <v>86</v>
      </c>
      <c r="D26" s="8" t="s">
        <v>96</v>
      </c>
      <c r="E26" s="69">
        <v>300000</v>
      </c>
      <c r="F26" s="69">
        <f t="shared" si="1"/>
        <v>300000</v>
      </c>
      <c r="G26" s="69"/>
    </row>
    <row r="27" spans="1:7" ht="18.75" customHeight="1" x14ac:dyDescent="0.2">
      <c r="A27" s="8">
        <v>21</v>
      </c>
      <c r="B27" s="16" t="s">
        <v>89</v>
      </c>
      <c r="C27" s="15" t="s">
        <v>90</v>
      </c>
      <c r="D27" s="13" t="s">
        <v>87</v>
      </c>
      <c r="E27" s="69">
        <v>300000</v>
      </c>
      <c r="F27" s="69">
        <f t="shared" si="1"/>
        <v>300000</v>
      </c>
      <c r="G27" s="69"/>
    </row>
    <row r="28" spans="1:7" ht="18.75" customHeight="1" x14ac:dyDescent="0.2">
      <c r="A28" s="8">
        <v>22</v>
      </c>
      <c r="B28" s="16" t="s">
        <v>92</v>
      </c>
      <c r="C28" s="2" t="s">
        <v>93</v>
      </c>
      <c r="D28" s="8" t="s">
        <v>102</v>
      </c>
      <c r="E28" s="69">
        <v>300000</v>
      </c>
      <c r="F28" s="69">
        <f t="shared" si="1"/>
        <v>300000</v>
      </c>
      <c r="G28" s="69"/>
    </row>
    <row r="29" spans="1:7" ht="18.75" customHeight="1" x14ac:dyDescent="0.2">
      <c r="A29" s="8">
        <v>23</v>
      </c>
      <c r="B29" s="16" t="s">
        <v>1191</v>
      </c>
      <c r="C29" s="10" t="s">
        <v>101</v>
      </c>
      <c r="D29" s="8" t="s">
        <v>102</v>
      </c>
      <c r="E29" s="69">
        <v>300000</v>
      </c>
      <c r="F29" s="69">
        <f t="shared" si="1"/>
        <v>300000</v>
      </c>
      <c r="G29" s="69"/>
    </row>
    <row r="30" spans="1:7" ht="18.75" customHeight="1" x14ac:dyDescent="0.2">
      <c r="A30" s="8">
        <v>24</v>
      </c>
      <c r="B30" s="16" t="s">
        <v>100</v>
      </c>
      <c r="C30" s="10" t="s">
        <v>101</v>
      </c>
      <c r="D30" s="13" t="s">
        <v>105</v>
      </c>
      <c r="E30" s="69">
        <v>300000</v>
      </c>
      <c r="F30" s="69">
        <f t="shared" si="1"/>
        <v>300000</v>
      </c>
      <c r="G30" s="69"/>
    </row>
    <row r="31" spans="1:7" ht="26.25" customHeight="1" x14ac:dyDescent="0.2">
      <c r="A31" s="8"/>
      <c r="B31" s="18" t="s">
        <v>111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 x14ac:dyDescent="0.2">
      <c r="A32" s="8"/>
      <c r="B32" s="20"/>
      <c r="C32" s="2"/>
      <c r="D32" s="13"/>
      <c r="E32" s="69"/>
      <c r="F32" s="74"/>
      <c r="G32" s="74"/>
    </row>
    <row r="33" spans="1:7" ht="18.75" customHeight="1" x14ac:dyDescent="0.2">
      <c r="A33" s="8"/>
      <c r="B33" s="18" t="s">
        <v>112</v>
      </c>
      <c r="C33" s="2"/>
      <c r="D33" s="13"/>
      <c r="E33" s="69"/>
      <c r="F33" s="69"/>
      <c r="G33" s="69"/>
    </row>
    <row r="34" spans="1:7" ht="18.75" customHeight="1" x14ac:dyDescent="0.2">
      <c r="A34" s="8">
        <v>1</v>
      </c>
      <c r="B34" s="16" t="s">
        <v>113</v>
      </c>
      <c r="C34" s="2" t="s">
        <v>114</v>
      </c>
      <c r="D34" s="8" t="s">
        <v>115</v>
      </c>
      <c r="E34" s="69">
        <v>1000000</v>
      </c>
      <c r="F34" s="69"/>
      <c r="G34" s="69">
        <f>E34</f>
        <v>1000000</v>
      </c>
    </row>
    <row r="35" spans="1:7" ht="18.75" customHeight="1" x14ac:dyDescent="0.2">
      <c r="A35" s="8">
        <v>2</v>
      </c>
      <c r="B35" s="16" t="s">
        <v>116</v>
      </c>
      <c r="C35" s="2" t="s">
        <v>799</v>
      </c>
      <c r="D35" s="8" t="s">
        <v>105</v>
      </c>
      <c r="E35" s="69">
        <v>300000</v>
      </c>
      <c r="F35" s="69">
        <f>E35</f>
        <v>300000</v>
      </c>
      <c r="G35" s="69"/>
    </row>
    <row r="36" spans="1:7" ht="18.75" customHeight="1" x14ac:dyDescent="0.2">
      <c r="A36" s="8">
        <v>3</v>
      </c>
      <c r="B36" s="9" t="s">
        <v>118</v>
      </c>
      <c r="C36" s="10" t="s">
        <v>796</v>
      </c>
      <c r="D36" s="13" t="s">
        <v>76</v>
      </c>
      <c r="E36" s="69">
        <v>300000</v>
      </c>
      <c r="F36" s="69">
        <f>E36</f>
        <v>300000</v>
      </c>
      <c r="G36" s="69"/>
    </row>
    <row r="37" spans="1:7" ht="19.5" customHeight="1" x14ac:dyDescent="0.2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 x14ac:dyDescent="0.2">
      <c r="A38" s="8"/>
      <c r="B38" s="12"/>
      <c r="C38" s="2"/>
      <c r="D38" s="8"/>
      <c r="E38" s="69"/>
      <c r="F38" s="74"/>
      <c r="G38" s="74"/>
    </row>
    <row r="39" spans="1:7" ht="20.100000000000001" customHeight="1" x14ac:dyDescent="0.2">
      <c r="A39" s="8"/>
      <c r="B39" s="21" t="s">
        <v>125</v>
      </c>
      <c r="C39" s="3"/>
      <c r="D39" s="22"/>
      <c r="E39" s="69"/>
      <c r="F39" s="74"/>
      <c r="G39" s="74"/>
    </row>
    <row r="40" spans="1:7" ht="20.100000000000001" customHeight="1" x14ac:dyDescent="0.2">
      <c r="A40" s="8">
        <v>1</v>
      </c>
      <c r="B40" s="9" t="s">
        <v>536</v>
      </c>
      <c r="C40" s="2" t="s">
        <v>537</v>
      </c>
      <c r="D40" s="8" t="s">
        <v>115</v>
      </c>
      <c r="E40" s="69">
        <v>1000000</v>
      </c>
      <c r="F40" s="69"/>
      <c r="G40" s="69">
        <f>E40</f>
        <v>1000000</v>
      </c>
    </row>
    <row r="41" spans="1:7" ht="20.100000000000001" customHeight="1" x14ac:dyDescent="0.2">
      <c r="A41" s="8">
        <v>2</v>
      </c>
      <c r="B41" s="9" t="s">
        <v>538</v>
      </c>
      <c r="C41" s="2" t="s">
        <v>43</v>
      </c>
      <c r="D41" s="8" t="s">
        <v>131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 x14ac:dyDescent="0.2">
      <c r="A42" s="8">
        <v>3</v>
      </c>
      <c r="B42" s="9" t="s">
        <v>126</v>
      </c>
      <c r="C42" s="2" t="s">
        <v>127</v>
      </c>
      <c r="D42" s="8" t="s">
        <v>35</v>
      </c>
      <c r="E42" s="69">
        <v>700000</v>
      </c>
      <c r="F42" s="69"/>
      <c r="G42" s="69">
        <f t="shared" si="3"/>
        <v>700000</v>
      </c>
    </row>
    <row r="43" spans="1:7" ht="20.100000000000001" customHeight="1" x14ac:dyDescent="0.2">
      <c r="A43" s="8">
        <v>4</v>
      </c>
      <c r="B43" s="9" t="s">
        <v>129</v>
      </c>
      <c r="C43" s="2" t="s">
        <v>130</v>
      </c>
      <c r="D43" s="8" t="s">
        <v>131</v>
      </c>
      <c r="E43" s="69">
        <v>700000</v>
      </c>
      <c r="F43" s="69"/>
      <c r="G43" s="69">
        <f t="shared" si="3"/>
        <v>700000</v>
      </c>
    </row>
    <row r="44" spans="1:7" ht="20.100000000000001" customHeight="1" x14ac:dyDescent="0.2">
      <c r="A44" s="8">
        <v>5</v>
      </c>
      <c r="B44" s="9" t="s">
        <v>132</v>
      </c>
      <c r="C44" s="2" t="s">
        <v>130</v>
      </c>
      <c r="D44" s="8" t="s">
        <v>131</v>
      </c>
      <c r="E44" s="69">
        <v>700000</v>
      </c>
      <c r="F44" s="69"/>
      <c r="G44" s="69">
        <f t="shared" si="3"/>
        <v>700000</v>
      </c>
    </row>
    <row r="45" spans="1:7" ht="20.100000000000001" customHeight="1" x14ac:dyDescent="0.2">
      <c r="A45" s="8">
        <v>6</v>
      </c>
      <c r="B45" s="9" t="s">
        <v>133</v>
      </c>
      <c r="C45" s="2" t="s">
        <v>130</v>
      </c>
      <c r="D45" s="8" t="s">
        <v>49</v>
      </c>
      <c r="E45" s="69">
        <v>700000</v>
      </c>
      <c r="F45" s="69"/>
      <c r="G45" s="69">
        <f t="shared" si="3"/>
        <v>700000</v>
      </c>
    </row>
    <row r="46" spans="1:7" ht="20.100000000000001" customHeight="1" x14ac:dyDescent="0.2">
      <c r="A46" s="8">
        <v>7</v>
      </c>
      <c r="B46" s="12" t="s">
        <v>134</v>
      </c>
      <c r="C46" s="2" t="s">
        <v>156</v>
      </c>
      <c r="D46" s="14" t="s">
        <v>176</v>
      </c>
      <c r="E46" s="69">
        <v>500000</v>
      </c>
      <c r="F46" s="69"/>
      <c r="G46" s="69">
        <f t="shared" si="3"/>
        <v>500000</v>
      </c>
    </row>
    <row r="47" spans="1:7" ht="20.100000000000001" customHeight="1" x14ac:dyDescent="0.2">
      <c r="A47" s="8">
        <v>8</v>
      </c>
      <c r="B47" s="9" t="s">
        <v>44</v>
      </c>
      <c r="C47" s="2" t="s">
        <v>45</v>
      </c>
      <c r="D47" s="8" t="s">
        <v>197</v>
      </c>
      <c r="E47" s="69">
        <v>500000</v>
      </c>
      <c r="F47" s="69"/>
      <c r="G47" s="69">
        <f t="shared" si="3"/>
        <v>500000</v>
      </c>
    </row>
    <row r="48" spans="1:7" ht="20.100000000000001" customHeight="1" x14ac:dyDescent="0.2">
      <c r="A48" s="8">
        <v>9</v>
      </c>
      <c r="B48" s="9" t="s">
        <v>138</v>
      </c>
      <c r="C48" s="2" t="s">
        <v>139</v>
      </c>
      <c r="D48" s="8" t="s">
        <v>76</v>
      </c>
      <c r="E48" s="69">
        <v>300000</v>
      </c>
      <c r="F48" s="69">
        <f>E48</f>
        <v>300000</v>
      </c>
      <c r="G48" s="69"/>
    </row>
    <row r="49" spans="1:7" ht="20.100000000000001" customHeight="1" x14ac:dyDescent="0.2">
      <c r="A49" s="8">
        <v>10</v>
      </c>
      <c r="B49" s="9" t="s">
        <v>142</v>
      </c>
      <c r="C49" s="2" t="s">
        <v>139</v>
      </c>
      <c r="D49" s="8" t="s">
        <v>87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 x14ac:dyDescent="0.2">
      <c r="A50" s="8">
        <v>11</v>
      </c>
      <c r="B50" s="9" t="s">
        <v>539</v>
      </c>
      <c r="C50" s="2" t="s">
        <v>139</v>
      </c>
      <c r="D50" s="8" t="s">
        <v>87</v>
      </c>
      <c r="E50" s="69">
        <v>300000</v>
      </c>
      <c r="F50" s="69">
        <f t="shared" si="4"/>
        <v>300000</v>
      </c>
      <c r="G50" s="69"/>
    </row>
    <row r="51" spans="1:7" ht="20.100000000000001" customHeight="1" x14ac:dyDescent="0.2">
      <c r="A51" s="8">
        <v>12</v>
      </c>
      <c r="B51" s="9" t="s">
        <v>143</v>
      </c>
      <c r="C51" s="2" t="s">
        <v>139</v>
      </c>
      <c r="D51" s="8" t="s">
        <v>87</v>
      </c>
      <c r="E51" s="69">
        <v>300000</v>
      </c>
      <c r="F51" s="69">
        <f t="shared" si="4"/>
        <v>300000</v>
      </c>
      <c r="G51" s="69"/>
    </row>
    <row r="52" spans="1:7" ht="25.5" customHeight="1" x14ac:dyDescent="0.5">
      <c r="A52" s="8"/>
      <c r="B52" s="18" t="s">
        <v>111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 x14ac:dyDescent="0.2">
      <c r="A53" s="8"/>
      <c r="B53" s="20"/>
      <c r="C53" s="19"/>
      <c r="D53" s="19"/>
      <c r="E53" s="69"/>
      <c r="F53" s="77"/>
      <c r="G53" s="77"/>
    </row>
    <row r="54" spans="1:7" ht="20.100000000000001" customHeight="1" x14ac:dyDescent="0.2">
      <c r="A54" s="8"/>
      <c r="B54" s="18" t="s">
        <v>145</v>
      </c>
      <c r="C54" s="19"/>
      <c r="D54" s="19"/>
      <c r="E54" s="69"/>
      <c r="F54" s="77"/>
      <c r="G54" s="77"/>
    </row>
    <row r="55" spans="1:7" ht="20.100000000000001" customHeight="1" x14ac:dyDescent="0.2">
      <c r="A55" s="8">
        <v>1</v>
      </c>
      <c r="B55" s="9" t="s">
        <v>540</v>
      </c>
      <c r="C55" s="10" t="s">
        <v>147</v>
      </c>
      <c r="D55" s="13" t="s">
        <v>115</v>
      </c>
      <c r="E55" s="69">
        <v>500000</v>
      </c>
      <c r="F55" s="69"/>
      <c r="G55" s="69">
        <f>E55</f>
        <v>500000</v>
      </c>
    </row>
    <row r="56" spans="1:7" ht="20.100000000000001" customHeight="1" x14ac:dyDescent="0.2">
      <c r="A56" s="8">
        <v>2</v>
      </c>
      <c r="B56" s="9" t="s">
        <v>148</v>
      </c>
      <c r="C56" s="10" t="s">
        <v>149</v>
      </c>
      <c r="D56" s="13" t="s">
        <v>150</v>
      </c>
      <c r="E56" s="69">
        <v>700000</v>
      </c>
      <c r="F56" s="69"/>
      <c r="G56" s="69">
        <f>E56</f>
        <v>700000</v>
      </c>
    </row>
    <row r="57" spans="1:7" ht="20.100000000000001" customHeight="1" x14ac:dyDescent="0.5">
      <c r="A57" s="8"/>
      <c r="B57" s="18" t="s">
        <v>111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 x14ac:dyDescent="0.2">
      <c r="A58" s="8"/>
      <c r="B58" s="18"/>
      <c r="C58" s="19"/>
      <c r="D58" s="19"/>
      <c r="E58" s="69"/>
      <c r="F58" s="77"/>
      <c r="G58" s="77"/>
    </row>
    <row r="59" spans="1:7" ht="20.100000000000001" customHeight="1" x14ac:dyDescent="0.2">
      <c r="A59" s="8"/>
      <c r="B59" s="18" t="s">
        <v>151</v>
      </c>
      <c r="C59" s="19"/>
      <c r="D59" s="19"/>
      <c r="E59" s="69"/>
      <c r="F59" s="77"/>
      <c r="G59" s="77"/>
    </row>
    <row r="60" spans="1:7" ht="20.100000000000001" customHeight="1" x14ac:dyDescent="0.2">
      <c r="A60" s="8">
        <v>1</v>
      </c>
      <c r="B60" s="9" t="s">
        <v>541</v>
      </c>
      <c r="C60" s="15" t="s">
        <v>542</v>
      </c>
      <c r="D60" s="8" t="s">
        <v>115</v>
      </c>
      <c r="E60" s="69">
        <v>500000</v>
      </c>
      <c r="F60" s="69"/>
      <c r="G60" s="69">
        <f>E60</f>
        <v>500000</v>
      </c>
    </row>
    <row r="61" spans="1:7" ht="20.100000000000001" customHeight="1" x14ac:dyDescent="0.2">
      <c r="A61" s="8">
        <v>2</v>
      </c>
      <c r="B61" s="313" t="s">
        <v>543</v>
      </c>
      <c r="C61" s="15" t="s">
        <v>544</v>
      </c>
      <c r="D61" s="13" t="s">
        <v>38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 x14ac:dyDescent="0.2">
      <c r="A62" s="8">
        <v>3</v>
      </c>
      <c r="B62" s="9" t="s">
        <v>155</v>
      </c>
      <c r="C62" s="2" t="s">
        <v>156</v>
      </c>
      <c r="D62" s="8" t="s">
        <v>197</v>
      </c>
      <c r="E62" s="69">
        <v>500000</v>
      </c>
      <c r="F62" s="69"/>
      <c r="G62" s="69">
        <f t="shared" si="6"/>
        <v>500000</v>
      </c>
    </row>
    <row r="63" spans="1:7" ht="20.100000000000001" customHeight="1" x14ac:dyDescent="0.2">
      <c r="A63" s="8">
        <v>4</v>
      </c>
      <c r="B63" s="16" t="s">
        <v>545</v>
      </c>
      <c r="C63" s="15" t="s">
        <v>158</v>
      </c>
      <c r="D63" s="13" t="s">
        <v>534</v>
      </c>
      <c r="E63" s="69">
        <v>500000</v>
      </c>
      <c r="F63" s="69">
        <f>E63</f>
        <v>500000</v>
      </c>
      <c r="G63" s="69"/>
    </row>
    <row r="64" spans="1:7" ht="20.100000000000001" customHeight="1" x14ac:dyDescent="0.2">
      <c r="A64" s="8">
        <v>5</v>
      </c>
      <c r="B64" s="12" t="s">
        <v>546</v>
      </c>
      <c r="C64" s="15" t="s">
        <v>156</v>
      </c>
      <c r="D64" s="13" t="s">
        <v>41</v>
      </c>
      <c r="E64" s="69">
        <v>500000</v>
      </c>
      <c r="F64" s="69"/>
      <c r="G64" s="69">
        <f>E64</f>
        <v>500000</v>
      </c>
    </row>
    <row r="65" spans="1:7" ht="20.100000000000001" customHeight="1" x14ac:dyDescent="0.2">
      <c r="A65" s="8">
        <v>7</v>
      </c>
      <c r="B65" s="9" t="s">
        <v>161</v>
      </c>
      <c r="C65" s="2" t="s">
        <v>139</v>
      </c>
      <c r="D65" s="8" t="s">
        <v>68</v>
      </c>
      <c r="E65" s="69">
        <v>400000</v>
      </c>
      <c r="F65" s="69">
        <f>E65</f>
        <v>400000</v>
      </c>
      <c r="G65" s="69"/>
    </row>
    <row r="66" spans="1:7" ht="20.100000000000001" customHeight="1" x14ac:dyDescent="0.2">
      <c r="A66" s="8">
        <v>8</v>
      </c>
      <c r="B66" s="9" t="s">
        <v>163</v>
      </c>
      <c r="C66" s="15" t="s">
        <v>70</v>
      </c>
      <c r="D66" s="8" t="s">
        <v>68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 x14ac:dyDescent="0.2">
      <c r="A67" s="8">
        <v>9</v>
      </c>
      <c r="B67" s="9" t="s">
        <v>164</v>
      </c>
      <c r="C67" s="15" t="s">
        <v>70</v>
      </c>
      <c r="D67" s="8" t="s">
        <v>68</v>
      </c>
      <c r="E67" s="69">
        <v>400000</v>
      </c>
      <c r="F67" s="69">
        <f t="shared" si="7"/>
        <v>400000</v>
      </c>
      <c r="G67" s="69"/>
    </row>
    <row r="68" spans="1:7" ht="20.100000000000001" customHeight="1" x14ac:dyDescent="0.2">
      <c r="A68" s="8">
        <v>10</v>
      </c>
      <c r="B68" s="9" t="s">
        <v>165</v>
      </c>
      <c r="C68" s="2" t="s">
        <v>166</v>
      </c>
      <c r="D68" s="8" t="s">
        <v>162</v>
      </c>
      <c r="E68" s="69">
        <v>400000</v>
      </c>
      <c r="F68" s="69">
        <f t="shared" si="7"/>
        <v>400000</v>
      </c>
      <c r="G68" s="69"/>
    </row>
    <row r="69" spans="1:7" ht="21.6" customHeight="1" x14ac:dyDescent="0.2">
      <c r="A69" s="8">
        <v>11</v>
      </c>
      <c r="B69" s="9" t="s">
        <v>168</v>
      </c>
      <c r="C69" s="2" t="s">
        <v>139</v>
      </c>
      <c r="D69" s="8" t="s">
        <v>76</v>
      </c>
      <c r="E69" s="69">
        <v>300000</v>
      </c>
      <c r="F69" s="69">
        <f t="shared" si="7"/>
        <v>300000</v>
      </c>
      <c r="G69" s="69"/>
    </row>
    <row r="70" spans="1:7" ht="20.100000000000001" customHeight="1" x14ac:dyDescent="0.2">
      <c r="A70" s="8">
        <v>12</v>
      </c>
      <c r="B70" s="9" t="s">
        <v>81</v>
      </c>
      <c r="C70" s="15" t="s">
        <v>67</v>
      </c>
      <c r="D70" s="8" t="s">
        <v>84</v>
      </c>
      <c r="E70" s="69">
        <v>300000</v>
      </c>
      <c r="F70" s="69">
        <f t="shared" si="7"/>
        <v>300000</v>
      </c>
      <c r="G70" s="69"/>
    </row>
    <row r="71" spans="1:7" ht="27" customHeight="1" x14ac:dyDescent="0.5">
      <c r="A71" s="8"/>
      <c r="B71" s="18" t="s">
        <v>111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 x14ac:dyDescent="0.2">
      <c r="A72" s="8"/>
      <c r="B72" s="20"/>
      <c r="C72" s="19"/>
      <c r="D72" s="19"/>
      <c r="E72" s="69"/>
      <c r="F72" s="77"/>
      <c r="G72" s="77"/>
    </row>
    <row r="73" spans="1:7" ht="20.100000000000001" customHeight="1" x14ac:dyDescent="0.2">
      <c r="A73" s="8"/>
      <c r="B73" s="18" t="s">
        <v>169</v>
      </c>
      <c r="C73" s="19"/>
      <c r="D73" s="19"/>
      <c r="E73" s="69"/>
      <c r="F73" s="77"/>
      <c r="G73" s="77"/>
    </row>
    <row r="74" spans="1:7" ht="20.100000000000001" customHeight="1" x14ac:dyDescent="0.2">
      <c r="A74" s="8">
        <v>1</v>
      </c>
      <c r="B74" s="9" t="s">
        <v>170</v>
      </c>
      <c r="C74" s="2" t="s">
        <v>171</v>
      </c>
      <c r="D74" s="8" t="s">
        <v>115</v>
      </c>
      <c r="E74" s="69">
        <v>1000000</v>
      </c>
      <c r="F74" s="69"/>
      <c r="G74" s="69">
        <f>E74</f>
        <v>1000000</v>
      </c>
    </row>
    <row r="75" spans="1:7" ht="20.100000000000001" customHeight="1" x14ac:dyDescent="0.2">
      <c r="A75" s="8">
        <v>2</v>
      </c>
      <c r="B75" s="12" t="s">
        <v>547</v>
      </c>
      <c r="C75" s="2" t="s">
        <v>548</v>
      </c>
      <c r="D75" s="13" t="s">
        <v>549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 x14ac:dyDescent="0.2">
      <c r="A76" s="8">
        <v>3</v>
      </c>
      <c r="B76" s="16" t="s">
        <v>550</v>
      </c>
      <c r="C76" s="10" t="s">
        <v>551</v>
      </c>
      <c r="D76" s="8" t="s">
        <v>150</v>
      </c>
      <c r="E76" s="69">
        <v>700000</v>
      </c>
      <c r="F76" s="69"/>
      <c r="G76" s="69">
        <f t="shared" si="9"/>
        <v>700000</v>
      </c>
    </row>
    <row r="77" spans="1:7" ht="20.100000000000001" customHeight="1" x14ac:dyDescent="0.2">
      <c r="A77" s="8">
        <v>4</v>
      </c>
      <c r="B77" s="9" t="s">
        <v>174</v>
      </c>
      <c r="C77" s="2" t="s">
        <v>175</v>
      </c>
      <c r="D77" s="13" t="s">
        <v>46</v>
      </c>
      <c r="E77" s="69">
        <v>500000</v>
      </c>
      <c r="F77" s="69"/>
      <c r="G77" s="69">
        <f t="shared" si="9"/>
        <v>500000</v>
      </c>
    </row>
    <row r="78" spans="1:7" ht="20.100000000000001" customHeight="1" x14ac:dyDescent="0.2">
      <c r="A78" s="8">
        <v>5</v>
      </c>
      <c r="B78" s="9" t="s">
        <v>181</v>
      </c>
      <c r="C78" s="2" t="s">
        <v>184</v>
      </c>
      <c r="D78" s="8" t="s">
        <v>119</v>
      </c>
      <c r="E78" s="69">
        <v>300000</v>
      </c>
      <c r="F78" s="69">
        <f>E78</f>
        <v>300000</v>
      </c>
      <c r="G78" s="69"/>
    </row>
    <row r="79" spans="1:7" ht="20.100000000000001" customHeight="1" x14ac:dyDescent="0.2">
      <c r="A79" s="8">
        <v>6</v>
      </c>
      <c r="B79" s="9" t="s">
        <v>183</v>
      </c>
      <c r="C79" s="2" t="s">
        <v>184</v>
      </c>
      <c r="D79" s="8" t="s">
        <v>87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 x14ac:dyDescent="0.2">
      <c r="A80" s="8">
        <v>7</v>
      </c>
      <c r="B80" s="9" t="s">
        <v>185</v>
      </c>
      <c r="C80" s="2" t="s">
        <v>186</v>
      </c>
      <c r="D80" s="8" t="s">
        <v>105</v>
      </c>
      <c r="E80" s="69">
        <v>300000</v>
      </c>
      <c r="F80" s="69">
        <f t="shared" si="10"/>
        <v>300000</v>
      </c>
      <c r="G80" s="69"/>
    </row>
    <row r="81" spans="1:7" ht="20.100000000000001" customHeight="1" x14ac:dyDescent="0.5">
      <c r="A81" s="8"/>
      <c r="B81" s="18" t="s">
        <v>111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 x14ac:dyDescent="0.2">
      <c r="A82" s="8"/>
      <c r="B82" s="18"/>
      <c r="C82" s="19"/>
      <c r="D82" s="19"/>
      <c r="E82" s="69"/>
      <c r="F82" s="77"/>
      <c r="G82" s="77"/>
    </row>
    <row r="83" spans="1:7" ht="20.100000000000001" customHeight="1" x14ac:dyDescent="0.2">
      <c r="A83" s="8"/>
      <c r="B83" s="18" t="s">
        <v>187</v>
      </c>
      <c r="C83" s="23"/>
      <c r="D83" s="19"/>
      <c r="E83" s="69"/>
      <c r="F83" s="77"/>
      <c r="G83" s="77"/>
    </row>
    <row r="84" spans="1:7" ht="20.100000000000001" customHeight="1" x14ac:dyDescent="0.2">
      <c r="A84" s="8">
        <v>1</v>
      </c>
      <c r="B84" s="9" t="s">
        <v>190</v>
      </c>
      <c r="C84" s="2" t="s">
        <v>130</v>
      </c>
      <c r="D84" s="8" t="s">
        <v>131</v>
      </c>
      <c r="E84" s="69">
        <f>700000</f>
        <v>700000</v>
      </c>
      <c r="F84" s="69"/>
      <c r="G84" s="69">
        <f>E84</f>
        <v>700000</v>
      </c>
    </row>
    <row r="85" spans="1:7" ht="20.100000000000001" customHeight="1" x14ac:dyDescent="0.2">
      <c r="A85" s="8">
        <v>2</v>
      </c>
      <c r="B85" s="9" t="s">
        <v>188</v>
      </c>
      <c r="C85" s="2" t="s">
        <v>130</v>
      </c>
      <c r="D85" s="8" t="s">
        <v>131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 x14ac:dyDescent="0.2">
      <c r="A86" s="8">
        <v>3</v>
      </c>
      <c r="B86" s="12" t="s">
        <v>152</v>
      </c>
      <c r="C86" s="2" t="s">
        <v>130</v>
      </c>
      <c r="D86" s="8" t="s">
        <v>38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 x14ac:dyDescent="0.2">
      <c r="A87" s="8">
        <v>4</v>
      </c>
      <c r="B87" s="9" t="s">
        <v>193</v>
      </c>
      <c r="C87" s="2" t="s">
        <v>130</v>
      </c>
      <c r="D87" s="8" t="s">
        <v>49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 x14ac:dyDescent="0.2">
      <c r="A88" s="8">
        <v>5</v>
      </c>
      <c r="B88" s="9" t="s">
        <v>194</v>
      </c>
      <c r="C88" s="2" t="s">
        <v>552</v>
      </c>
      <c r="D88" s="13" t="s">
        <v>52</v>
      </c>
      <c r="E88" s="69">
        <v>500000</v>
      </c>
      <c r="F88" s="69">
        <f>E88</f>
        <v>500000</v>
      </c>
      <c r="G88" s="69"/>
    </row>
    <row r="89" spans="1:7" ht="21.6" customHeight="1" x14ac:dyDescent="0.2">
      <c r="A89" s="8">
        <v>6</v>
      </c>
      <c r="B89" s="9" t="s">
        <v>195</v>
      </c>
      <c r="C89" s="10" t="s">
        <v>158</v>
      </c>
      <c r="D89" s="13" t="s">
        <v>534</v>
      </c>
      <c r="E89" s="69">
        <v>500000</v>
      </c>
      <c r="F89" s="69">
        <f>E89</f>
        <v>500000</v>
      </c>
      <c r="G89" s="69"/>
    </row>
    <row r="90" spans="1:7" ht="21.6" customHeight="1" x14ac:dyDescent="0.2">
      <c r="A90" s="8">
        <v>7</v>
      </c>
      <c r="B90" s="9" t="s">
        <v>196</v>
      </c>
      <c r="C90" s="10" t="s">
        <v>156</v>
      </c>
      <c r="D90" s="13" t="s">
        <v>229</v>
      </c>
      <c r="E90" s="69">
        <v>250000</v>
      </c>
      <c r="F90" s="69"/>
      <c r="G90" s="69">
        <f>E90</f>
        <v>250000</v>
      </c>
    </row>
    <row r="91" spans="1:7" ht="21.6" customHeight="1" x14ac:dyDescent="0.2">
      <c r="A91" s="8">
        <v>8</v>
      </c>
      <c r="B91" s="9" t="s">
        <v>198</v>
      </c>
      <c r="C91" s="15" t="s">
        <v>70</v>
      </c>
      <c r="D91" s="13" t="s">
        <v>68</v>
      </c>
      <c r="E91" s="69">
        <v>400000</v>
      </c>
      <c r="F91" s="69">
        <f>E91</f>
        <v>400000</v>
      </c>
      <c r="G91" s="69"/>
    </row>
    <row r="92" spans="1:7" ht="21.6" customHeight="1" x14ac:dyDescent="0.2">
      <c r="A92" s="8">
        <v>9</v>
      </c>
      <c r="B92" s="9" t="s">
        <v>199</v>
      </c>
      <c r="C92" s="15" t="s">
        <v>70</v>
      </c>
      <c r="D92" s="13" t="s">
        <v>159</v>
      </c>
      <c r="E92" s="69">
        <v>500000</v>
      </c>
      <c r="F92" s="69">
        <f t="shared" ref="F92:F94" si="14">E92</f>
        <v>500000</v>
      </c>
      <c r="G92" s="69"/>
    </row>
    <row r="93" spans="1:7" ht="21.6" customHeight="1" x14ac:dyDescent="0.2">
      <c r="A93" s="8">
        <v>10</v>
      </c>
      <c r="B93" s="9" t="s">
        <v>202</v>
      </c>
      <c r="C93" s="2" t="s">
        <v>203</v>
      </c>
      <c r="D93" s="8" t="s">
        <v>76</v>
      </c>
      <c r="E93" s="69">
        <v>300000</v>
      </c>
      <c r="F93" s="69">
        <f t="shared" si="14"/>
        <v>300000</v>
      </c>
      <c r="G93" s="69"/>
    </row>
    <row r="94" spans="1:7" ht="21.6" customHeight="1" x14ac:dyDescent="0.2">
      <c r="A94" s="8">
        <v>11</v>
      </c>
      <c r="B94" s="9" t="s">
        <v>204</v>
      </c>
      <c r="C94" s="15" t="s">
        <v>205</v>
      </c>
      <c r="D94" s="13" t="s">
        <v>102</v>
      </c>
      <c r="E94" s="69">
        <v>300000</v>
      </c>
      <c r="F94" s="69">
        <f t="shared" si="14"/>
        <v>300000</v>
      </c>
      <c r="G94" s="69"/>
    </row>
    <row r="95" spans="1:7" ht="20.100000000000001" customHeight="1" x14ac:dyDescent="0.5">
      <c r="A95" s="8"/>
      <c r="B95" s="18" t="s">
        <v>111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 x14ac:dyDescent="0.2">
      <c r="A96" s="8"/>
      <c r="B96" s="20"/>
      <c r="C96" s="19"/>
      <c r="D96" s="19"/>
      <c r="E96" s="69"/>
      <c r="F96" s="77"/>
      <c r="G96" s="77"/>
    </row>
    <row r="97" spans="1:7" ht="20.100000000000001" customHeight="1" x14ac:dyDescent="0.2">
      <c r="A97" s="8"/>
      <c r="B97" s="18" t="s">
        <v>207</v>
      </c>
      <c r="C97" s="19"/>
      <c r="D97" s="19"/>
      <c r="E97" s="69"/>
      <c r="F97" s="77"/>
      <c r="G97" s="77"/>
    </row>
    <row r="98" spans="1:7" ht="20.100000000000001" customHeight="1" x14ac:dyDescent="0.2">
      <c r="A98" s="8">
        <v>1</v>
      </c>
      <c r="B98" s="12" t="s">
        <v>208</v>
      </c>
      <c r="C98" s="2" t="s">
        <v>209</v>
      </c>
      <c r="D98" s="14" t="s">
        <v>154</v>
      </c>
      <c r="E98" s="69">
        <v>700000</v>
      </c>
      <c r="F98" s="69"/>
      <c r="G98" s="69">
        <v>700000</v>
      </c>
    </row>
    <row r="99" spans="1:7" ht="20.100000000000001" customHeight="1" x14ac:dyDescent="0.2">
      <c r="A99" s="8">
        <v>2</v>
      </c>
      <c r="B99" s="9" t="s">
        <v>211</v>
      </c>
      <c r="C99" s="2" t="s">
        <v>212</v>
      </c>
      <c r="D99" s="13" t="s">
        <v>46</v>
      </c>
      <c r="E99" s="69">
        <v>500000</v>
      </c>
      <c r="F99" s="69"/>
      <c r="G99" s="69">
        <v>500000</v>
      </c>
    </row>
    <row r="100" spans="1:7" ht="20.100000000000001" customHeight="1" x14ac:dyDescent="0.2">
      <c r="A100" s="8">
        <v>3</v>
      </c>
      <c r="B100" s="9" t="s">
        <v>217</v>
      </c>
      <c r="C100" s="2" t="s">
        <v>218</v>
      </c>
      <c r="D100" s="13" t="s">
        <v>162</v>
      </c>
      <c r="E100" s="69">
        <v>400000</v>
      </c>
      <c r="F100" s="69">
        <v>400000</v>
      </c>
      <c r="G100" s="69"/>
    </row>
    <row r="101" spans="1:7" ht="20.100000000000001" customHeight="1" x14ac:dyDescent="0.2">
      <c r="A101" s="8">
        <v>4</v>
      </c>
      <c r="B101" s="9" t="s">
        <v>219</v>
      </c>
      <c r="C101" s="2" t="s">
        <v>220</v>
      </c>
      <c r="D101" s="13" t="s">
        <v>76</v>
      </c>
      <c r="E101" s="69">
        <v>300000</v>
      </c>
      <c r="F101" s="69">
        <v>300000</v>
      </c>
      <c r="G101" s="69"/>
    </row>
    <row r="102" spans="1:7" ht="20.100000000000001" customHeight="1" x14ac:dyDescent="0.5">
      <c r="A102" s="2"/>
      <c r="B102" s="18" t="s">
        <v>111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 x14ac:dyDescent="0.2">
      <c r="A103" s="2"/>
      <c r="B103" s="20"/>
      <c r="C103" s="19"/>
      <c r="D103" s="24"/>
      <c r="E103" s="77"/>
      <c r="F103" s="77"/>
      <c r="G103" s="77"/>
    </row>
    <row r="104" spans="1:7" ht="20.100000000000001" customHeight="1" x14ac:dyDescent="0.2">
      <c r="A104" s="2"/>
      <c r="B104" s="18" t="s">
        <v>221</v>
      </c>
      <c r="C104" s="2"/>
      <c r="D104" s="2"/>
      <c r="E104" s="81"/>
      <c r="F104" s="81"/>
      <c r="G104" s="81"/>
    </row>
    <row r="105" spans="1:7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69">
        <v>1000000</v>
      </c>
      <c r="F105" s="69"/>
      <c r="G105" s="69">
        <f>E105</f>
        <v>1000000</v>
      </c>
    </row>
    <row r="106" spans="1:7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154</v>
      </c>
      <c r="E106" s="69">
        <v>700000</v>
      </c>
      <c r="F106" s="69"/>
      <c r="G106" s="69">
        <f>E106</f>
        <v>700000</v>
      </c>
    </row>
    <row r="107" spans="1:7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69">
        <v>500000</v>
      </c>
      <c r="F107" s="69">
        <f>E107</f>
        <v>500000</v>
      </c>
      <c r="G107" s="69"/>
    </row>
    <row r="108" spans="1:7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52</v>
      </c>
      <c r="E108" s="69">
        <v>500000</v>
      </c>
      <c r="F108" s="69">
        <f>E108</f>
        <v>500000</v>
      </c>
      <c r="G108" s="69"/>
    </row>
    <row r="109" spans="1:7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553</v>
      </c>
      <c r="E109" s="332">
        <v>300000</v>
      </c>
      <c r="F109" s="69">
        <f t="shared" ref="F109:F111" si="17">E109</f>
        <v>300000</v>
      </c>
      <c r="G109" s="69"/>
    </row>
    <row r="110" spans="1:7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554</v>
      </c>
      <c r="E110" s="332">
        <v>300000</v>
      </c>
      <c r="F110" s="69">
        <f t="shared" si="17"/>
        <v>300000</v>
      </c>
      <c r="G110" s="69"/>
    </row>
    <row r="111" spans="1:7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102</v>
      </c>
      <c r="E111" s="332">
        <v>300000</v>
      </c>
      <c r="F111" s="69">
        <f t="shared" si="17"/>
        <v>300000</v>
      </c>
      <c r="G111" s="69"/>
    </row>
    <row r="112" spans="1:7" ht="25.5" customHeight="1" x14ac:dyDescent="0.5">
      <c r="A112" s="2"/>
      <c r="B112" s="18" t="s">
        <v>111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 x14ac:dyDescent="0.5">
      <c r="A113" s="2"/>
      <c r="B113" s="18"/>
      <c r="C113" s="19"/>
      <c r="D113" s="2"/>
      <c r="E113" s="82"/>
      <c r="F113" s="82"/>
      <c r="G113" s="82"/>
    </row>
    <row r="114" spans="1:7" ht="20.100000000000001" customHeight="1" x14ac:dyDescent="0.2">
      <c r="A114" s="8"/>
      <c r="B114" s="18" t="s">
        <v>235</v>
      </c>
      <c r="C114" s="19"/>
      <c r="D114" s="19"/>
      <c r="E114" s="77"/>
      <c r="F114" s="77"/>
      <c r="G114" s="77"/>
    </row>
    <row r="115" spans="1:7" ht="20.100000000000001" customHeight="1" x14ac:dyDescent="0.2">
      <c r="A115" s="8">
        <v>1</v>
      </c>
      <c r="B115" s="9" t="s">
        <v>236</v>
      </c>
      <c r="C115" s="2" t="s">
        <v>237</v>
      </c>
      <c r="D115" s="13" t="s">
        <v>162</v>
      </c>
      <c r="E115" s="333">
        <v>400000</v>
      </c>
      <c r="F115" s="333">
        <f>E115</f>
        <v>400000</v>
      </c>
      <c r="G115" s="333"/>
    </row>
    <row r="116" spans="1:7" ht="18.75" customHeight="1" x14ac:dyDescent="0.2">
      <c r="A116" s="8">
        <v>2</v>
      </c>
      <c r="B116" s="9" t="s">
        <v>177</v>
      </c>
      <c r="C116" s="10" t="s">
        <v>555</v>
      </c>
      <c r="D116" s="13" t="s">
        <v>65</v>
      </c>
      <c r="E116" s="333">
        <v>400000</v>
      </c>
      <c r="F116" s="333">
        <f>E116</f>
        <v>400000</v>
      </c>
      <c r="G116" s="333"/>
    </row>
    <row r="117" spans="1:7" ht="20.100000000000001" customHeight="1" x14ac:dyDescent="0.5">
      <c r="A117" s="2"/>
      <c r="B117" s="18" t="s">
        <v>111</v>
      </c>
      <c r="C117" s="19">
        <v>2</v>
      </c>
      <c r="D117" s="24"/>
      <c r="E117" s="334">
        <f>SUM(E115:E116)</f>
        <v>800000</v>
      </c>
      <c r="F117" s="334">
        <f>SUM(F115:F116)</f>
        <v>800000</v>
      </c>
      <c r="G117" s="76"/>
    </row>
    <row r="118" spans="1:7" ht="24.75" customHeight="1" x14ac:dyDescent="0.2">
      <c r="A118" s="2"/>
      <c r="B118" s="20"/>
      <c r="C118" s="8"/>
      <c r="D118" s="2"/>
    </row>
    <row r="119" spans="1:7" ht="20.100000000000001" customHeight="1" x14ac:dyDescent="0.2">
      <c r="A119" s="2"/>
      <c r="B119" s="18" t="s">
        <v>250</v>
      </c>
      <c r="C119" s="19"/>
      <c r="D119" s="19"/>
      <c r="E119" s="83"/>
      <c r="F119" s="83"/>
      <c r="G119" s="83"/>
    </row>
    <row r="120" spans="1:7" ht="20.100000000000001" customHeight="1" x14ac:dyDescent="0.2">
      <c r="A120" s="2">
        <v>1</v>
      </c>
      <c r="B120" s="9" t="s">
        <v>251</v>
      </c>
      <c r="C120" s="10" t="s">
        <v>252</v>
      </c>
      <c r="D120" s="13" t="s">
        <v>115</v>
      </c>
      <c r="E120" s="69">
        <v>1000000</v>
      </c>
      <c r="F120" s="69"/>
      <c r="G120" s="69">
        <f>E120</f>
        <v>1000000</v>
      </c>
    </row>
    <row r="121" spans="1:7" ht="20.100000000000001" customHeight="1" x14ac:dyDescent="0.2">
      <c r="A121" s="2">
        <v>2</v>
      </c>
      <c r="B121" s="9" t="s">
        <v>253</v>
      </c>
      <c r="C121" s="10" t="s">
        <v>254</v>
      </c>
      <c r="D121" s="13" t="s">
        <v>35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 x14ac:dyDescent="0.2">
      <c r="A122" s="2">
        <v>3</v>
      </c>
      <c r="B122" s="12" t="s">
        <v>255</v>
      </c>
      <c r="C122" s="10" t="s">
        <v>256</v>
      </c>
      <c r="D122" s="13" t="s">
        <v>131</v>
      </c>
      <c r="E122" s="69">
        <v>700000</v>
      </c>
      <c r="F122" s="69"/>
      <c r="G122" s="69">
        <f t="shared" si="19"/>
        <v>700000</v>
      </c>
    </row>
    <row r="123" spans="1:7" ht="20.100000000000001" customHeight="1" x14ac:dyDescent="0.2">
      <c r="A123" s="2">
        <v>4</v>
      </c>
      <c r="B123" s="12" t="s">
        <v>556</v>
      </c>
      <c r="C123" s="10" t="s">
        <v>256</v>
      </c>
      <c r="D123" s="13" t="s">
        <v>38</v>
      </c>
      <c r="E123" s="69">
        <v>700000</v>
      </c>
      <c r="F123" s="69"/>
      <c r="G123" s="69">
        <f t="shared" si="19"/>
        <v>700000</v>
      </c>
    </row>
    <row r="124" spans="1:7" ht="20.100000000000001" customHeight="1" x14ac:dyDescent="0.2">
      <c r="A124" s="2">
        <v>5</v>
      </c>
      <c r="B124" s="9" t="s">
        <v>257</v>
      </c>
      <c r="C124" s="10" t="s">
        <v>258</v>
      </c>
      <c r="D124" s="13" t="s">
        <v>176</v>
      </c>
      <c r="E124" s="69">
        <v>500000</v>
      </c>
      <c r="F124" s="69"/>
      <c r="G124" s="69">
        <f t="shared" si="19"/>
        <v>500000</v>
      </c>
    </row>
    <row r="125" spans="1:7" ht="20.100000000000001" customHeight="1" x14ac:dyDescent="0.2">
      <c r="A125" s="2">
        <v>6</v>
      </c>
      <c r="B125" s="9" t="s">
        <v>259</v>
      </c>
      <c r="C125" s="10" t="s">
        <v>489</v>
      </c>
      <c r="D125" s="13" t="s">
        <v>197</v>
      </c>
      <c r="E125" s="69">
        <v>500000</v>
      </c>
      <c r="F125" s="69"/>
      <c r="G125" s="69">
        <f t="shared" si="19"/>
        <v>500000</v>
      </c>
    </row>
    <row r="126" spans="1:7" ht="20.100000000000001" customHeight="1" x14ac:dyDescent="0.2">
      <c r="A126" s="2">
        <v>7</v>
      </c>
      <c r="B126" s="9" t="s">
        <v>260</v>
      </c>
      <c r="C126" s="10" t="s">
        <v>258</v>
      </c>
      <c r="D126" s="13" t="s">
        <v>46</v>
      </c>
      <c r="E126" s="69">
        <v>500000</v>
      </c>
      <c r="F126" s="69"/>
      <c r="G126" s="69">
        <f t="shared" si="19"/>
        <v>500000</v>
      </c>
    </row>
    <row r="127" spans="1:7" ht="20.100000000000001" customHeight="1" x14ac:dyDescent="0.2">
      <c r="A127" s="2">
        <v>8</v>
      </c>
      <c r="B127" s="9" t="s">
        <v>263</v>
      </c>
      <c r="C127" s="10" t="s">
        <v>264</v>
      </c>
      <c r="D127" s="8" t="s">
        <v>84</v>
      </c>
      <c r="E127" s="69">
        <v>300000</v>
      </c>
      <c r="F127" s="69">
        <f>E127</f>
        <v>300000</v>
      </c>
      <c r="G127" s="69"/>
    </row>
    <row r="128" spans="1:7" ht="20.100000000000001" customHeight="1" x14ac:dyDescent="0.2">
      <c r="A128" s="2">
        <v>9</v>
      </c>
      <c r="B128" s="16" t="s">
        <v>265</v>
      </c>
      <c r="C128" s="10" t="s">
        <v>266</v>
      </c>
      <c r="D128" s="13" t="s">
        <v>105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 x14ac:dyDescent="0.2">
      <c r="A129" s="2">
        <v>10</v>
      </c>
      <c r="B129" s="16" t="s">
        <v>267</v>
      </c>
      <c r="C129" s="10" t="s">
        <v>262</v>
      </c>
      <c r="D129" s="13" t="s">
        <v>105</v>
      </c>
      <c r="E129" s="69">
        <v>300000</v>
      </c>
      <c r="F129" s="69">
        <f t="shared" si="20"/>
        <v>300000</v>
      </c>
      <c r="G129" s="69"/>
    </row>
    <row r="130" spans="1:7" ht="20.100000000000001" customHeight="1" x14ac:dyDescent="0.2">
      <c r="A130" s="2"/>
      <c r="B130" s="18" t="s">
        <v>111</v>
      </c>
      <c r="C130" s="24" t="s">
        <v>490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 x14ac:dyDescent="0.2">
      <c r="A131" s="2"/>
      <c r="B131" s="20"/>
      <c r="C131" s="24"/>
      <c r="D131" s="13"/>
      <c r="E131" s="2"/>
      <c r="F131" s="2"/>
      <c r="G131" s="2"/>
    </row>
    <row r="132" spans="1:7" ht="20.100000000000001" customHeight="1" x14ac:dyDescent="0.2">
      <c r="A132" s="2"/>
      <c r="B132" s="18" t="s">
        <v>270</v>
      </c>
      <c r="C132" s="10"/>
      <c r="D132" s="13"/>
      <c r="E132" s="77"/>
      <c r="F132" s="77"/>
      <c r="G132" s="77"/>
    </row>
    <row r="133" spans="1:7" ht="20.100000000000001" customHeight="1" x14ac:dyDescent="0.2">
      <c r="A133" s="25">
        <v>1</v>
      </c>
      <c r="B133" s="9" t="s">
        <v>557</v>
      </c>
      <c r="C133" s="10" t="s">
        <v>558</v>
      </c>
      <c r="D133" s="13" t="s">
        <v>115</v>
      </c>
      <c r="E133" s="69">
        <v>500000</v>
      </c>
      <c r="F133" s="69"/>
      <c r="G133" s="69">
        <f>E133</f>
        <v>500000</v>
      </c>
    </row>
    <row r="134" spans="1:7" ht="20.100000000000001" customHeight="1" x14ac:dyDescent="0.2">
      <c r="A134" s="25">
        <v>2</v>
      </c>
      <c r="B134" s="9" t="s">
        <v>559</v>
      </c>
      <c r="C134" s="10" t="s">
        <v>560</v>
      </c>
      <c r="D134" s="13" t="s">
        <v>154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 x14ac:dyDescent="0.2">
      <c r="A135" s="25">
        <v>3</v>
      </c>
      <c r="B135" s="12" t="s">
        <v>274</v>
      </c>
      <c r="C135" s="2" t="s">
        <v>275</v>
      </c>
      <c r="D135" s="14" t="s">
        <v>154</v>
      </c>
      <c r="E135" s="69">
        <v>700000</v>
      </c>
      <c r="F135" s="69"/>
      <c r="G135" s="69">
        <f t="shared" si="22"/>
        <v>700000</v>
      </c>
    </row>
    <row r="136" spans="1:7" ht="20.100000000000001" customHeight="1" x14ac:dyDescent="0.2">
      <c r="A136" s="25">
        <v>4</v>
      </c>
      <c r="B136" s="9" t="s">
        <v>276</v>
      </c>
      <c r="C136" s="10" t="s">
        <v>561</v>
      </c>
      <c r="D136" s="13" t="s">
        <v>41</v>
      </c>
      <c r="E136" s="69">
        <v>500000</v>
      </c>
      <c r="F136" s="69"/>
      <c r="G136" s="69">
        <f t="shared" si="22"/>
        <v>500000</v>
      </c>
    </row>
    <row r="137" spans="1:7" ht="20.100000000000001" customHeight="1" x14ac:dyDescent="0.2">
      <c r="A137" s="25">
        <v>5</v>
      </c>
      <c r="B137" s="9" t="s">
        <v>278</v>
      </c>
      <c r="C137" s="2" t="s">
        <v>562</v>
      </c>
      <c r="D137" s="13" t="s">
        <v>41</v>
      </c>
      <c r="E137" s="69">
        <v>500000</v>
      </c>
      <c r="F137" s="69"/>
      <c r="G137" s="69">
        <f t="shared" si="22"/>
        <v>500000</v>
      </c>
    </row>
    <row r="138" spans="1:7" ht="20.100000000000001" customHeight="1" x14ac:dyDescent="0.2">
      <c r="A138" s="25">
        <v>6</v>
      </c>
      <c r="B138" s="9" t="s">
        <v>280</v>
      </c>
      <c r="C138" s="2" t="s">
        <v>562</v>
      </c>
      <c r="D138" s="13" t="s">
        <v>41</v>
      </c>
      <c r="E138" s="69">
        <v>500000</v>
      </c>
      <c r="F138" s="69"/>
      <c r="G138" s="69">
        <f t="shared" si="22"/>
        <v>500000</v>
      </c>
    </row>
    <row r="139" spans="1:7" ht="20.100000000000001" customHeight="1" x14ac:dyDescent="0.2">
      <c r="A139" s="25">
        <v>7</v>
      </c>
      <c r="B139" s="9" t="s">
        <v>213</v>
      </c>
      <c r="C139" s="10" t="s">
        <v>563</v>
      </c>
      <c r="D139" s="13" t="s">
        <v>65</v>
      </c>
      <c r="E139" s="69">
        <v>400000</v>
      </c>
      <c r="F139" s="69">
        <f>E139</f>
        <v>400000</v>
      </c>
      <c r="G139" s="69"/>
    </row>
    <row r="140" spans="1:7" ht="20.100000000000001" customHeight="1" x14ac:dyDescent="0.2">
      <c r="A140" s="25">
        <v>8</v>
      </c>
      <c r="B140" s="9" t="s">
        <v>281</v>
      </c>
      <c r="C140" s="10" t="s">
        <v>563</v>
      </c>
      <c r="D140" s="13" t="s">
        <v>65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 x14ac:dyDescent="0.2">
      <c r="A141" s="25">
        <v>9</v>
      </c>
      <c r="B141" s="9" t="s">
        <v>282</v>
      </c>
      <c r="C141" s="2" t="s">
        <v>564</v>
      </c>
      <c r="D141" s="13" t="s">
        <v>65</v>
      </c>
      <c r="E141" s="69">
        <v>400000</v>
      </c>
      <c r="F141" s="69">
        <f t="shared" si="23"/>
        <v>400000</v>
      </c>
      <c r="G141" s="69"/>
    </row>
    <row r="142" spans="1:7" ht="20.100000000000001" customHeight="1" x14ac:dyDescent="0.2">
      <c r="A142" s="25">
        <v>10</v>
      </c>
      <c r="B142" s="9" t="s">
        <v>284</v>
      </c>
      <c r="C142" s="10" t="s">
        <v>285</v>
      </c>
      <c r="D142" s="13" t="s">
        <v>162</v>
      </c>
      <c r="E142" s="69">
        <v>400000</v>
      </c>
      <c r="F142" s="69">
        <f t="shared" si="23"/>
        <v>400000</v>
      </c>
      <c r="G142" s="69"/>
    </row>
    <row r="143" spans="1:7" ht="20.100000000000001" customHeight="1" x14ac:dyDescent="0.2">
      <c r="A143" s="25">
        <v>11</v>
      </c>
      <c r="B143" s="9" t="s">
        <v>286</v>
      </c>
      <c r="C143" s="10" t="s">
        <v>287</v>
      </c>
      <c r="D143" s="13" t="s">
        <v>68</v>
      </c>
      <c r="E143" s="69">
        <v>400000</v>
      </c>
      <c r="F143" s="69">
        <f t="shared" si="23"/>
        <v>400000</v>
      </c>
      <c r="G143" s="69"/>
    </row>
    <row r="144" spans="1:7" ht="20.100000000000001" customHeight="1" x14ac:dyDescent="0.2">
      <c r="A144" s="25">
        <v>12</v>
      </c>
      <c r="B144" s="9" t="s">
        <v>60</v>
      </c>
      <c r="C144" s="10" t="s">
        <v>565</v>
      </c>
      <c r="D144" s="13" t="s">
        <v>65</v>
      </c>
      <c r="E144" s="69">
        <v>400000</v>
      </c>
      <c r="F144" s="69">
        <f t="shared" si="23"/>
        <v>400000</v>
      </c>
      <c r="G144" s="69"/>
    </row>
    <row r="145" spans="1:7" ht="20.100000000000001" customHeight="1" x14ac:dyDescent="0.2">
      <c r="A145" s="25">
        <v>13</v>
      </c>
      <c r="B145" s="16" t="s">
        <v>288</v>
      </c>
      <c r="C145" s="2" t="s">
        <v>289</v>
      </c>
      <c r="D145" s="13" t="s">
        <v>137</v>
      </c>
      <c r="E145" s="69">
        <v>400000</v>
      </c>
      <c r="F145" s="69">
        <f t="shared" si="23"/>
        <v>400000</v>
      </c>
      <c r="G145" s="69"/>
    </row>
    <row r="146" spans="1:7" ht="20.100000000000001" customHeight="1" x14ac:dyDescent="0.2">
      <c r="A146" s="25">
        <v>14</v>
      </c>
      <c r="B146" s="9" t="s">
        <v>290</v>
      </c>
      <c r="C146" s="2" t="s">
        <v>566</v>
      </c>
      <c r="D146" s="13" t="s">
        <v>119</v>
      </c>
      <c r="E146" s="332">
        <v>300000</v>
      </c>
      <c r="F146" s="69">
        <f t="shared" si="23"/>
        <v>300000</v>
      </c>
      <c r="G146" s="69"/>
    </row>
    <row r="147" spans="1:7" ht="20.100000000000001" customHeight="1" x14ac:dyDescent="0.2">
      <c r="A147" s="25">
        <v>15</v>
      </c>
      <c r="B147" s="9" t="s">
        <v>291</v>
      </c>
      <c r="C147" s="2" t="s">
        <v>566</v>
      </c>
      <c r="D147" s="13" t="s">
        <v>300</v>
      </c>
      <c r="E147" s="332">
        <v>300000</v>
      </c>
      <c r="F147" s="69">
        <f t="shared" si="23"/>
        <v>300000</v>
      </c>
      <c r="G147" s="69"/>
    </row>
    <row r="148" spans="1:7" ht="20.100000000000001" customHeight="1" x14ac:dyDescent="0.2">
      <c r="A148" s="25">
        <v>16</v>
      </c>
      <c r="B148" s="9" t="s">
        <v>293</v>
      </c>
      <c r="C148" s="2" t="s">
        <v>566</v>
      </c>
      <c r="D148" s="13" t="s">
        <v>300</v>
      </c>
      <c r="E148" s="332">
        <v>300000</v>
      </c>
      <c r="F148" s="69">
        <f t="shared" si="23"/>
        <v>300000</v>
      </c>
      <c r="G148" s="69"/>
    </row>
    <row r="149" spans="1:7" ht="20.100000000000001" customHeight="1" x14ac:dyDescent="0.2">
      <c r="A149" s="25">
        <v>17</v>
      </c>
      <c r="B149" s="9" t="s">
        <v>294</v>
      </c>
      <c r="C149" s="10" t="s">
        <v>295</v>
      </c>
      <c r="D149" s="13" t="s">
        <v>76</v>
      </c>
      <c r="E149" s="332">
        <v>300000</v>
      </c>
      <c r="F149" s="69">
        <f t="shared" si="23"/>
        <v>300000</v>
      </c>
      <c r="G149" s="69"/>
    </row>
    <row r="150" spans="1:7" ht="20.100000000000001" customHeight="1" x14ac:dyDescent="0.2">
      <c r="A150" s="25">
        <v>18</v>
      </c>
      <c r="B150" s="9" t="s">
        <v>296</v>
      </c>
      <c r="C150" s="10" t="s">
        <v>297</v>
      </c>
      <c r="D150" s="8" t="s">
        <v>87</v>
      </c>
      <c r="E150" s="332">
        <v>300000</v>
      </c>
      <c r="F150" s="69">
        <f t="shared" si="23"/>
        <v>300000</v>
      </c>
      <c r="G150" s="69"/>
    </row>
    <row r="151" spans="1:7" ht="20.100000000000001" customHeight="1" x14ac:dyDescent="0.2">
      <c r="A151" s="25">
        <v>19</v>
      </c>
      <c r="B151" s="9" t="s">
        <v>298</v>
      </c>
      <c r="C151" s="10" t="s">
        <v>299</v>
      </c>
      <c r="D151" s="13" t="s">
        <v>119</v>
      </c>
      <c r="E151" s="332">
        <v>300000</v>
      </c>
      <c r="F151" s="69">
        <f t="shared" si="23"/>
        <v>300000</v>
      </c>
      <c r="G151" s="69"/>
    </row>
    <row r="152" spans="1:7" ht="20.100000000000001" customHeight="1" x14ac:dyDescent="0.2">
      <c r="A152" s="25">
        <v>20</v>
      </c>
      <c r="B152" s="9" t="s">
        <v>301</v>
      </c>
      <c r="C152" s="10" t="s">
        <v>302</v>
      </c>
      <c r="D152" s="13" t="s">
        <v>84</v>
      </c>
      <c r="E152" s="332">
        <v>300000</v>
      </c>
      <c r="F152" s="69">
        <f t="shared" si="23"/>
        <v>300000</v>
      </c>
      <c r="G152" s="69"/>
    </row>
    <row r="153" spans="1:7" ht="20.100000000000001" customHeight="1" x14ac:dyDescent="0.2">
      <c r="A153" s="25">
        <v>21</v>
      </c>
      <c r="B153" s="9" t="s">
        <v>303</v>
      </c>
      <c r="C153" s="10" t="s">
        <v>304</v>
      </c>
      <c r="D153" s="13" t="s">
        <v>119</v>
      </c>
      <c r="E153" s="332">
        <v>300000</v>
      </c>
      <c r="F153" s="69">
        <f t="shared" si="23"/>
        <v>300000</v>
      </c>
      <c r="G153" s="69"/>
    </row>
    <row r="154" spans="1:7" ht="20.100000000000001" customHeight="1" x14ac:dyDescent="0.2">
      <c r="A154" s="25">
        <v>22</v>
      </c>
      <c r="B154" s="9" t="s">
        <v>305</v>
      </c>
      <c r="C154" s="10" t="s">
        <v>306</v>
      </c>
      <c r="D154" s="13" t="s">
        <v>84</v>
      </c>
      <c r="E154" s="332">
        <v>300000</v>
      </c>
      <c r="F154" s="69">
        <f t="shared" si="23"/>
        <v>300000</v>
      </c>
      <c r="G154" s="69"/>
    </row>
    <row r="155" spans="1:7" ht="20.100000000000001" customHeight="1" x14ac:dyDescent="0.2">
      <c r="A155" s="25">
        <v>23</v>
      </c>
      <c r="B155" s="16" t="s">
        <v>307</v>
      </c>
      <c r="C155" s="10" t="s">
        <v>308</v>
      </c>
      <c r="D155" s="13" t="s">
        <v>96</v>
      </c>
      <c r="E155" s="332">
        <v>300000</v>
      </c>
      <c r="F155" s="69">
        <f t="shared" si="23"/>
        <v>300000</v>
      </c>
      <c r="G155" s="69"/>
    </row>
    <row r="156" spans="1:7" ht="20.100000000000001" customHeight="1" x14ac:dyDescent="0.2">
      <c r="A156" s="25">
        <v>24</v>
      </c>
      <c r="B156" s="16" t="s">
        <v>312</v>
      </c>
      <c r="C156" s="10" t="s">
        <v>313</v>
      </c>
      <c r="D156" s="13" t="s">
        <v>105</v>
      </c>
      <c r="E156" s="332">
        <v>300000</v>
      </c>
      <c r="F156" s="69">
        <f t="shared" si="23"/>
        <v>300000</v>
      </c>
      <c r="G156" s="69"/>
    </row>
    <row r="157" spans="1:7" ht="20.100000000000001" customHeight="1" x14ac:dyDescent="0.2">
      <c r="A157" s="25">
        <v>25</v>
      </c>
      <c r="B157" s="16" t="s">
        <v>314</v>
      </c>
      <c r="C157" s="10" t="s">
        <v>315</v>
      </c>
      <c r="D157" s="13" t="s">
        <v>105</v>
      </c>
      <c r="E157" s="332">
        <v>300000</v>
      </c>
      <c r="F157" s="69">
        <f t="shared" si="23"/>
        <v>300000</v>
      </c>
      <c r="G157" s="69"/>
    </row>
    <row r="158" spans="1:7" ht="20.100000000000001" customHeight="1" x14ac:dyDescent="0.2">
      <c r="A158" s="25">
        <v>26</v>
      </c>
      <c r="B158" s="16" t="s">
        <v>316</v>
      </c>
      <c r="C158" s="10" t="s">
        <v>317</v>
      </c>
      <c r="D158" s="13" t="s">
        <v>105</v>
      </c>
      <c r="E158" s="332">
        <v>300000</v>
      </c>
      <c r="F158" s="69">
        <f t="shared" si="23"/>
        <v>300000</v>
      </c>
      <c r="G158" s="69"/>
    </row>
    <row r="159" spans="1:7" ht="20.100000000000001" customHeight="1" x14ac:dyDescent="0.2">
      <c r="A159" s="25">
        <v>27</v>
      </c>
      <c r="B159" s="16" t="s">
        <v>318</v>
      </c>
      <c r="C159" s="10" t="s">
        <v>319</v>
      </c>
      <c r="D159" s="13" t="s">
        <v>102</v>
      </c>
      <c r="E159" s="332">
        <v>300000</v>
      </c>
      <c r="F159" s="69">
        <f t="shared" si="23"/>
        <v>300000</v>
      </c>
      <c r="G159" s="69"/>
    </row>
    <row r="160" spans="1:7" ht="20.100000000000001" customHeight="1" x14ac:dyDescent="0.2">
      <c r="A160" s="25">
        <v>28</v>
      </c>
      <c r="B160" s="16" t="s">
        <v>320</v>
      </c>
      <c r="C160" s="10" t="s">
        <v>315</v>
      </c>
      <c r="D160" s="13" t="s">
        <v>105</v>
      </c>
      <c r="E160" s="332">
        <v>300000</v>
      </c>
      <c r="F160" s="69">
        <f t="shared" si="23"/>
        <v>300000</v>
      </c>
      <c r="G160" s="69"/>
    </row>
    <row r="161" spans="1:7" ht="20.100000000000001" customHeight="1" x14ac:dyDescent="0.2">
      <c r="A161" s="25">
        <v>29</v>
      </c>
      <c r="B161" s="9" t="s">
        <v>329</v>
      </c>
      <c r="C161" s="10" t="s">
        <v>330</v>
      </c>
      <c r="D161" s="13" t="s">
        <v>337</v>
      </c>
      <c r="E161" s="335">
        <v>100000</v>
      </c>
      <c r="F161" s="69">
        <f t="shared" si="23"/>
        <v>100000</v>
      </c>
      <c r="G161" s="69"/>
    </row>
    <row r="162" spans="1:7" ht="20.100000000000001" customHeight="1" x14ac:dyDescent="0.2">
      <c r="A162" s="25">
        <v>30</v>
      </c>
      <c r="B162" s="9" t="s">
        <v>332</v>
      </c>
      <c r="C162" s="10" t="s">
        <v>330</v>
      </c>
      <c r="D162" s="13" t="s">
        <v>337</v>
      </c>
      <c r="E162" s="335">
        <v>100000</v>
      </c>
      <c r="F162" s="69">
        <f t="shared" si="23"/>
        <v>100000</v>
      </c>
      <c r="G162" s="69"/>
    </row>
    <row r="163" spans="1:7" ht="20.100000000000001" customHeight="1" x14ac:dyDescent="0.2">
      <c r="A163" s="25">
        <v>31</v>
      </c>
      <c r="B163" s="9" t="s">
        <v>333</v>
      </c>
      <c r="C163" s="10" t="s">
        <v>330</v>
      </c>
      <c r="D163" s="13" t="s">
        <v>337</v>
      </c>
      <c r="E163" s="335">
        <v>100000</v>
      </c>
      <c r="F163" s="69">
        <f t="shared" si="23"/>
        <v>100000</v>
      </c>
      <c r="G163" s="69"/>
    </row>
    <row r="164" spans="1:7" ht="20.100000000000001" customHeight="1" x14ac:dyDescent="0.2">
      <c r="A164" s="25">
        <v>32</v>
      </c>
      <c r="B164" s="9" t="s">
        <v>334</v>
      </c>
      <c r="C164" s="10" t="s">
        <v>330</v>
      </c>
      <c r="D164" s="13" t="s">
        <v>337</v>
      </c>
      <c r="E164" s="335">
        <v>100000</v>
      </c>
      <c r="F164" s="69">
        <f t="shared" si="23"/>
        <v>100000</v>
      </c>
      <c r="G164" s="69"/>
    </row>
    <row r="165" spans="1:7" ht="20.100000000000001" customHeight="1" x14ac:dyDescent="0.2">
      <c r="A165" s="25">
        <v>33</v>
      </c>
      <c r="B165" s="9" t="s">
        <v>335</v>
      </c>
      <c r="C165" s="10" t="s">
        <v>330</v>
      </c>
      <c r="D165" s="13" t="s">
        <v>337</v>
      </c>
      <c r="E165" s="335">
        <v>100000</v>
      </c>
      <c r="F165" s="69">
        <f t="shared" si="23"/>
        <v>100000</v>
      </c>
      <c r="G165" s="69"/>
    </row>
    <row r="166" spans="1:7" ht="20.100000000000001" customHeight="1" x14ac:dyDescent="0.2">
      <c r="A166" s="25">
        <v>34</v>
      </c>
      <c r="B166" s="9" t="s">
        <v>336</v>
      </c>
      <c r="C166" s="10" t="s">
        <v>330</v>
      </c>
      <c r="D166" s="13" t="s">
        <v>348</v>
      </c>
      <c r="E166" s="335">
        <v>100000</v>
      </c>
      <c r="F166" s="69">
        <f t="shared" si="23"/>
        <v>100000</v>
      </c>
      <c r="G166" s="69"/>
    </row>
    <row r="167" spans="1:7" ht="20.100000000000001" customHeight="1" x14ac:dyDescent="0.2">
      <c r="A167" s="25">
        <v>35</v>
      </c>
      <c r="B167" s="9" t="s">
        <v>338</v>
      </c>
      <c r="C167" s="10" t="s">
        <v>330</v>
      </c>
      <c r="D167" s="13" t="s">
        <v>348</v>
      </c>
      <c r="E167" s="335">
        <v>100000</v>
      </c>
      <c r="F167" s="69">
        <f t="shared" si="23"/>
        <v>100000</v>
      </c>
      <c r="G167" s="69"/>
    </row>
    <row r="168" spans="1:7" ht="20.100000000000001" customHeight="1" x14ac:dyDescent="0.2">
      <c r="A168" s="25">
        <v>36</v>
      </c>
      <c r="B168" s="12" t="s">
        <v>339</v>
      </c>
      <c r="C168" s="10" t="s">
        <v>330</v>
      </c>
      <c r="D168" s="13" t="s">
        <v>348</v>
      </c>
      <c r="E168" s="335">
        <v>100000</v>
      </c>
      <c r="F168" s="69">
        <f t="shared" si="23"/>
        <v>100000</v>
      </c>
      <c r="G168" s="69"/>
    </row>
    <row r="169" spans="1:7" ht="20.100000000000001" customHeight="1" x14ac:dyDescent="0.2">
      <c r="A169" s="25">
        <v>37</v>
      </c>
      <c r="B169" s="9" t="s">
        <v>340</v>
      </c>
      <c r="C169" s="10" t="s">
        <v>330</v>
      </c>
      <c r="D169" s="13" t="s">
        <v>348</v>
      </c>
      <c r="E169" s="335">
        <v>100000</v>
      </c>
      <c r="F169" s="69">
        <f t="shared" si="23"/>
        <v>100000</v>
      </c>
      <c r="G169" s="69"/>
    </row>
    <row r="170" spans="1:7" ht="20.100000000000001" customHeight="1" x14ac:dyDescent="0.2">
      <c r="A170" s="25">
        <v>38</v>
      </c>
      <c r="B170" s="16" t="s">
        <v>341</v>
      </c>
      <c r="C170" s="10" t="s">
        <v>330</v>
      </c>
      <c r="D170" s="13" t="s">
        <v>348</v>
      </c>
      <c r="E170" s="335">
        <v>100000</v>
      </c>
      <c r="F170" s="69">
        <f t="shared" si="23"/>
        <v>100000</v>
      </c>
      <c r="G170" s="69"/>
    </row>
    <row r="171" spans="1:7" ht="20.100000000000001" customHeight="1" x14ac:dyDescent="0.2">
      <c r="A171" s="25">
        <v>39</v>
      </c>
      <c r="B171" s="16" t="s">
        <v>342</v>
      </c>
      <c r="C171" s="10" t="s">
        <v>330</v>
      </c>
      <c r="D171" s="13" t="s">
        <v>348</v>
      </c>
      <c r="E171" s="335">
        <v>100000</v>
      </c>
      <c r="F171" s="69">
        <f t="shared" si="23"/>
        <v>100000</v>
      </c>
      <c r="G171" s="69"/>
    </row>
    <row r="172" spans="1:7" ht="20.100000000000001" customHeight="1" x14ac:dyDescent="0.2">
      <c r="A172" s="25">
        <v>40</v>
      </c>
      <c r="B172" s="9" t="s">
        <v>343</v>
      </c>
      <c r="C172" s="10" t="s">
        <v>344</v>
      </c>
      <c r="D172" s="13" t="s">
        <v>351</v>
      </c>
      <c r="E172" s="335">
        <v>100000</v>
      </c>
      <c r="F172" s="69">
        <f t="shared" si="23"/>
        <v>100000</v>
      </c>
      <c r="G172" s="69"/>
    </row>
    <row r="173" spans="1:7" ht="20.100000000000001" customHeight="1" x14ac:dyDescent="0.2">
      <c r="A173" s="25">
        <v>41</v>
      </c>
      <c r="B173" s="9" t="s">
        <v>346</v>
      </c>
      <c r="C173" s="10" t="s">
        <v>344</v>
      </c>
      <c r="D173" s="13" t="s">
        <v>351</v>
      </c>
      <c r="E173" s="335">
        <v>100000</v>
      </c>
      <c r="F173" s="69">
        <f t="shared" si="23"/>
        <v>100000</v>
      </c>
      <c r="G173" s="69"/>
    </row>
    <row r="174" spans="1:7" ht="20.100000000000001" customHeight="1" x14ac:dyDescent="0.2">
      <c r="A174" s="25">
        <v>42</v>
      </c>
      <c r="B174" s="16" t="s">
        <v>347</v>
      </c>
      <c r="C174" s="10" t="s">
        <v>344</v>
      </c>
      <c r="D174" s="13" t="s">
        <v>345</v>
      </c>
      <c r="E174" s="335">
        <v>100000</v>
      </c>
      <c r="F174" s="69">
        <f t="shared" si="23"/>
        <v>100000</v>
      </c>
      <c r="G174" s="69"/>
    </row>
    <row r="175" spans="1:7" ht="20.100000000000001" customHeight="1" x14ac:dyDescent="0.2">
      <c r="A175" s="25">
        <v>43</v>
      </c>
      <c r="B175" s="9" t="s">
        <v>349</v>
      </c>
      <c r="C175" s="10" t="s">
        <v>350</v>
      </c>
      <c r="D175" s="13" t="s">
        <v>354</v>
      </c>
      <c r="E175" s="335">
        <v>100000</v>
      </c>
      <c r="F175" s="69">
        <f t="shared" si="23"/>
        <v>100000</v>
      </c>
      <c r="G175" s="69"/>
    </row>
    <row r="176" spans="1:7" ht="20.100000000000001" customHeight="1" x14ac:dyDescent="0.2">
      <c r="A176" s="25">
        <v>44</v>
      </c>
      <c r="B176" s="9" t="s">
        <v>352</v>
      </c>
      <c r="C176" s="10" t="s">
        <v>353</v>
      </c>
      <c r="D176" s="13" t="s">
        <v>364</v>
      </c>
      <c r="E176" s="335">
        <v>100000</v>
      </c>
      <c r="F176" s="69">
        <f t="shared" si="23"/>
        <v>100000</v>
      </c>
      <c r="G176" s="69"/>
    </row>
    <row r="177" spans="1:7" ht="20.100000000000001" customHeight="1" x14ac:dyDescent="0.2">
      <c r="A177" s="25">
        <v>45</v>
      </c>
      <c r="B177" s="9" t="s">
        <v>355</v>
      </c>
      <c r="C177" s="10" t="s">
        <v>353</v>
      </c>
      <c r="D177" s="13" t="s">
        <v>364</v>
      </c>
      <c r="E177" s="335">
        <v>100000</v>
      </c>
      <c r="F177" s="69">
        <f t="shared" si="23"/>
        <v>100000</v>
      </c>
      <c r="G177" s="69"/>
    </row>
    <row r="178" spans="1:7" ht="20.100000000000001" customHeight="1" x14ac:dyDescent="0.2">
      <c r="A178" s="25">
        <v>46</v>
      </c>
      <c r="B178" s="9" t="s">
        <v>356</v>
      </c>
      <c r="C178" s="10" t="s">
        <v>353</v>
      </c>
      <c r="D178" s="13" t="s">
        <v>364</v>
      </c>
      <c r="E178" s="335">
        <v>100000</v>
      </c>
      <c r="F178" s="69">
        <f t="shared" si="23"/>
        <v>100000</v>
      </c>
      <c r="G178" s="69"/>
    </row>
    <row r="179" spans="1:7" ht="20.100000000000001" customHeight="1" x14ac:dyDescent="0.2">
      <c r="A179" s="25">
        <v>47</v>
      </c>
      <c r="B179" s="9" t="s">
        <v>357</v>
      </c>
      <c r="C179" s="10" t="s">
        <v>353</v>
      </c>
      <c r="D179" s="13" t="s">
        <v>364</v>
      </c>
      <c r="E179" s="335">
        <v>100000</v>
      </c>
      <c r="F179" s="69">
        <f t="shared" si="23"/>
        <v>100000</v>
      </c>
      <c r="G179" s="69"/>
    </row>
    <row r="180" spans="1:7" ht="20.100000000000001" customHeight="1" x14ac:dyDescent="0.2">
      <c r="A180" s="25">
        <v>48</v>
      </c>
      <c r="B180" s="9" t="s">
        <v>358</v>
      </c>
      <c r="C180" s="10" t="s">
        <v>353</v>
      </c>
      <c r="D180" s="13" t="s">
        <v>364</v>
      </c>
      <c r="E180" s="335">
        <v>100000</v>
      </c>
      <c r="F180" s="69">
        <f t="shared" si="23"/>
        <v>100000</v>
      </c>
      <c r="G180" s="69"/>
    </row>
    <row r="181" spans="1:7" ht="20.100000000000001" customHeight="1" x14ac:dyDescent="0.2">
      <c r="A181" s="25">
        <v>49</v>
      </c>
      <c r="B181" s="16" t="s">
        <v>359</v>
      </c>
      <c r="C181" s="10" t="s">
        <v>353</v>
      </c>
      <c r="D181" s="13" t="s">
        <v>364</v>
      </c>
      <c r="E181" s="335">
        <v>100000</v>
      </c>
      <c r="F181" s="69">
        <f t="shared" si="23"/>
        <v>100000</v>
      </c>
      <c r="G181" s="69"/>
    </row>
    <row r="182" spans="1:7" ht="20.100000000000001" customHeight="1" x14ac:dyDescent="0.2">
      <c r="A182" s="25">
        <v>50</v>
      </c>
      <c r="B182" s="16" t="s">
        <v>360</v>
      </c>
      <c r="C182" s="10" t="s">
        <v>353</v>
      </c>
      <c r="D182" s="13" t="s">
        <v>364</v>
      </c>
      <c r="E182" s="335">
        <v>100000</v>
      </c>
      <c r="F182" s="69">
        <f t="shared" si="23"/>
        <v>100000</v>
      </c>
      <c r="G182" s="69"/>
    </row>
    <row r="183" spans="1:7" ht="20.100000000000001" customHeight="1" x14ac:dyDescent="0.2">
      <c r="A183" s="25">
        <v>51</v>
      </c>
      <c r="B183" s="9" t="s">
        <v>493</v>
      </c>
      <c r="C183" s="10" t="s">
        <v>350</v>
      </c>
      <c r="D183" s="13" t="s">
        <v>364</v>
      </c>
      <c r="E183" s="335">
        <v>100000</v>
      </c>
      <c r="F183" s="69">
        <f t="shared" si="23"/>
        <v>100000</v>
      </c>
      <c r="G183" s="69"/>
    </row>
    <row r="184" spans="1:7" ht="20.100000000000001" customHeight="1" x14ac:dyDescent="0.2">
      <c r="A184" s="25">
        <v>52</v>
      </c>
      <c r="B184" s="9" t="s">
        <v>361</v>
      </c>
      <c r="C184" s="10" t="s">
        <v>350</v>
      </c>
      <c r="D184" s="13" t="s">
        <v>364</v>
      </c>
      <c r="E184" s="335">
        <v>100000</v>
      </c>
      <c r="F184" s="69">
        <f t="shared" si="23"/>
        <v>100000</v>
      </c>
      <c r="G184" s="69"/>
    </row>
    <row r="185" spans="1:7" ht="20.100000000000001" customHeight="1" x14ac:dyDescent="0.2">
      <c r="A185" s="25">
        <v>53</v>
      </c>
      <c r="B185" s="16" t="s">
        <v>362</v>
      </c>
      <c r="C185" s="10" t="s">
        <v>363</v>
      </c>
      <c r="D185" s="13" t="s">
        <v>376</v>
      </c>
      <c r="E185" s="335">
        <v>100000</v>
      </c>
      <c r="F185" s="69">
        <f t="shared" si="23"/>
        <v>100000</v>
      </c>
      <c r="G185" s="69"/>
    </row>
    <row r="186" spans="1:7" ht="20.100000000000001" customHeight="1" x14ac:dyDescent="0.2">
      <c r="A186" s="25">
        <v>54</v>
      </c>
      <c r="B186" s="16" t="s">
        <v>367</v>
      </c>
      <c r="C186" s="10" t="s">
        <v>353</v>
      </c>
      <c r="D186" s="13" t="s">
        <v>567</v>
      </c>
      <c r="E186" s="335">
        <v>100000</v>
      </c>
      <c r="F186" s="69">
        <f t="shared" si="23"/>
        <v>100000</v>
      </c>
      <c r="G186" s="69"/>
    </row>
    <row r="187" spans="1:7" ht="20.100000000000001" customHeight="1" x14ac:dyDescent="0.2">
      <c r="A187" s="25">
        <v>55</v>
      </c>
      <c r="B187" s="16" t="s">
        <v>369</v>
      </c>
      <c r="C187" s="10" t="s">
        <v>370</v>
      </c>
      <c r="D187" s="13" t="s">
        <v>568</v>
      </c>
      <c r="E187" s="335">
        <v>100000</v>
      </c>
      <c r="F187" s="69">
        <f t="shared" si="23"/>
        <v>100000</v>
      </c>
      <c r="G187" s="336"/>
    </row>
    <row r="188" spans="1:7" ht="20.100000000000001" customHeight="1" x14ac:dyDescent="0.2">
      <c r="A188" s="25">
        <v>56</v>
      </c>
      <c r="B188" s="16" t="s">
        <v>372</v>
      </c>
      <c r="C188" s="10" t="s">
        <v>370</v>
      </c>
      <c r="D188" s="13" t="s">
        <v>568</v>
      </c>
      <c r="E188" s="335">
        <v>100000</v>
      </c>
      <c r="F188" s="69">
        <f t="shared" si="23"/>
        <v>100000</v>
      </c>
      <c r="G188" s="336"/>
    </row>
    <row r="189" spans="1:7" ht="20.100000000000001" customHeight="1" x14ac:dyDescent="0.2">
      <c r="A189" s="25">
        <v>57</v>
      </c>
      <c r="B189" s="16" t="s">
        <v>373</v>
      </c>
      <c r="C189" s="10" t="s">
        <v>370</v>
      </c>
      <c r="D189" s="13" t="s">
        <v>568</v>
      </c>
      <c r="E189" s="335">
        <v>100000</v>
      </c>
      <c r="F189" s="69">
        <f t="shared" si="23"/>
        <v>100000</v>
      </c>
      <c r="G189" s="336"/>
    </row>
    <row r="190" spans="1:7" ht="20.100000000000001" customHeight="1" x14ac:dyDescent="0.2">
      <c r="A190" s="25">
        <v>58</v>
      </c>
      <c r="B190" s="16" t="s">
        <v>374</v>
      </c>
      <c r="C190" s="10" t="s">
        <v>375</v>
      </c>
      <c r="D190" s="13" t="s">
        <v>366</v>
      </c>
      <c r="E190" s="335">
        <v>100000</v>
      </c>
      <c r="F190" s="69">
        <f t="shared" si="23"/>
        <v>100000</v>
      </c>
      <c r="G190" s="69"/>
    </row>
    <row r="191" spans="1:7" ht="20.100000000000001" customHeight="1" x14ac:dyDescent="0.2">
      <c r="A191" s="25">
        <v>59</v>
      </c>
      <c r="B191" s="16" t="s">
        <v>377</v>
      </c>
      <c r="C191" s="10" t="s">
        <v>375</v>
      </c>
      <c r="D191" s="13" t="s">
        <v>366</v>
      </c>
      <c r="E191" s="335">
        <v>100000</v>
      </c>
      <c r="F191" s="69">
        <f t="shared" si="23"/>
        <v>100000</v>
      </c>
      <c r="G191" s="69"/>
    </row>
    <row r="192" spans="1:7" ht="20.100000000000001" customHeight="1" x14ac:dyDescent="0.5">
      <c r="A192" s="25"/>
      <c r="B192" s="6" t="s">
        <v>111</v>
      </c>
      <c r="C192" s="26" t="s">
        <v>569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 x14ac:dyDescent="0.2">
      <c r="A193" s="2"/>
      <c r="B193" s="28"/>
      <c r="C193" s="29"/>
      <c r="D193" s="30"/>
    </row>
    <row r="194" spans="1:7" ht="33" customHeight="1" x14ac:dyDescent="0.2">
      <c r="A194" s="2"/>
      <c r="B194" s="28" t="s">
        <v>379</v>
      </c>
      <c r="C194" s="29">
        <f>C192+C130+C117+C112+C102+C95+C81+C71+C57+C52+J1+C37+C31</f>
        <v>153</v>
      </c>
      <c r="D194" s="29"/>
      <c r="E194" s="337">
        <f>E192+E130+E117+E112+E102+E95+E81+E71+E57+E52+E37+E31</f>
        <v>61550000</v>
      </c>
      <c r="F194" s="337">
        <f t="shared" ref="F194:G194" si="25">F192+F130+F117+F112+F102+F95+F81+F71+F57+F52+F37+F31</f>
        <v>27600000</v>
      </c>
      <c r="G194" s="337">
        <f t="shared" si="25"/>
        <v>33950000</v>
      </c>
    </row>
    <row r="195" spans="1:7" ht="20.100000000000001" customHeight="1" x14ac:dyDescent="0.2">
      <c r="B195" s="31"/>
      <c r="D195" s="32"/>
      <c r="E195" s="338"/>
      <c r="F195" s="338"/>
      <c r="G195" s="338"/>
    </row>
    <row r="196" spans="1:7" ht="36.75" customHeight="1" x14ac:dyDescent="0.2">
      <c r="A196" s="339"/>
      <c r="B196" s="340"/>
      <c r="C196" s="341"/>
      <c r="D196" s="341"/>
      <c r="E196" s="342"/>
      <c r="F196" s="342"/>
      <c r="G196" s="343"/>
    </row>
    <row r="197" spans="1:7" ht="20.100000000000001" customHeight="1" x14ac:dyDescent="0.2">
      <c r="E197" s="89"/>
      <c r="F197" s="89"/>
      <c r="G197" s="89"/>
    </row>
    <row r="198" spans="1:7" ht="20.100000000000001" customHeight="1" x14ac:dyDescent="0.2">
      <c r="E198" s="89"/>
      <c r="F198" s="89"/>
      <c r="G198" s="89"/>
    </row>
    <row r="199" spans="1:7" ht="20.100000000000001" customHeight="1" x14ac:dyDescent="0.2">
      <c r="E199" s="89"/>
      <c r="F199" s="89"/>
      <c r="G199" s="89"/>
    </row>
    <row r="200" spans="1:7" ht="20.100000000000001" customHeight="1" x14ac:dyDescent="0.2">
      <c r="E200" s="89"/>
      <c r="F200" s="89"/>
      <c r="G200" s="89"/>
    </row>
    <row r="201" spans="1:7" ht="20.100000000000001" customHeight="1" x14ac:dyDescent="0.2">
      <c r="E201" s="89"/>
      <c r="F201" s="89"/>
      <c r="G201" s="89"/>
    </row>
    <row r="202" spans="1:7" ht="20.100000000000001" customHeight="1" x14ac:dyDescent="0.2">
      <c r="E202" s="89"/>
      <c r="F202" s="89"/>
      <c r="G202" s="89"/>
    </row>
    <row r="203" spans="1:7" ht="20.100000000000001" customHeight="1" x14ac:dyDescent="0.2">
      <c r="E203" s="89"/>
      <c r="F203" s="89"/>
      <c r="G203" s="89"/>
    </row>
    <row r="204" spans="1:7" ht="20.100000000000001" customHeight="1" x14ac:dyDescent="0.2">
      <c r="E204" s="89"/>
      <c r="F204" s="89"/>
      <c r="G204" s="89"/>
    </row>
    <row r="205" spans="1:7" ht="20.100000000000001" customHeight="1" x14ac:dyDescent="0.2">
      <c r="E205" s="89"/>
      <c r="F205" s="89"/>
      <c r="G205" s="89"/>
    </row>
    <row r="206" spans="1:7" ht="20.100000000000001" customHeight="1" x14ac:dyDescent="0.2">
      <c r="E206" s="89"/>
      <c r="F206" s="89"/>
      <c r="G206" s="89"/>
    </row>
    <row r="207" spans="1:7" ht="20.100000000000001" customHeight="1" x14ac:dyDescent="0.2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D32"/>
  <sheetViews>
    <sheetView zoomScaleSheetLayoutView="50" workbookViewId="0">
      <pane xSplit="3" ySplit="6" topLeftCell="D7" activePane="bottomRight" state="frozen"/>
      <selection pane="bottomLeft"/>
      <selection pane="topRight"/>
      <selection pane="bottomRight" activeCell="X12" sqref="X12"/>
    </sheetView>
  </sheetViews>
  <sheetFormatPr defaultColWidth="9.16796875" defaultRowHeight="20.100000000000001" customHeight="1" x14ac:dyDescent="0.2"/>
  <cols>
    <col min="1" max="1" width="5.390625" style="1" customWidth="1"/>
    <col min="2" max="2" width="39.375" style="1" customWidth="1"/>
    <col min="3" max="3" width="26.56640625" style="1" customWidth="1"/>
    <col min="4" max="4" width="14.83203125" style="1" customWidth="1"/>
    <col min="5" max="5" width="17.80078125" style="1" customWidth="1"/>
    <col min="6" max="6" width="19.41796875" style="1" customWidth="1"/>
    <col min="7" max="7" width="16.046875" style="1" customWidth="1"/>
    <col min="8" max="8" width="18.0703125" style="1" customWidth="1"/>
    <col min="9" max="9" width="17.93359375" style="1" customWidth="1"/>
    <col min="10" max="10" width="19.95703125" style="1" customWidth="1"/>
    <col min="11" max="11" width="18.0703125" style="1" customWidth="1"/>
    <col min="12" max="12" width="18.33984375" style="1" customWidth="1"/>
    <col min="13" max="13" width="18.0703125" style="1" customWidth="1"/>
    <col min="14" max="14" width="15.640625" style="1" customWidth="1"/>
    <col min="15" max="15" width="18.33984375" style="1" customWidth="1"/>
    <col min="16" max="16" width="17.80078125" style="1" customWidth="1"/>
    <col min="17" max="20" width="19.28125" style="1" customWidth="1"/>
    <col min="21" max="21" width="14.83203125" style="1" customWidth="1"/>
    <col min="22" max="22" width="13.6171875" style="1" customWidth="1"/>
    <col min="23" max="23" width="20.359375" style="261" customWidth="1"/>
    <col min="24" max="24" width="16.44921875" style="1" customWidth="1"/>
    <col min="25" max="26" width="17.6640625" style="1" customWidth="1"/>
    <col min="27" max="27" width="11.19140625" style="1" customWidth="1"/>
    <col min="28" max="28" width="17.80078125" style="1" customWidth="1"/>
    <col min="29" max="29" width="21.7109375" style="1" customWidth="1"/>
    <col min="30" max="30" width="14.29296875" style="1" customWidth="1"/>
    <col min="31" max="16384" width="9.16796875" style="1"/>
  </cols>
  <sheetData>
    <row r="1" spans="1:30" ht="27" customHeight="1" x14ac:dyDescent="0.3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 x14ac:dyDescent="0.3">
      <c r="A2" s="61" t="s">
        <v>1192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30" ht="9.75" customHeight="1" x14ac:dyDescent="0.2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 x14ac:dyDescent="0.2">
      <c r="A4" s="2"/>
      <c r="B4" s="4" t="s">
        <v>2</v>
      </c>
      <c r="C4" s="4" t="s">
        <v>3</v>
      </c>
      <c r="D4" s="5" t="s">
        <v>1193</v>
      </c>
      <c r="E4" s="65" t="s">
        <v>5</v>
      </c>
      <c r="F4" s="19" t="s">
        <v>825</v>
      </c>
      <c r="G4" s="19" t="s">
        <v>826</v>
      </c>
      <c r="H4" s="65" t="s">
        <v>827</v>
      </c>
      <c r="I4" s="19" t="s">
        <v>828</v>
      </c>
      <c r="J4" s="19" t="s">
        <v>829</v>
      </c>
      <c r="K4" s="19" t="s">
        <v>830</v>
      </c>
      <c r="L4" s="65" t="s">
        <v>7</v>
      </c>
      <c r="M4" s="65" t="s">
        <v>7</v>
      </c>
      <c r="N4" s="19" t="s">
        <v>831</v>
      </c>
      <c r="O4" s="19" t="s">
        <v>831</v>
      </c>
      <c r="P4" s="65" t="s">
        <v>8</v>
      </c>
      <c r="Q4" s="269" t="s">
        <v>700</v>
      </c>
      <c r="R4" s="5" t="s">
        <v>701</v>
      </c>
      <c r="S4" s="269" t="s">
        <v>702</v>
      </c>
      <c r="T4" s="65" t="s">
        <v>703</v>
      </c>
      <c r="U4" s="65" t="s">
        <v>704</v>
      </c>
      <c r="V4" s="65" t="s">
        <v>465</v>
      </c>
      <c r="W4" s="65" t="s">
        <v>705</v>
      </c>
      <c r="X4" s="65" t="s">
        <v>706</v>
      </c>
      <c r="Y4" s="282" t="s">
        <v>707</v>
      </c>
      <c r="Z4" s="283" t="s">
        <v>708</v>
      </c>
      <c r="AA4" s="65" t="s">
        <v>503</v>
      </c>
      <c r="AB4" s="284" t="s">
        <v>709</v>
      </c>
    </row>
    <row r="5" spans="1:30" ht="17.25" customHeight="1" x14ac:dyDescent="0.2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30" ht="20.100000000000001" customHeight="1" x14ac:dyDescent="0.2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30" ht="18.75" customHeight="1" x14ac:dyDescent="0.2">
      <c r="A7" s="8">
        <v>1</v>
      </c>
      <c r="B7" s="10" t="s">
        <v>1194</v>
      </c>
      <c r="C7" s="1" t="s">
        <v>1195</v>
      </c>
      <c r="D7" s="13" t="s">
        <v>206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30" t="s">
        <v>96</v>
      </c>
      <c r="S7" s="185">
        <f>205204.08</f>
        <v>205204.08</v>
      </c>
      <c r="T7" s="70">
        <f>205204.08-183791.03</f>
        <v>21413.05</v>
      </c>
      <c r="U7" s="70"/>
      <c r="V7" s="70"/>
      <c r="W7" s="272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 x14ac:dyDescent="0.5">
      <c r="A8" s="8"/>
      <c r="B8" s="18" t="s">
        <v>111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1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 x14ac:dyDescent="0.2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30" ht="20.100000000000001" customHeight="1" x14ac:dyDescent="0.2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30" ht="20.100000000000001" customHeight="1" x14ac:dyDescent="0.2">
      <c r="A11" s="8">
        <v>2</v>
      </c>
      <c r="B11" s="9" t="s">
        <v>126</v>
      </c>
      <c r="C11" s="2" t="s">
        <v>130</v>
      </c>
      <c r="D11" s="8" t="s">
        <v>131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30" t="s">
        <v>192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2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 x14ac:dyDescent="0.2">
      <c r="A12" s="8">
        <v>3</v>
      </c>
      <c r="B12" s="9" t="s">
        <v>133</v>
      </c>
      <c r="C12" s="2" t="s">
        <v>45</v>
      </c>
      <c r="D12" s="8" t="s">
        <v>176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30" t="s">
        <v>49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2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8">
        <f t="shared" si="7"/>
        <v>0</v>
      </c>
    </row>
    <row r="13" spans="1:30" ht="25.5" customHeight="1" x14ac:dyDescent="0.5">
      <c r="A13" s="8"/>
      <c r="B13" s="18" t="s">
        <v>111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 x14ac:dyDescent="0.2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ref="T14" si="16">S14-Q14</f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30" ht="20.100000000000001" customHeight="1" x14ac:dyDescent="0.2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8"/>
      <c r="R15" s="2"/>
      <c r="S15" s="278"/>
      <c r="T15" s="70"/>
      <c r="U15" s="190"/>
      <c r="V15" s="190"/>
      <c r="W15" s="279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 x14ac:dyDescent="0.2">
      <c r="A16" s="2"/>
      <c r="B16" s="18" t="s">
        <v>250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5"/>
      <c r="R16" s="19"/>
      <c r="S16" s="275"/>
      <c r="T16" s="70"/>
      <c r="U16" s="122"/>
      <c r="V16" s="122"/>
      <c r="W16" s="276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 x14ac:dyDescent="0.2">
      <c r="A17" s="2">
        <v>3</v>
      </c>
      <c r="B17" s="9" t="s">
        <v>253</v>
      </c>
      <c r="C17" s="10" t="s">
        <v>256</v>
      </c>
      <c r="D17" s="13" t="s">
        <v>131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30" t="s">
        <v>192</v>
      </c>
      <c r="S17" s="185">
        <f>'SALARY STRUCTURE'!H19+190000</f>
        <v>614023.33333333302</v>
      </c>
      <c r="T17" s="70">
        <f>S17-Q17</f>
        <v>66469.830833333093</v>
      </c>
      <c r="U17" s="70">
        <f>837.69</f>
        <v>837.69</v>
      </c>
      <c r="V17" s="70">
        <f>1028.94</f>
        <v>1028.94</v>
      </c>
      <c r="W17" s="272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53697.620833333101</v>
      </c>
      <c r="AA17" s="70">
        <v>11</v>
      </c>
      <c r="AB17" s="197">
        <f t="shared" si="7"/>
        <v>590673.82916666404</v>
      </c>
      <c r="AC17" s="11"/>
    </row>
    <row r="18" spans="1:29" ht="20.100000000000001" customHeight="1" x14ac:dyDescent="0.2">
      <c r="A18" s="2"/>
      <c r="B18" s="9" t="s">
        <v>259</v>
      </c>
      <c r="C18" s="10" t="s">
        <v>489</v>
      </c>
      <c r="D18" s="13" t="s">
        <v>534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1196</v>
      </c>
      <c r="S18" s="70">
        <f>'JULY 2025'!J151</f>
        <v>643911.08333333395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2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 x14ac:dyDescent="0.2">
      <c r="A19" s="2"/>
      <c r="B19" s="18" t="s">
        <v>111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66469.830833333093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53697.620833333101</v>
      </c>
      <c r="AA19" s="122"/>
      <c r="AB19" s="199">
        <f>SUM(AB17:AB17)</f>
        <v>590673.82916666404</v>
      </c>
      <c r="AC19" s="11"/>
    </row>
    <row r="20" spans="1:29" ht="18.75" customHeight="1" x14ac:dyDescent="0.2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 x14ac:dyDescent="0.2">
      <c r="A21" s="2"/>
      <c r="B21" s="18" t="s">
        <v>250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 x14ac:dyDescent="0.2">
      <c r="A22" s="25">
        <v>15</v>
      </c>
      <c r="B22" s="9" t="s">
        <v>343</v>
      </c>
      <c r="C22" s="10" t="s">
        <v>350</v>
      </c>
      <c r="D22" s="13" t="s">
        <v>354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351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2">
        <v>4365.3307546666701</v>
      </c>
      <c r="X22" s="70">
        <f>'[15]October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60" customFormat="1" ht="20.100000000000001" customHeight="1" x14ac:dyDescent="0.2">
      <c r="A23" s="263">
        <v>16</v>
      </c>
      <c r="B23" s="264" t="s">
        <v>346</v>
      </c>
      <c r="C23" s="265" t="s">
        <v>350</v>
      </c>
      <c r="D23" s="266" t="s">
        <v>354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7"/>
      <c r="M23" s="267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6" t="s">
        <v>351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80">
        <f>4365.33075466667</f>
        <v>4365.3307546666701</v>
      </c>
      <c r="X23" s="52">
        <f>'[15]October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7"/>
    </row>
    <row r="24" spans="1:29" ht="20.100000000000001" customHeight="1" x14ac:dyDescent="0.2">
      <c r="A24" s="25">
        <v>17</v>
      </c>
      <c r="B24" s="16" t="s">
        <v>347</v>
      </c>
      <c r="C24" s="10" t="s">
        <v>350</v>
      </c>
      <c r="D24" s="13" t="s">
        <v>1197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351</v>
      </c>
      <c r="S24" s="185">
        <v>115104.91666666701</v>
      </c>
      <c r="T24" s="70">
        <f t="shared" si="33"/>
        <v>31734.825666666999</v>
      </c>
      <c r="U24" s="70"/>
      <c r="V24" s="70"/>
      <c r="W24" s="272">
        <v>4504.4109200000003</v>
      </c>
      <c r="X24" s="70">
        <f>'[15]October 2023'!$Z$164</f>
        <v>8312.59</v>
      </c>
      <c r="Y24" s="70">
        <f t="shared" si="34"/>
        <v>3808.1790799999999</v>
      </c>
      <c r="Z24" s="197">
        <f t="shared" si="35"/>
        <v>27926.646586667001</v>
      </c>
      <c r="AA24" s="70">
        <v>8</v>
      </c>
      <c r="AB24" s="197">
        <f t="shared" si="36"/>
        <v>223413.172693336</v>
      </c>
      <c r="AC24" s="11"/>
    </row>
    <row r="25" spans="1:29" ht="20.100000000000001" customHeight="1" x14ac:dyDescent="0.2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5"/>
      <c r="R25" s="13"/>
      <c r="S25" s="275"/>
      <c r="T25" s="70"/>
      <c r="U25" s="122"/>
      <c r="V25" s="122"/>
      <c r="W25" s="276"/>
      <c r="X25" s="122"/>
      <c r="Y25" s="70"/>
      <c r="Z25" s="197"/>
      <c r="AA25" s="122"/>
      <c r="AB25" s="197"/>
      <c r="AC25" s="11"/>
    </row>
    <row r="26" spans="1:29" ht="20.100000000000001" customHeight="1" x14ac:dyDescent="0.2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5"/>
      <c r="R26" s="13"/>
      <c r="S26" s="275"/>
      <c r="T26" s="70"/>
      <c r="U26" s="122"/>
      <c r="V26" s="122"/>
      <c r="W26" s="276"/>
      <c r="X26" s="122"/>
      <c r="Y26" s="70"/>
      <c r="Z26" s="197"/>
      <c r="AA26" s="122"/>
      <c r="AB26" s="197"/>
      <c r="AC26" s="11"/>
    </row>
    <row r="27" spans="1:29" ht="19.5" customHeight="1" x14ac:dyDescent="0.2">
      <c r="A27" s="2"/>
      <c r="B27" s="28" t="s">
        <v>379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 x14ac:dyDescent="0.2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1"/>
      <c r="X28" s="195"/>
      <c r="Y28" s="195"/>
      <c r="Z28" s="195"/>
      <c r="AA28" s="195"/>
      <c r="AB28" s="195"/>
      <c r="AC28" s="33"/>
    </row>
    <row r="29" spans="1:29" ht="36.75" customHeight="1" x14ac:dyDescent="0.2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1"/>
      <c r="X29" s="195"/>
      <c r="Y29" s="195"/>
      <c r="Z29" s="195"/>
      <c r="AA29" s="195"/>
      <c r="AB29" s="195"/>
    </row>
    <row r="32" spans="1:29" ht="20.100000000000001" customHeight="1" x14ac:dyDescent="0.2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00"/>
  <sheetViews>
    <sheetView zoomScaleSheetLayoutView="50" workbookViewId="0">
      <pane xSplit="3" ySplit="7" topLeftCell="D8" activePane="bottomRight" state="frozen"/>
      <selection pane="bottomLeft"/>
      <selection pane="topRight"/>
      <selection pane="bottomRight" activeCell="F176" sqref="F176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1.19140625" style="1" customWidth="1"/>
    <col min="5" max="5" width="21.3046875" style="1" customWidth="1"/>
    <col min="6" max="6" width="21.7109375" style="1" customWidth="1"/>
    <col min="7" max="7" width="11.59375" style="1" customWidth="1"/>
    <col min="8" max="16384" width="9.16796875" style="1"/>
  </cols>
  <sheetData>
    <row r="1" spans="1:6" ht="27" customHeight="1" x14ac:dyDescent="0.25">
      <c r="A1" s="965" t="s">
        <v>0</v>
      </c>
      <c r="B1" s="965"/>
      <c r="C1" s="965"/>
      <c r="D1" s="965"/>
      <c r="E1" s="965"/>
    </row>
    <row r="2" spans="1:6" ht="33.75" customHeight="1" x14ac:dyDescent="0.25">
      <c r="A2" s="202" t="s">
        <v>1198</v>
      </c>
      <c r="B2" s="223"/>
      <c r="C2" s="202"/>
      <c r="D2" s="202"/>
      <c r="E2" s="202"/>
    </row>
    <row r="3" spans="1:6" ht="9.75" customHeight="1" x14ac:dyDescent="0.2">
      <c r="E3" s="183" t="e">
        <f>'[1]FEB 08'!E11/'[1]FEB 08'!M11</f>
        <v>#REF!</v>
      </c>
    </row>
    <row r="4" spans="1:6" ht="49.5" customHeight="1" x14ac:dyDescent="0.2">
      <c r="A4" s="2"/>
      <c r="B4" s="3" t="s">
        <v>2</v>
      </c>
      <c r="C4" s="4" t="s">
        <v>3</v>
      </c>
      <c r="D4" s="5" t="s">
        <v>4</v>
      </c>
      <c r="E4" s="319" t="s">
        <v>638</v>
      </c>
    </row>
    <row r="5" spans="1:6" ht="17.25" customHeight="1" x14ac:dyDescent="0.2">
      <c r="C5" s="6"/>
      <c r="D5" s="6"/>
      <c r="E5" s="320" t="s">
        <v>20</v>
      </c>
    </row>
    <row r="6" spans="1:6" ht="20.100000000000001" customHeight="1" x14ac:dyDescent="0.2">
      <c r="A6" s="7" t="s">
        <v>21</v>
      </c>
      <c r="B6" s="6" t="s">
        <v>22</v>
      </c>
      <c r="C6" s="6"/>
      <c r="D6" s="6"/>
      <c r="E6" s="320"/>
    </row>
    <row r="7" spans="1:6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318">
        <v>540000</v>
      </c>
      <c r="F7" s="11"/>
    </row>
    <row r="8" spans="1:6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318">
        <v>180000</v>
      </c>
      <c r="F8" s="11"/>
    </row>
    <row r="9" spans="1:6" ht="20.100000000000001" customHeight="1" x14ac:dyDescent="0.2">
      <c r="A9" s="8">
        <v>3</v>
      </c>
      <c r="B9" s="12" t="s">
        <v>29</v>
      </c>
      <c r="C9" s="2" t="s">
        <v>30</v>
      </c>
      <c r="D9" s="13" t="s">
        <v>35</v>
      </c>
      <c r="E9" s="318">
        <v>180000</v>
      </c>
      <c r="F9" s="11"/>
    </row>
    <row r="10" spans="1:6" ht="20.100000000000001" customHeight="1" x14ac:dyDescent="0.2">
      <c r="A10" s="8">
        <v>4</v>
      </c>
      <c r="B10" s="9" t="s">
        <v>31</v>
      </c>
      <c r="C10" s="15" t="s">
        <v>32</v>
      </c>
      <c r="D10" s="14" t="s">
        <v>35</v>
      </c>
      <c r="E10" s="318">
        <v>180000</v>
      </c>
      <c r="F10" s="11"/>
    </row>
    <row r="11" spans="1:6" ht="20.100000000000001" customHeight="1" x14ac:dyDescent="0.2">
      <c r="A11" s="8">
        <v>5</v>
      </c>
      <c r="B11" s="12" t="s">
        <v>271</v>
      </c>
      <c r="C11" s="2" t="s">
        <v>529</v>
      </c>
      <c r="D11" s="14" t="s">
        <v>35</v>
      </c>
      <c r="E11" s="318">
        <v>180000</v>
      </c>
      <c r="F11" s="11"/>
    </row>
    <row r="12" spans="1:6" ht="20.100000000000001" customHeight="1" x14ac:dyDescent="0.2">
      <c r="A12" s="8">
        <v>6</v>
      </c>
      <c r="B12" s="16" t="s">
        <v>530</v>
      </c>
      <c r="C12" s="8" t="s">
        <v>531</v>
      </c>
      <c r="D12" s="13" t="s">
        <v>35</v>
      </c>
      <c r="E12" s="318">
        <v>180000</v>
      </c>
      <c r="F12" s="11"/>
    </row>
    <row r="13" spans="1:6" ht="20.100000000000001" customHeight="1" x14ac:dyDescent="0.2">
      <c r="A13" s="8">
        <v>7</v>
      </c>
      <c r="B13" s="9" t="s">
        <v>33</v>
      </c>
      <c r="C13" s="10" t="s">
        <v>532</v>
      </c>
      <c r="D13" s="13" t="s">
        <v>131</v>
      </c>
      <c r="E13" s="318">
        <v>126000</v>
      </c>
      <c r="F13" s="11"/>
    </row>
    <row r="14" spans="1:6" ht="20.100000000000001" customHeight="1" x14ac:dyDescent="0.2">
      <c r="A14" s="8">
        <v>8</v>
      </c>
      <c r="B14" s="9" t="s">
        <v>36</v>
      </c>
      <c r="C14" s="2" t="s">
        <v>37</v>
      </c>
      <c r="D14" s="8" t="s">
        <v>49</v>
      </c>
      <c r="E14" s="318">
        <v>126000</v>
      </c>
      <c r="F14" s="11"/>
    </row>
    <row r="15" spans="1:6" ht="20.100000000000001" customHeight="1" x14ac:dyDescent="0.2">
      <c r="A15" s="8">
        <v>9</v>
      </c>
      <c r="B15" s="9" t="s">
        <v>39</v>
      </c>
      <c r="C15" s="2" t="s">
        <v>40</v>
      </c>
      <c r="D15" s="13" t="s">
        <v>176</v>
      </c>
      <c r="E15" s="318">
        <f>90000</f>
        <v>90000</v>
      </c>
      <c r="F15" s="11"/>
    </row>
    <row r="16" spans="1:6" ht="20.100000000000001" customHeight="1" x14ac:dyDescent="0.2">
      <c r="A16" s="8">
        <v>10</v>
      </c>
      <c r="B16" s="12" t="s">
        <v>42</v>
      </c>
      <c r="C16" s="15" t="s">
        <v>156</v>
      </c>
      <c r="D16" s="13" t="s">
        <v>46</v>
      </c>
      <c r="E16" s="318">
        <f>90000</f>
        <v>90000</v>
      </c>
      <c r="F16" s="11"/>
    </row>
    <row r="17" spans="1:6" ht="20.100000000000001" customHeight="1" x14ac:dyDescent="0.2">
      <c r="A17" s="8">
        <v>11</v>
      </c>
      <c r="B17" s="9" t="s">
        <v>47</v>
      </c>
      <c r="C17" s="2" t="s">
        <v>533</v>
      </c>
      <c r="D17" s="8" t="s">
        <v>52</v>
      </c>
      <c r="E17" s="318">
        <f t="shared" ref="E17:E19" si="0">90000</f>
        <v>90000</v>
      </c>
    </row>
    <row r="18" spans="1:6" ht="20.100000000000001" customHeight="1" x14ac:dyDescent="0.2">
      <c r="A18" s="8">
        <v>12</v>
      </c>
      <c r="B18" s="9" t="s">
        <v>50</v>
      </c>
      <c r="C18" s="10" t="s">
        <v>51</v>
      </c>
      <c r="D18" s="13" t="s">
        <v>1199</v>
      </c>
      <c r="E18" s="318">
        <f t="shared" si="0"/>
        <v>90000</v>
      </c>
      <c r="F18" s="11"/>
    </row>
    <row r="19" spans="1:6" ht="20.100000000000001" customHeight="1" x14ac:dyDescent="0.2">
      <c r="A19" s="8">
        <v>13</v>
      </c>
      <c r="B19" s="16" t="s">
        <v>53</v>
      </c>
      <c r="C19" s="2" t="s">
        <v>54</v>
      </c>
      <c r="D19" s="13" t="s">
        <v>58</v>
      </c>
      <c r="E19" s="318">
        <f t="shared" si="0"/>
        <v>90000</v>
      </c>
      <c r="F19" s="11"/>
    </row>
    <row r="20" spans="1:6" ht="18.75" customHeight="1" x14ac:dyDescent="0.2">
      <c r="A20" s="8">
        <v>14</v>
      </c>
      <c r="B20" s="9" t="s">
        <v>63</v>
      </c>
      <c r="C20" s="10" t="s">
        <v>64</v>
      </c>
      <c r="D20" s="13" t="s">
        <v>68</v>
      </c>
      <c r="E20" s="318">
        <v>54000</v>
      </c>
      <c r="F20" s="11"/>
    </row>
    <row r="21" spans="1:6" ht="20.100000000000001" customHeight="1" x14ac:dyDescent="0.2">
      <c r="A21" s="8">
        <v>15</v>
      </c>
      <c r="B21" s="12" t="s">
        <v>66</v>
      </c>
      <c r="C21" s="15" t="s">
        <v>67</v>
      </c>
      <c r="D21" s="8" t="s">
        <v>137</v>
      </c>
      <c r="E21" s="318">
        <v>54000</v>
      </c>
      <c r="F21" s="11"/>
    </row>
    <row r="22" spans="1:6" ht="20.100000000000001" customHeight="1" x14ac:dyDescent="0.2">
      <c r="A22" s="8">
        <v>16</v>
      </c>
      <c r="B22" s="12" t="s">
        <v>71</v>
      </c>
      <c r="C22" s="15" t="s">
        <v>72</v>
      </c>
      <c r="D22" s="8" t="s">
        <v>73</v>
      </c>
      <c r="E22" s="318">
        <v>54000</v>
      </c>
      <c r="F22" s="11"/>
    </row>
    <row r="23" spans="1:6" ht="18.75" customHeight="1" x14ac:dyDescent="0.2">
      <c r="A23" s="8">
        <v>17</v>
      </c>
      <c r="B23" s="2" t="s">
        <v>77</v>
      </c>
      <c r="C23" s="2" t="s">
        <v>78</v>
      </c>
      <c r="D23" s="8" t="s">
        <v>87</v>
      </c>
      <c r="E23" s="318">
        <v>54000</v>
      </c>
      <c r="F23" s="11"/>
    </row>
    <row r="24" spans="1:6" ht="18.75" customHeight="1" x14ac:dyDescent="0.2">
      <c r="A24" s="8">
        <v>18</v>
      </c>
      <c r="B24" s="16" t="s">
        <v>80</v>
      </c>
      <c r="C24" s="10" t="s">
        <v>78</v>
      </c>
      <c r="D24" s="13" t="s">
        <v>87</v>
      </c>
      <c r="E24" s="318">
        <v>54000</v>
      </c>
      <c r="F24" s="11"/>
    </row>
    <row r="25" spans="1:6" ht="18.75" customHeight="1" x14ac:dyDescent="0.2">
      <c r="A25" s="8">
        <v>19</v>
      </c>
      <c r="B25" s="16" t="s">
        <v>82</v>
      </c>
      <c r="C25" s="10" t="s">
        <v>83</v>
      </c>
      <c r="D25" s="13" t="s">
        <v>96</v>
      </c>
      <c r="E25" s="318">
        <v>54000</v>
      </c>
      <c r="F25" s="11"/>
    </row>
    <row r="26" spans="1:6" ht="18.75" customHeight="1" x14ac:dyDescent="0.2">
      <c r="A26" s="8">
        <v>20</v>
      </c>
      <c r="B26" s="16" t="s">
        <v>85</v>
      </c>
      <c r="C26" s="2" t="s">
        <v>86</v>
      </c>
      <c r="D26" s="8" t="s">
        <v>96</v>
      </c>
      <c r="E26" s="318">
        <v>54000</v>
      </c>
      <c r="F26" s="11"/>
    </row>
    <row r="27" spans="1:6" ht="18.75" customHeight="1" x14ac:dyDescent="0.2">
      <c r="A27" s="8">
        <v>21</v>
      </c>
      <c r="B27" s="16" t="s">
        <v>89</v>
      </c>
      <c r="C27" s="15" t="s">
        <v>90</v>
      </c>
      <c r="D27" s="13" t="s">
        <v>87</v>
      </c>
      <c r="E27" s="318">
        <v>54000</v>
      </c>
      <c r="F27" s="11"/>
    </row>
    <row r="28" spans="1:6" ht="18.75" customHeight="1" x14ac:dyDescent="0.2">
      <c r="A28" s="8">
        <v>22</v>
      </c>
      <c r="B28" s="16" t="s">
        <v>92</v>
      </c>
      <c r="C28" s="2" t="s">
        <v>93</v>
      </c>
      <c r="D28" s="8" t="s">
        <v>105</v>
      </c>
      <c r="E28" s="318">
        <v>54000</v>
      </c>
      <c r="F28" s="11"/>
    </row>
    <row r="29" spans="1:6" ht="18.75" customHeight="1" x14ac:dyDescent="0.2">
      <c r="A29" s="8">
        <v>23</v>
      </c>
      <c r="B29" s="16" t="s">
        <v>1191</v>
      </c>
      <c r="C29" s="10" t="s">
        <v>101</v>
      </c>
      <c r="D29" s="13" t="s">
        <v>105</v>
      </c>
      <c r="E29" s="318">
        <v>54000</v>
      </c>
      <c r="F29" s="11"/>
    </row>
    <row r="30" spans="1:6" ht="18.75" customHeight="1" x14ac:dyDescent="0.2">
      <c r="A30" s="8">
        <v>24</v>
      </c>
      <c r="B30" s="16" t="s">
        <v>100</v>
      </c>
      <c r="C30" s="10" t="s">
        <v>101</v>
      </c>
      <c r="D30" s="13" t="s">
        <v>108</v>
      </c>
      <c r="E30" s="318">
        <v>54000</v>
      </c>
      <c r="F30" s="11"/>
    </row>
    <row r="31" spans="1:6" ht="26.25" customHeight="1" x14ac:dyDescent="0.2">
      <c r="A31" s="8"/>
      <c r="B31" s="18" t="s">
        <v>111</v>
      </c>
      <c r="C31" s="19">
        <v>24</v>
      </c>
      <c r="D31" s="13"/>
      <c r="E31" s="321">
        <f>SUM(E7:E30)</f>
        <v>2736000</v>
      </c>
      <c r="F31" s="11"/>
    </row>
    <row r="32" spans="1:6" ht="18.75" customHeight="1" x14ac:dyDescent="0.2">
      <c r="A32" s="8"/>
      <c r="B32" s="20"/>
      <c r="C32" s="2"/>
      <c r="D32" s="13"/>
      <c r="E32" s="321"/>
      <c r="F32" s="11"/>
    </row>
    <row r="33" spans="1:6" ht="18.75" customHeight="1" x14ac:dyDescent="0.2">
      <c r="A33" s="8"/>
      <c r="B33" s="18" t="s">
        <v>112</v>
      </c>
      <c r="C33" s="2"/>
      <c r="D33" s="13"/>
      <c r="E33" s="318"/>
      <c r="F33" s="11"/>
    </row>
    <row r="34" spans="1:6" ht="18.75" customHeight="1" x14ac:dyDescent="0.2">
      <c r="A34" s="8">
        <v>1</v>
      </c>
      <c r="B34" s="16" t="s">
        <v>113</v>
      </c>
      <c r="C34" s="2" t="s">
        <v>114</v>
      </c>
      <c r="D34" s="8" t="s">
        <v>115</v>
      </c>
      <c r="E34" s="318">
        <v>270000</v>
      </c>
      <c r="F34" s="11"/>
    </row>
    <row r="35" spans="1:6" ht="18.75" customHeight="1" x14ac:dyDescent="0.2">
      <c r="A35" s="8">
        <v>2</v>
      </c>
      <c r="B35" s="16" t="s">
        <v>116</v>
      </c>
      <c r="C35" s="2" t="s">
        <v>799</v>
      </c>
      <c r="D35" s="8" t="s">
        <v>108</v>
      </c>
      <c r="E35" s="318">
        <v>54000</v>
      </c>
      <c r="F35" s="11"/>
    </row>
    <row r="36" spans="1:6" ht="18.75" customHeight="1" x14ac:dyDescent="0.2">
      <c r="A36" s="8">
        <v>3</v>
      </c>
      <c r="B36" s="9" t="s">
        <v>118</v>
      </c>
      <c r="C36" s="10" t="s">
        <v>796</v>
      </c>
      <c r="D36" s="13" t="s">
        <v>73</v>
      </c>
      <c r="E36" s="318">
        <v>54000</v>
      </c>
      <c r="F36" s="11"/>
    </row>
    <row r="37" spans="1:6" ht="19.5" customHeight="1" x14ac:dyDescent="0.2">
      <c r="A37" s="8"/>
      <c r="B37" s="12"/>
      <c r="C37" s="19">
        <v>3</v>
      </c>
      <c r="D37" s="8"/>
      <c r="E37" s="321">
        <f>SUM(E34:E36)</f>
        <v>378000</v>
      </c>
      <c r="F37" s="11"/>
    </row>
    <row r="38" spans="1:6" ht="20.100000000000001" customHeight="1" x14ac:dyDescent="0.2">
      <c r="A38" s="8"/>
      <c r="B38" s="12"/>
      <c r="C38" s="2"/>
      <c r="D38" s="8"/>
      <c r="E38" s="321"/>
      <c r="F38" s="11"/>
    </row>
    <row r="39" spans="1:6" ht="20.100000000000001" customHeight="1" x14ac:dyDescent="0.2">
      <c r="A39" s="8"/>
      <c r="B39" s="21" t="s">
        <v>125</v>
      </c>
      <c r="C39" s="3"/>
      <c r="D39" s="22"/>
      <c r="E39" s="321"/>
      <c r="F39" s="11"/>
    </row>
    <row r="40" spans="1:6" ht="20.100000000000001" customHeight="1" x14ac:dyDescent="0.2">
      <c r="A40" s="8">
        <v>1</v>
      </c>
      <c r="B40" s="9" t="s">
        <v>536</v>
      </c>
      <c r="C40" s="2" t="s">
        <v>537</v>
      </c>
      <c r="D40" s="8" t="s">
        <v>115</v>
      </c>
      <c r="E40" s="318">
        <v>270000</v>
      </c>
      <c r="F40" s="11"/>
    </row>
    <row r="41" spans="1:6" ht="20.100000000000001" customHeight="1" x14ac:dyDescent="0.2">
      <c r="A41" s="8">
        <v>2</v>
      </c>
      <c r="B41" s="9" t="s">
        <v>126</v>
      </c>
      <c r="C41" s="2" t="s">
        <v>127</v>
      </c>
      <c r="D41" s="8" t="s">
        <v>192</v>
      </c>
      <c r="E41" s="318">
        <f>180000</f>
        <v>180000</v>
      </c>
      <c r="F41" s="11"/>
    </row>
    <row r="42" spans="1:6" ht="20.100000000000001" customHeight="1" x14ac:dyDescent="0.2">
      <c r="A42" s="8">
        <v>3</v>
      </c>
      <c r="B42" s="9" t="s">
        <v>538</v>
      </c>
      <c r="C42" s="2" t="s">
        <v>43</v>
      </c>
      <c r="D42" s="8" t="s">
        <v>131</v>
      </c>
      <c r="E42" s="318">
        <v>126000</v>
      </c>
      <c r="F42" s="11"/>
    </row>
    <row r="43" spans="1:6" ht="20.100000000000001" customHeight="1" x14ac:dyDescent="0.2">
      <c r="A43" s="8">
        <v>4</v>
      </c>
      <c r="B43" s="9" t="s">
        <v>129</v>
      </c>
      <c r="C43" s="2" t="s">
        <v>130</v>
      </c>
      <c r="D43" s="8" t="s">
        <v>131</v>
      </c>
      <c r="E43" s="318">
        <v>126000</v>
      </c>
      <c r="F43" s="11"/>
    </row>
    <row r="44" spans="1:6" ht="20.100000000000001" customHeight="1" x14ac:dyDescent="0.2">
      <c r="A44" s="8">
        <v>5</v>
      </c>
      <c r="B44" s="9" t="s">
        <v>132</v>
      </c>
      <c r="C44" s="2" t="s">
        <v>130</v>
      </c>
      <c r="D44" s="8" t="s">
        <v>38</v>
      </c>
      <c r="E44" s="318">
        <v>126000</v>
      </c>
      <c r="F44" s="11"/>
    </row>
    <row r="45" spans="1:6" ht="20.100000000000001" customHeight="1" x14ac:dyDescent="0.2">
      <c r="A45" s="8">
        <v>6</v>
      </c>
      <c r="B45" s="9" t="s">
        <v>133</v>
      </c>
      <c r="C45" s="2" t="s">
        <v>130</v>
      </c>
      <c r="D45" s="8" t="s">
        <v>49</v>
      </c>
      <c r="E45" s="318">
        <v>126000</v>
      </c>
      <c r="F45" s="11"/>
    </row>
    <row r="46" spans="1:6" ht="20.100000000000001" customHeight="1" x14ac:dyDescent="0.2">
      <c r="A46" s="8">
        <v>7</v>
      </c>
      <c r="B46" s="12" t="s">
        <v>134</v>
      </c>
      <c r="C46" s="2" t="s">
        <v>156</v>
      </c>
      <c r="D46" s="14" t="s">
        <v>176</v>
      </c>
      <c r="E46" s="318">
        <v>90000</v>
      </c>
      <c r="F46" s="11"/>
    </row>
    <row r="47" spans="1:6" ht="20.100000000000001" customHeight="1" x14ac:dyDescent="0.2">
      <c r="A47" s="8">
        <v>8</v>
      </c>
      <c r="B47" s="9" t="s">
        <v>44</v>
      </c>
      <c r="C47" s="2" t="s">
        <v>45</v>
      </c>
      <c r="D47" s="8" t="s">
        <v>197</v>
      </c>
      <c r="E47" s="318">
        <v>90000</v>
      </c>
      <c r="F47" s="11"/>
    </row>
    <row r="48" spans="1:6" ht="20.100000000000001" customHeight="1" x14ac:dyDescent="0.2">
      <c r="A48" s="8">
        <v>9</v>
      </c>
      <c r="B48" s="9" t="s">
        <v>138</v>
      </c>
      <c r="C48" s="2" t="s">
        <v>139</v>
      </c>
      <c r="D48" s="8" t="s">
        <v>73</v>
      </c>
      <c r="E48" s="318">
        <v>54000</v>
      </c>
      <c r="F48" s="11"/>
    </row>
    <row r="49" spans="1:6" ht="20.100000000000001" customHeight="1" x14ac:dyDescent="0.2">
      <c r="A49" s="8">
        <v>10</v>
      </c>
      <c r="B49" s="9" t="s">
        <v>142</v>
      </c>
      <c r="C49" s="2" t="s">
        <v>139</v>
      </c>
      <c r="D49" s="8" t="s">
        <v>96</v>
      </c>
      <c r="E49" s="318">
        <v>54000</v>
      </c>
      <c r="F49" s="11"/>
    </row>
    <row r="50" spans="1:6" ht="20.100000000000001" customHeight="1" x14ac:dyDescent="0.2">
      <c r="A50" s="8">
        <v>11</v>
      </c>
      <c r="B50" s="9" t="s">
        <v>539</v>
      </c>
      <c r="C50" s="2" t="s">
        <v>139</v>
      </c>
      <c r="D50" s="8" t="s">
        <v>96</v>
      </c>
      <c r="E50" s="318">
        <v>54000</v>
      </c>
      <c r="F50" s="11"/>
    </row>
    <row r="51" spans="1:6" ht="20.100000000000001" customHeight="1" x14ac:dyDescent="0.2">
      <c r="A51" s="8">
        <v>12</v>
      </c>
      <c r="B51" s="9" t="s">
        <v>143</v>
      </c>
      <c r="C51" s="2" t="s">
        <v>139</v>
      </c>
      <c r="D51" s="8" t="s">
        <v>96</v>
      </c>
      <c r="E51" s="318">
        <v>54000</v>
      </c>
      <c r="F51" s="11"/>
    </row>
    <row r="52" spans="1:6" ht="25.5" customHeight="1" x14ac:dyDescent="0.5">
      <c r="A52" s="8"/>
      <c r="B52" s="18" t="s">
        <v>111</v>
      </c>
      <c r="C52" s="19">
        <v>12</v>
      </c>
      <c r="D52" s="19"/>
      <c r="E52" s="322">
        <f>SUM(E40:E51)</f>
        <v>1350000</v>
      </c>
      <c r="F52" s="11"/>
    </row>
    <row r="53" spans="1:6" ht="20.100000000000001" customHeight="1" x14ac:dyDescent="0.2">
      <c r="A53" s="8"/>
      <c r="B53" s="20"/>
      <c r="C53" s="19"/>
      <c r="D53" s="19"/>
      <c r="E53" s="323"/>
      <c r="F53" s="11"/>
    </row>
    <row r="54" spans="1:6" ht="20.100000000000001" customHeight="1" x14ac:dyDescent="0.2">
      <c r="A54" s="8"/>
      <c r="B54" s="18" t="s">
        <v>145</v>
      </c>
      <c r="C54" s="19"/>
      <c r="D54" s="19"/>
      <c r="E54" s="323"/>
      <c r="F54" s="11"/>
    </row>
    <row r="55" spans="1:6" ht="20.100000000000001" customHeight="1" x14ac:dyDescent="0.2">
      <c r="A55" s="8">
        <v>1</v>
      </c>
      <c r="B55" s="9" t="s">
        <v>540</v>
      </c>
      <c r="C55" s="10" t="s">
        <v>147</v>
      </c>
      <c r="D55" s="13" t="s">
        <v>115</v>
      </c>
      <c r="E55" s="318">
        <v>270000</v>
      </c>
      <c r="F55" s="11"/>
    </row>
    <row r="56" spans="1:6" ht="20.100000000000001" customHeight="1" x14ac:dyDescent="0.2">
      <c r="A56" s="8">
        <v>2</v>
      </c>
      <c r="B56" s="9" t="s">
        <v>148</v>
      </c>
      <c r="C56" s="10" t="s">
        <v>149</v>
      </c>
      <c r="D56" s="13" t="s">
        <v>549</v>
      </c>
      <c r="E56" s="318">
        <v>126000</v>
      </c>
      <c r="F56" s="11"/>
    </row>
    <row r="57" spans="1:6" ht="20.100000000000001" customHeight="1" x14ac:dyDescent="0.5">
      <c r="A57" s="8"/>
      <c r="B57" s="18" t="s">
        <v>111</v>
      </c>
      <c r="C57" s="19">
        <v>2</v>
      </c>
      <c r="D57" s="19"/>
      <c r="E57" s="322">
        <f>SUM(E55:E56)</f>
        <v>396000</v>
      </c>
      <c r="F57" s="11"/>
    </row>
    <row r="58" spans="1:6" ht="20.100000000000001" customHeight="1" x14ac:dyDescent="0.2">
      <c r="A58" s="8"/>
      <c r="B58" s="18"/>
      <c r="C58" s="19"/>
      <c r="D58" s="19"/>
      <c r="E58" s="323"/>
      <c r="F58" s="11"/>
    </row>
    <row r="59" spans="1:6" ht="20.100000000000001" customHeight="1" x14ac:dyDescent="0.2">
      <c r="A59" s="8"/>
      <c r="B59" s="18" t="s">
        <v>151</v>
      </c>
      <c r="C59" s="19"/>
      <c r="D59" s="19"/>
      <c r="E59" s="323"/>
      <c r="F59" s="11"/>
    </row>
    <row r="60" spans="1:6" ht="20.100000000000001" customHeight="1" x14ac:dyDescent="0.2">
      <c r="A60" s="8">
        <v>1</v>
      </c>
      <c r="B60" s="9" t="s">
        <v>541</v>
      </c>
      <c r="C60" s="15" t="s">
        <v>542</v>
      </c>
      <c r="D60" s="8" t="s">
        <v>115</v>
      </c>
      <c r="E60" s="318">
        <v>270000</v>
      </c>
      <c r="F60" s="11"/>
    </row>
    <row r="61" spans="1:6" ht="20.100000000000001" customHeight="1" x14ac:dyDescent="0.2">
      <c r="A61" s="8">
        <v>2</v>
      </c>
      <c r="B61" s="313" t="s">
        <v>543</v>
      </c>
      <c r="C61" s="15" t="s">
        <v>544</v>
      </c>
      <c r="D61" s="13" t="s">
        <v>1200</v>
      </c>
      <c r="E61" s="318">
        <v>126000</v>
      </c>
      <c r="F61" s="11"/>
    </row>
    <row r="62" spans="1:6" ht="20.100000000000001" customHeight="1" x14ac:dyDescent="0.2">
      <c r="A62" s="8">
        <v>3</v>
      </c>
      <c r="B62" s="9" t="s">
        <v>155</v>
      </c>
      <c r="C62" s="2" t="s">
        <v>156</v>
      </c>
      <c r="D62" s="8" t="s">
        <v>197</v>
      </c>
      <c r="E62" s="318">
        <v>90000</v>
      </c>
      <c r="F62" s="11"/>
    </row>
    <row r="63" spans="1:6" ht="20.100000000000001" customHeight="1" x14ac:dyDescent="0.2">
      <c r="A63" s="8">
        <v>4</v>
      </c>
      <c r="B63" s="16" t="s">
        <v>545</v>
      </c>
      <c r="C63" s="15" t="s">
        <v>158</v>
      </c>
      <c r="D63" s="13" t="s">
        <v>1199</v>
      </c>
      <c r="E63" s="318">
        <v>90000</v>
      </c>
      <c r="F63" s="11"/>
    </row>
    <row r="64" spans="1:6" ht="20.100000000000001" customHeight="1" x14ac:dyDescent="0.2">
      <c r="A64" s="8">
        <v>5</v>
      </c>
      <c r="B64" s="12" t="s">
        <v>546</v>
      </c>
      <c r="C64" s="15" t="s">
        <v>156</v>
      </c>
      <c r="D64" s="13" t="s">
        <v>176</v>
      </c>
      <c r="E64" s="318">
        <v>90000</v>
      </c>
      <c r="F64" s="11"/>
    </row>
    <row r="65" spans="1:6" ht="20.100000000000001" customHeight="1" x14ac:dyDescent="0.2">
      <c r="A65" s="8">
        <v>7</v>
      </c>
      <c r="B65" s="9" t="s">
        <v>161</v>
      </c>
      <c r="C65" s="2" t="s">
        <v>139</v>
      </c>
      <c r="D65" s="8" t="s">
        <v>137</v>
      </c>
      <c r="E65" s="318">
        <v>54000</v>
      </c>
      <c r="F65" s="11"/>
    </row>
    <row r="66" spans="1:6" ht="20.100000000000001" customHeight="1" x14ac:dyDescent="0.2">
      <c r="A66" s="8">
        <v>8</v>
      </c>
      <c r="B66" s="9" t="s">
        <v>163</v>
      </c>
      <c r="C66" s="15" t="s">
        <v>70</v>
      </c>
      <c r="D66" s="13" t="s">
        <v>137</v>
      </c>
      <c r="E66" s="318">
        <v>54000</v>
      </c>
      <c r="F66" s="11"/>
    </row>
    <row r="67" spans="1:6" ht="20.100000000000001" customHeight="1" x14ac:dyDescent="0.2">
      <c r="A67" s="8">
        <v>9</v>
      </c>
      <c r="B67" s="9" t="s">
        <v>164</v>
      </c>
      <c r="C67" s="15" t="s">
        <v>70</v>
      </c>
      <c r="D67" s="13" t="s">
        <v>137</v>
      </c>
      <c r="E67" s="318">
        <v>54000</v>
      </c>
      <c r="F67" s="11"/>
    </row>
    <row r="68" spans="1:6" ht="20.100000000000001" customHeight="1" x14ac:dyDescent="0.2">
      <c r="A68" s="8">
        <v>10</v>
      </c>
      <c r="B68" s="9" t="s">
        <v>165</v>
      </c>
      <c r="C68" s="2" t="s">
        <v>166</v>
      </c>
      <c r="D68" s="8" t="s">
        <v>68</v>
      </c>
      <c r="E68" s="318">
        <v>54000</v>
      </c>
      <c r="F68" s="11"/>
    </row>
    <row r="69" spans="1:6" ht="21.6" customHeight="1" x14ac:dyDescent="0.2">
      <c r="A69" s="8">
        <v>11</v>
      </c>
      <c r="B69" s="9" t="s">
        <v>168</v>
      </c>
      <c r="C69" s="2" t="s">
        <v>139</v>
      </c>
      <c r="D69" s="8" t="s">
        <v>73</v>
      </c>
      <c r="E69" s="318">
        <v>54000</v>
      </c>
    </row>
    <row r="70" spans="1:6" ht="20.100000000000001" customHeight="1" x14ac:dyDescent="0.2">
      <c r="A70" s="8">
        <v>12</v>
      </c>
      <c r="B70" s="9" t="s">
        <v>81</v>
      </c>
      <c r="C70" s="15" t="s">
        <v>67</v>
      </c>
      <c r="D70" s="8" t="s">
        <v>87</v>
      </c>
      <c r="E70" s="318">
        <v>54000</v>
      </c>
      <c r="F70" s="11"/>
    </row>
    <row r="71" spans="1:6" ht="27" customHeight="1" x14ac:dyDescent="0.5">
      <c r="A71" s="8"/>
      <c r="B71" s="18" t="s">
        <v>111</v>
      </c>
      <c r="C71" s="19">
        <v>12</v>
      </c>
      <c r="D71" s="19"/>
      <c r="E71" s="322">
        <f>SUM(E60:E70)</f>
        <v>990000</v>
      </c>
      <c r="F71" s="11"/>
    </row>
    <row r="72" spans="1:6" ht="20.100000000000001" customHeight="1" x14ac:dyDescent="0.2">
      <c r="A72" s="8"/>
      <c r="B72" s="20"/>
      <c r="C72" s="19"/>
      <c r="D72" s="19"/>
      <c r="E72" s="323"/>
      <c r="F72" s="11"/>
    </row>
    <row r="73" spans="1:6" ht="20.100000000000001" customHeight="1" x14ac:dyDescent="0.2">
      <c r="A73" s="8"/>
      <c r="B73" s="18" t="s">
        <v>169</v>
      </c>
      <c r="C73" s="19"/>
      <c r="D73" s="19"/>
      <c r="E73" s="323"/>
      <c r="F73" s="11"/>
    </row>
    <row r="74" spans="1:6" ht="20.100000000000001" customHeight="1" x14ac:dyDescent="0.2">
      <c r="A74" s="8">
        <v>1</v>
      </c>
      <c r="B74" s="9" t="s">
        <v>170</v>
      </c>
      <c r="C74" s="2" t="s">
        <v>171</v>
      </c>
      <c r="D74" s="8" t="s">
        <v>115</v>
      </c>
      <c r="E74" s="318">
        <v>270000</v>
      </c>
      <c r="F74" s="11"/>
    </row>
    <row r="75" spans="1:6" ht="20.100000000000001" customHeight="1" x14ac:dyDescent="0.2">
      <c r="A75" s="8">
        <v>2</v>
      </c>
      <c r="B75" s="12" t="s">
        <v>547</v>
      </c>
      <c r="C75" s="2" t="s">
        <v>548</v>
      </c>
      <c r="D75" s="13" t="s">
        <v>1200</v>
      </c>
      <c r="E75" s="318">
        <v>126000</v>
      </c>
      <c r="F75" s="11"/>
    </row>
    <row r="76" spans="1:6" ht="20.100000000000001" customHeight="1" x14ac:dyDescent="0.2">
      <c r="A76" s="8">
        <v>3</v>
      </c>
      <c r="B76" s="16" t="s">
        <v>550</v>
      </c>
      <c r="C76" s="10" t="s">
        <v>551</v>
      </c>
      <c r="D76" s="8" t="s">
        <v>549</v>
      </c>
      <c r="E76" s="318">
        <v>126000</v>
      </c>
      <c r="F76" s="11"/>
    </row>
    <row r="77" spans="1:6" ht="20.100000000000001" customHeight="1" x14ac:dyDescent="0.2">
      <c r="A77" s="8">
        <v>4</v>
      </c>
      <c r="B77" s="9" t="s">
        <v>174</v>
      </c>
      <c r="C77" s="2" t="s">
        <v>175</v>
      </c>
      <c r="D77" s="13" t="s">
        <v>197</v>
      </c>
      <c r="E77" s="318">
        <v>90000</v>
      </c>
      <c r="F77" s="11"/>
    </row>
    <row r="78" spans="1:6" ht="20.100000000000001" customHeight="1" x14ac:dyDescent="0.2">
      <c r="A78" s="8">
        <v>5</v>
      </c>
      <c r="B78" s="9" t="s">
        <v>181</v>
      </c>
      <c r="C78" s="2" t="s">
        <v>184</v>
      </c>
      <c r="D78" s="8" t="s">
        <v>76</v>
      </c>
      <c r="E78" s="318">
        <v>54000</v>
      </c>
      <c r="F78" s="11"/>
    </row>
    <row r="79" spans="1:6" ht="20.100000000000001" customHeight="1" x14ac:dyDescent="0.2">
      <c r="A79" s="8">
        <v>6</v>
      </c>
      <c r="B79" s="9" t="s">
        <v>183</v>
      </c>
      <c r="C79" s="2" t="s">
        <v>184</v>
      </c>
      <c r="D79" s="8" t="s">
        <v>96</v>
      </c>
      <c r="E79" s="318">
        <v>54000</v>
      </c>
      <c r="F79" s="11"/>
    </row>
    <row r="80" spans="1:6" ht="20.100000000000001" customHeight="1" x14ac:dyDescent="0.2">
      <c r="A80" s="8">
        <v>7</v>
      </c>
      <c r="B80" s="9" t="s">
        <v>185</v>
      </c>
      <c r="C80" s="2" t="s">
        <v>186</v>
      </c>
      <c r="D80" s="8" t="s">
        <v>108</v>
      </c>
      <c r="E80" s="318">
        <v>54000</v>
      </c>
      <c r="F80" s="11"/>
    </row>
    <row r="81" spans="1:6" ht="20.100000000000001" customHeight="1" x14ac:dyDescent="0.5">
      <c r="A81" s="8"/>
      <c r="B81" s="18" t="s">
        <v>111</v>
      </c>
      <c r="C81" s="19">
        <v>7</v>
      </c>
      <c r="D81" s="19"/>
      <c r="E81" s="322">
        <f>SUM(E74:E80)</f>
        <v>774000</v>
      </c>
      <c r="F81" s="11"/>
    </row>
    <row r="82" spans="1:6" ht="20.100000000000001" customHeight="1" x14ac:dyDescent="0.2">
      <c r="A82" s="8"/>
      <c r="B82" s="18"/>
      <c r="C82" s="19"/>
      <c r="D82" s="19"/>
      <c r="E82" s="323"/>
      <c r="F82" s="11"/>
    </row>
    <row r="83" spans="1:6" ht="20.100000000000001" customHeight="1" x14ac:dyDescent="0.2">
      <c r="A83" s="8"/>
      <c r="B83" s="18" t="s">
        <v>187</v>
      </c>
      <c r="C83" s="23"/>
      <c r="D83" s="19"/>
      <c r="E83" s="323"/>
      <c r="F83" s="11"/>
    </row>
    <row r="84" spans="1:6" ht="20.100000000000001" customHeight="1" x14ac:dyDescent="0.2">
      <c r="A84" s="8">
        <v>1</v>
      </c>
      <c r="B84" s="9" t="s">
        <v>190</v>
      </c>
      <c r="C84" s="2" t="s">
        <v>130</v>
      </c>
      <c r="D84" s="8" t="s">
        <v>131</v>
      </c>
      <c r="E84" s="318">
        <v>126000</v>
      </c>
      <c r="F84" s="11"/>
    </row>
    <row r="85" spans="1:6" ht="20.100000000000001" customHeight="1" x14ac:dyDescent="0.2">
      <c r="A85" s="8">
        <v>2</v>
      </c>
      <c r="B85" s="9" t="s">
        <v>188</v>
      </c>
      <c r="C85" s="2" t="s">
        <v>130</v>
      </c>
      <c r="D85" s="8" t="s">
        <v>131</v>
      </c>
      <c r="E85" s="318">
        <v>126000</v>
      </c>
      <c r="F85" s="11"/>
    </row>
    <row r="86" spans="1:6" ht="20.100000000000001" customHeight="1" x14ac:dyDescent="0.2">
      <c r="A86" s="8">
        <v>3</v>
      </c>
      <c r="B86" s="12" t="s">
        <v>152</v>
      </c>
      <c r="C86" s="2" t="s">
        <v>130</v>
      </c>
      <c r="D86" s="8" t="s">
        <v>49</v>
      </c>
      <c r="E86" s="318">
        <v>126000</v>
      </c>
      <c r="F86" s="11"/>
    </row>
    <row r="87" spans="1:6" ht="20.100000000000001" customHeight="1" x14ac:dyDescent="0.2">
      <c r="A87" s="8">
        <v>4</v>
      </c>
      <c r="B87" s="9" t="s">
        <v>193</v>
      </c>
      <c r="C87" s="2" t="s">
        <v>130</v>
      </c>
      <c r="D87" s="8" t="s">
        <v>49</v>
      </c>
      <c r="E87" s="318">
        <v>126000</v>
      </c>
      <c r="F87" s="11"/>
    </row>
    <row r="88" spans="1:6" ht="21.6" customHeight="1" x14ac:dyDescent="0.2">
      <c r="A88" s="8">
        <v>5</v>
      </c>
      <c r="B88" s="9" t="s">
        <v>194</v>
      </c>
      <c r="C88" s="2" t="s">
        <v>552</v>
      </c>
      <c r="D88" s="13" t="s">
        <v>534</v>
      </c>
      <c r="E88" s="318">
        <v>90000</v>
      </c>
      <c r="F88" s="11"/>
    </row>
    <row r="89" spans="1:6" ht="21.6" customHeight="1" x14ac:dyDescent="0.2">
      <c r="A89" s="8">
        <v>6</v>
      </c>
      <c r="B89" s="9" t="s">
        <v>195</v>
      </c>
      <c r="C89" s="10" t="s">
        <v>158</v>
      </c>
      <c r="D89" s="13" t="s">
        <v>1199</v>
      </c>
      <c r="E89" s="318">
        <v>90000</v>
      </c>
      <c r="F89" s="11"/>
    </row>
    <row r="90" spans="1:6" ht="21.6" customHeight="1" x14ac:dyDescent="0.2">
      <c r="A90" s="8">
        <v>7</v>
      </c>
      <c r="B90" s="9" t="s">
        <v>196</v>
      </c>
      <c r="C90" s="10" t="s">
        <v>156</v>
      </c>
      <c r="D90" s="13" t="s">
        <v>229</v>
      </c>
      <c r="E90" s="318">
        <v>90000</v>
      </c>
      <c r="F90" s="11"/>
    </row>
    <row r="91" spans="1:6" ht="21.6" customHeight="1" x14ac:dyDescent="0.2">
      <c r="A91" s="8">
        <v>8</v>
      </c>
      <c r="B91" s="9" t="s">
        <v>198</v>
      </c>
      <c r="C91" s="15" t="s">
        <v>70</v>
      </c>
      <c r="D91" s="13" t="s">
        <v>137</v>
      </c>
      <c r="E91" s="318">
        <v>54000</v>
      </c>
      <c r="F91" s="11"/>
    </row>
    <row r="92" spans="1:6" ht="21.6" customHeight="1" x14ac:dyDescent="0.2">
      <c r="A92" s="8">
        <v>9</v>
      </c>
      <c r="B92" s="9" t="s">
        <v>199</v>
      </c>
      <c r="C92" s="15" t="s">
        <v>70</v>
      </c>
      <c r="D92" s="13" t="s">
        <v>137</v>
      </c>
      <c r="E92" s="318">
        <v>54000</v>
      </c>
      <c r="F92" s="11"/>
    </row>
    <row r="93" spans="1:6" ht="21.6" customHeight="1" x14ac:dyDescent="0.2">
      <c r="A93" s="8">
        <v>10</v>
      </c>
      <c r="B93" s="9" t="s">
        <v>202</v>
      </c>
      <c r="C93" s="2" t="s">
        <v>203</v>
      </c>
      <c r="D93" s="8" t="s">
        <v>73</v>
      </c>
      <c r="E93" s="318">
        <v>54000</v>
      </c>
      <c r="F93" s="11"/>
    </row>
    <row r="94" spans="1:6" ht="21.6" customHeight="1" x14ac:dyDescent="0.2">
      <c r="A94" s="8">
        <v>11</v>
      </c>
      <c r="B94" s="9" t="s">
        <v>204</v>
      </c>
      <c r="C94" s="15" t="s">
        <v>205</v>
      </c>
      <c r="D94" s="13" t="s">
        <v>105</v>
      </c>
      <c r="E94" s="318">
        <v>54000</v>
      </c>
      <c r="F94" s="11"/>
    </row>
    <row r="95" spans="1:6" ht="20.100000000000001" customHeight="1" x14ac:dyDescent="0.5">
      <c r="A95" s="8"/>
      <c r="B95" s="18" t="s">
        <v>111</v>
      </c>
      <c r="C95" s="19">
        <v>11</v>
      </c>
      <c r="D95" s="19"/>
      <c r="E95" s="322">
        <f>SUM(E84:E94)</f>
        <v>990000</v>
      </c>
      <c r="F95" s="11"/>
    </row>
    <row r="96" spans="1:6" ht="20.100000000000001" customHeight="1" x14ac:dyDescent="0.2">
      <c r="A96" s="8"/>
      <c r="B96" s="20"/>
      <c r="C96" s="19"/>
      <c r="D96" s="19"/>
      <c r="E96" s="323"/>
      <c r="F96" s="11"/>
    </row>
    <row r="97" spans="1:6" ht="20.100000000000001" customHeight="1" x14ac:dyDescent="0.2">
      <c r="A97" s="8"/>
      <c r="B97" s="18" t="s">
        <v>207</v>
      </c>
      <c r="C97" s="19"/>
      <c r="D97" s="19"/>
      <c r="E97" s="323"/>
      <c r="F97" s="11"/>
    </row>
    <row r="98" spans="1:6" ht="20.100000000000001" customHeight="1" x14ac:dyDescent="0.2">
      <c r="A98" s="8">
        <v>1</v>
      </c>
      <c r="B98" s="12" t="s">
        <v>208</v>
      </c>
      <c r="C98" s="2" t="s">
        <v>209</v>
      </c>
      <c r="D98" s="14" t="s">
        <v>35</v>
      </c>
      <c r="E98" s="318">
        <f>180000</f>
        <v>180000</v>
      </c>
      <c r="F98" s="11"/>
    </row>
    <row r="99" spans="1:6" ht="20.100000000000001" customHeight="1" x14ac:dyDescent="0.2">
      <c r="A99" s="8">
        <v>2</v>
      </c>
      <c r="B99" s="9" t="s">
        <v>211</v>
      </c>
      <c r="C99" s="2" t="s">
        <v>212</v>
      </c>
      <c r="D99" s="13" t="s">
        <v>197</v>
      </c>
      <c r="E99" s="318">
        <v>90000</v>
      </c>
      <c r="F99" s="11"/>
    </row>
    <row r="100" spans="1:6" ht="20.100000000000001" customHeight="1" x14ac:dyDescent="0.2">
      <c r="A100" s="8">
        <v>3</v>
      </c>
      <c r="B100" s="9" t="s">
        <v>217</v>
      </c>
      <c r="C100" s="2" t="s">
        <v>218</v>
      </c>
      <c r="D100" s="13" t="s">
        <v>68</v>
      </c>
      <c r="E100" s="318">
        <v>54000</v>
      </c>
      <c r="F100" s="11"/>
    </row>
    <row r="101" spans="1:6" ht="20.100000000000001" customHeight="1" x14ac:dyDescent="0.2">
      <c r="A101" s="8">
        <v>4</v>
      </c>
      <c r="B101" s="9" t="s">
        <v>219</v>
      </c>
      <c r="C101" s="2" t="s">
        <v>220</v>
      </c>
      <c r="D101" s="13" t="s">
        <v>73</v>
      </c>
      <c r="E101" s="318">
        <v>54000</v>
      </c>
      <c r="F101" s="11"/>
    </row>
    <row r="102" spans="1:6" ht="20.100000000000001" customHeight="1" x14ac:dyDescent="0.5">
      <c r="A102" s="2"/>
      <c r="B102" s="18" t="s">
        <v>111</v>
      </c>
      <c r="C102" s="19">
        <v>4</v>
      </c>
      <c r="D102" s="24"/>
      <c r="E102" s="322">
        <f>SUM(E98:E101)</f>
        <v>378000</v>
      </c>
      <c r="F102" s="11"/>
    </row>
    <row r="103" spans="1:6" ht="20.100000000000001" customHeight="1" x14ac:dyDescent="0.2">
      <c r="A103" s="2"/>
      <c r="B103" s="20"/>
      <c r="C103" s="19"/>
      <c r="D103" s="24"/>
      <c r="E103" s="323"/>
      <c r="F103" s="11"/>
    </row>
    <row r="104" spans="1:6" ht="20.100000000000001" customHeight="1" x14ac:dyDescent="0.2">
      <c r="A104" s="2"/>
      <c r="B104" s="18" t="s">
        <v>221</v>
      </c>
      <c r="C104" s="2"/>
      <c r="D104" s="2"/>
      <c r="E104" s="324"/>
      <c r="F104" s="11"/>
    </row>
    <row r="105" spans="1:6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318">
        <v>270000</v>
      </c>
      <c r="F105" s="11"/>
    </row>
    <row r="106" spans="1:6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35</v>
      </c>
      <c r="E106" s="318">
        <v>180000</v>
      </c>
      <c r="F106" s="11"/>
    </row>
    <row r="107" spans="1:6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318">
        <v>90000</v>
      </c>
      <c r="F107" s="11"/>
    </row>
    <row r="108" spans="1:6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52</v>
      </c>
      <c r="E108" s="318">
        <v>90000</v>
      </c>
      <c r="F108" s="11"/>
    </row>
    <row r="109" spans="1:6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554</v>
      </c>
      <c r="E109" s="325">
        <v>54000</v>
      </c>
      <c r="F109" s="11"/>
    </row>
    <row r="110" spans="1:6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206</v>
      </c>
      <c r="E110" s="325">
        <v>54000</v>
      </c>
      <c r="F110" s="11"/>
    </row>
    <row r="111" spans="1:6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105</v>
      </c>
      <c r="E111" s="325">
        <v>54000</v>
      </c>
      <c r="F111" s="11"/>
    </row>
    <row r="112" spans="1:6" ht="25.5" customHeight="1" x14ac:dyDescent="0.5">
      <c r="A112" s="2"/>
      <c r="B112" s="18" t="s">
        <v>111</v>
      </c>
      <c r="C112" s="19">
        <v>7</v>
      </c>
      <c r="D112" s="2"/>
      <c r="E112" s="326">
        <f>SUM(E105:E111)</f>
        <v>792000</v>
      </c>
      <c r="F112" s="11"/>
    </row>
    <row r="113" spans="1:6" ht="20.100000000000001" customHeight="1" x14ac:dyDescent="0.5">
      <c r="A113" s="2"/>
      <c r="B113" s="18"/>
      <c r="C113" s="19"/>
      <c r="D113" s="2"/>
      <c r="E113" s="326"/>
      <c r="F113" s="11"/>
    </row>
    <row r="114" spans="1:6" ht="20.100000000000001" customHeight="1" x14ac:dyDescent="0.2">
      <c r="A114" s="8"/>
      <c r="B114" s="18" t="s">
        <v>235</v>
      </c>
      <c r="C114" s="19"/>
      <c r="D114" s="19"/>
      <c r="E114" s="323"/>
      <c r="F114" s="11"/>
    </row>
    <row r="115" spans="1:6" ht="18.75" customHeight="1" x14ac:dyDescent="0.2">
      <c r="A115" s="8">
        <v>1</v>
      </c>
      <c r="B115" s="9" t="s">
        <v>236</v>
      </c>
      <c r="C115" s="2" t="s">
        <v>237</v>
      </c>
      <c r="D115" s="13" t="s">
        <v>68</v>
      </c>
      <c r="E115" s="318">
        <v>54000</v>
      </c>
      <c r="F115" s="11"/>
    </row>
    <row r="116" spans="1:6" ht="20.100000000000001" customHeight="1" x14ac:dyDescent="0.2">
      <c r="A116" s="8">
        <v>2</v>
      </c>
      <c r="B116" s="9" t="s">
        <v>177</v>
      </c>
      <c r="C116" s="10" t="s">
        <v>555</v>
      </c>
      <c r="D116" s="13" t="s">
        <v>162</v>
      </c>
      <c r="E116" s="318">
        <v>54000</v>
      </c>
      <c r="F116" s="11"/>
    </row>
    <row r="117" spans="1:6" ht="24.75" customHeight="1" x14ac:dyDescent="0.5">
      <c r="A117" s="2"/>
      <c r="B117" s="18" t="s">
        <v>111</v>
      </c>
      <c r="C117" s="19">
        <v>2</v>
      </c>
      <c r="D117" s="24"/>
      <c r="E117" s="322">
        <f>SUM(E115:E116)</f>
        <v>108000</v>
      </c>
      <c r="F117" s="11"/>
    </row>
    <row r="118" spans="1:6" ht="20.100000000000001" customHeight="1" x14ac:dyDescent="0.2">
      <c r="A118" s="2"/>
      <c r="B118" s="20"/>
      <c r="C118" s="8"/>
      <c r="D118" s="2"/>
      <c r="E118" s="327"/>
      <c r="F118" s="11"/>
    </row>
    <row r="119" spans="1:6" ht="20.100000000000001" customHeight="1" x14ac:dyDescent="0.2">
      <c r="A119" s="2"/>
      <c r="B119" s="18" t="s">
        <v>250</v>
      </c>
      <c r="C119" s="19"/>
      <c r="D119" s="19"/>
      <c r="E119" s="323"/>
      <c r="F119" s="11"/>
    </row>
    <row r="120" spans="1:6" ht="20.100000000000001" customHeight="1" x14ac:dyDescent="0.2">
      <c r="A120" s="2">
        <v>1</v>
      </c>
      <c r="B120" s="9" t="s">
        <v>251</v>
      </c>
      <c r="C120" s="10" t="s">
        <v>252</v>
      </c>
      <c r="D120" s="13" t="s">
        <v>115</v>
      </c>
      <c r="E120" s="318">
        <f>270000</f>
        <v>270000</v>
      </c>
      <c r="F120" s="11"/>
    </row>
    <row r="121" spans="1:6" ht="20.100000000000001" customHeight="1" x14ac:dyDescent="0.2">
      <c r="A121" s="2">
        <v>2</v>
      </c>
      <c r="B121" s="9" t="s">
        <v>253</v>
      </c>
      <c r="C121" s="10" t="s">
        <v>254</v>
      </c>
      <c r="D121" s="13" t="s">
        <v>192</v>
      </c>
      <c r="E121" s="318">
        <v>180000</v>
      </c>
      <c r="F121" s="11"/>
    </row>
    <row r="122" spans="1:6" ht="20.100000000000001" customHeight="1" x14ac:dyDescent="0.2">
      <c r="A122" s="2">
        <v>3</v>
      </c>
      <c r="B122" s="12" t="s">
        <v>255</v>
      </c>
      <c r="C122" s="10" t="s">
        <v>256</v>
      </c>
      <c r="D122" s="13" t="s">
        <v>131</v>
      </c>
      <c r="E122" s="318">
        <v>126000</v>
      </c>
      <c r="F122" s="11"/>
    </row>
    <row r="123" spans="1:6" ht="20.100000000000001" customHeight="1" x14ac:dyDescent="0.2">
      <c r="A123" s="2">
        <v>4</v>
      </c>
      <c r="B123" s="12" t="s">
        <v>556</v>
      </c>
      <c r="C123" s="10" t="s">
        <v>256</v>
      </c>
      <c r="D123" s="13" t="s">
        <v>49</v>
      </c>
      <c r="E123" s="318">
        <v>126000</v>
      </c>
      <c r="F123" s="11"/>
    </row>
    <row r="124" spans="1:6" ht="20.100000000000001" customHeight="1" x14ac:dyDescent="0.2">
      <c r="A124" s="2">
        <v>5</v>
      </c>
      <c r="B124" s="9" t="s">
        <v>257</v>
      </c>
      <c r="C124" s="10" t="s">
        <v>258</v>
      </c>
      <c r="D124" s="13" t="s">
        <v>46</v>
      </c>
      <c r="E124" s="318">
        <v>90000</v>
      </c>
      <c r="F124" s="11"/>
    </row>
    <row r="125" spans="1:6" ht="20.100000000000001" customHeight="1" x14ac:dyDescent="0.2">
      <c r="A125" s="2">
        <v>6</v>
      </c>
      <c r="B125" s="9" t="s">
        <v>259</v>
      </c>
      <c r="C125" s="10" t="s">
        <v>489</v>
      </c>
      <c r="D125" s="13" t="s">
        <v>197</v>
      </c>
      <c r="E125" s="318">
        <v>90000</v>
      </c>
      <c r="F125" s="11"/>
    </row>
    <row r="126" spans="1:6" ht="20.100000000000001" customHeight="1" x14ac:dyDescent="0.2">
      <c r="A126" s="2">
        <v>7</v>
      </c>
      <c r="B126" s="9" t="s">
        <v>260</v>
      </c>
      <c r="C126" s="10" t="s">
        <v>258</v>
      </c>
      <c r="D126" s="13" t="s">
        <v>197</v>
      </c>
      <c r="E126" s="318">
        <v>90000</v>
      </c>
      <c r="F126" s="11"/>
    </row>
    <row r="127" spans="1:6" ht="20.100000000000001" customHeight="1" x14ac:dyDescent="0.2">
      <c r="A127" s="2">
        <v>8</v>
      </c>
      <c r="B127" s="9" t="s">
        <v>263</v>
      </c>
      <c r="C127" s="10" t="s">
        <v>264</v>
      </c>
      <c r="D127" s="8" t="s">
        <v>87</v>
      </c>
      <c r="E127" s="318">
        <v>54000</v>
      </c>
      <c r="F127" s="11"/>
    </row>
    <row r="128" spans="1:6" ht="20.100000000000001" customHeight="1" x14ac:dyDescent="0.2">
      <c r="A128" s="2">
        <v>9</v>
      </c>
      <c r="B128" s="16" t="s">
        <v>265</v>
      </c>
      <c r="C128" s="10" t="s">
        <v>266</v>
      </c>
      <c r="D128" s="13" t="s">
        <v>108</v>
      </c>
      <c r="E128" s="318">
        <v>54000</v>
      </c>
      <c r="F128" s="11"/>
    </row>
    <row r="129" spans="1:6" ht="20.100000000000001" customHeight="1" x14ac:dyDescent="0.2">
      <c r="A129" s="2">
        <v>10</v>
      </c>
      <c r="B129" s="16" t="s">
        <v>267</v>
      </c>
      <c r="C129" s="10" t="s">
        <v>262</v>
      </c>
      <c r="D129" s="13" t="s">
        <v>108</v>
      </c>
      <c r="E129" s="318">
        <v>54000</v>
      </c>
      <c r="F129" s="11"/>
    </row>
    <row r="130" spans="1:6" ht="28.5" customHeight="1" x14ac:dyDescent="0.2">
      <c r="A130" s="2"/>
      <c r="B130" s="18" t="s">
        <v>111</v>
      </c>
      <c r="C130" s="24" t="s">
        <v>490</v>
      </c>
      <c r="D130" s="13"/>
      <c r="E130" s="323">
        <f>SUM(E120:E129)</f>
        <v>1134000</v>
      </c>
      <c r="F130" s="11"/>
    </row>
    <row r="131" spans="1:6" ht="20.100000000000001" customHeight="1" x14ac:dyDescent="0.2">
      <c r="A131" s="2"/>
      <c r="B131" s="20"/>
      <c r="C131" s="24"/>
      <c r="D131" s="13"/>
      <c r="E131" s="323"/>
      <c r="F131" s="11"/>
    </row>
    <row r="132" spans="1:6" ht="20.100000000000001" customHeight="1" x14ac:dyDescent="0.2">
      <c r="A132" s="2"/>
      <c r="B132" s="18" t="s">
        <v>270</v>
      </c>
      <c r="C132" s="10"/>
      <c r="D132" s="13"/>
      <c r="E132" s="318"/>
      <c r="F132" s="11"/>
    </row>
    <row r="133" spans="1:6" ht="20.100000000000001" customHeight="1" x14ac:dyDescent="0.2">
      <c r="A133" s="25">
        <v>1</v>
      </c>
      <c r="B133" s="9" t="s">
        <v>557</v>
      </c>
      <c r="C133" s="10" t="s">
        <v>558</v>
      </c>
      <c r="D133" s="13" t="s">
        <v>115</v>
      </c>
      <c r="E133" s="318">
        <f>270000</f>
        <v>270000</v>
      </c>
      <c r="F133" s="11"/>
    </row>
    <row r="134" spans="1:6" ht="20.100000000000001" customHeight="1" x14ac:dyDescent="0.2">
      <c r="A134" s="25">
        <v>2</v>
      </c>
      <c r="B134" s="9" t="s">
        <v>559</v>
      </c>
      <c r="C134" s="10" t="s">
        <v>560</v>
      </c>
      <c r="D134" s="13" t="s">
        <v>154</v>
      </c>
      <c r="E134" s="318">
        <v>180000</v>
      </c>
      <c r="F134" s="11"/>
    </row>
    <row r="135" spans="1:6" ht="20.100000000000001" customHeight="1" x14ac:dyDescent="0.2">
      <c r="A135" s="25">
        <v>3</v>
      </c>
      <c r="B135" s="12" t="s">
        <v>274</v>
      </c>
      <c r="C135" s="2" t="s">
        <v>275</v>
      </c>
      <c r="D135" s="14" t="s">
        <v>35</v>
      </c>
      <c r="E135" s="318">
        <v>180000</v>
      </c>
      <c r="F135" s="11"/>
    </row>
    <row r="136" spans="1:6" ht="20.100000000000001" customHeight="1" x14ac:dyDescent="0.2">
      <c r="A136" s="25">
        <v>4</v>
      </c>
      <c r="B136" s="9" t="s">
        <v>276</v>
      </c>
      <c r="C136" s="10" t="s">
        <v>561</v>
      </c>
      <c r="D136" s="13" t="s">
        <v>176</v>
      </c>
      <c r="E136" s="318">
        <v>90000</v>
      </c>
      <c r="F136" s="11"/>
    </row>
    <row r="137" spans="1:6" ht="20.100000000000001" customHeight="1" x14ac:dyDescent="0.2">
      <c r="A137" s="25">
        <v>5</v>
      </c>
      <c r="B137" s="9" t="s">
        <v>278</v>
      </c>
      <c r="C137" s="2" t="s">
        <v>562</v>
      </c>
      <c r="D137" s="13" t="s">
        <v>176</v>
      </c>
      <c r="E137" s="318">
        <v>90000</v>
      </c>
      <c r="F137" s="11"/>
    </row>
    <row r="138" spans="1:6" ht="20.100000000000001" customHeight="1" x14ac:dyDescent="0.2">
      <c r="A138" s="25">
        <v>6</v>
      </c>
      <c r="B138" s="9" t="s">
        <v>280</v>
      </c>
      <c r="C138" s="2" t="s">
        <v>562</v>
      </c>
      <c r="D138" s="13" t="s">
        <v>176</v>
      </c>
      <c r="E138" s="318">
        <v>90000</v>
      </c>
      <c r="F138" s="11"/>
    </row>
    <row r="139" spans="1:6" ht="20.100000000000001" customHeight="1" x14ac:dyDescent="0.2">
      <c r="A139" s="25">
        <v>7</v>
      </c>
      <c r="B139" s="9" t="s">
        <v>213</v>
      </c>
      <c r="C139" s="10" t="s">
        <v>563</v>
      </c>
      <c r="D139" s="13" t="s">
        <v>162</v>
      </c>
      <c r="E139" s="318">
        <v>54000</v>
      </c>
      <c r="F139" s="11"/>
    </row>
    <row r="140" spans="1:6" ht="20.100000000000001" customHeight="1" x14ac:dyDescent="0.2">
      <c r="A140" s="25">
        <v>8</v>
      </c>
      <c r="B140" s="9" t="s">
        <v>281</v>
      </c>
      <c r="C140" s="10" t="s">
        <v>563</v>
      </c>
      <c r="D140" s="13" t="s">
        <v>162</v>
      </c>
      <c r="E140" s="318">
        <v>54000</v>
      </c>
      <c r="F140" s="11"/>
    </row>
    <row r="141" spans="1:6" ht="20.100000000000001" customHeight="1" x14ac:dyDescent="0.2">
      <c r="A141" s="25">
        <v>9</v>
      </c>
      <c r="B141" s="9" t="s">
        <v>282</v>
      </c>
      <c r="C141" s="2" t="s">
        <v>564</v>
      </c>
      <c r="D141" s="13" t="s">
        <v>162</v>
      </c>
      <c r="E141" s="318">
        <v>54000</v>
      </c>
      <c r="F141" s="11"/>
    </row>
    <row r="142" spans="1:6" ht="20.100000000000001" customHeight="1" x14ac:dyDescent="0.2">
      <c r="A142" s="25">
        <v>10</v>
      </c>
      <c r="B142" s="9" t="s">
        <v>284</v>
      </c>
      <c r="C142" s="10" t="s">
        <v>285</v>
      </c>
      <c r="D142" s="13" t="s">
        <v>68</v>
      </c>
      <c r="E142" s="318">
        <v>54000</v>
      </c>
      <c r="F142" s="11"/>
    </row>
    <row r="143" spans="1:6" ht="20.100000000000001" customHeight="1" x14ac:dyDescent="0.2">
      <c r="A143" s="25">
        <v>11</v>
      </c>
      <c r="B143" s="9" t="s">
        <v>286</v>
      </c>
      <c r="C143" s="10" t="s">
        <v>287</v>
      </c>
      <c r="D143" s="13" t="s">
        <v>137</v>
      </c>
      <c r="E143" s="318">
        <v>54000</v>
      </c>
      <c r="F143" s="11"/>
    </row>
    <row r="144" spans="1:6" ht="20.100000000000001" customHeight="1" x14ac:dyDescent="0.2">
      <c r="A144" s="25">
        <v>12</v>
      </c>
      <c r="B144" s="9" t="s">
        <v>60</v>
      </c>
      <c r="C144" s="10" t="s">
        <v>565</v>
      </c>
      <c r="D144" s="13" t="s">
        <v>162</v>
      </c>
      <c r="E144" s="318">
        <v>54000</v>
      </c>
      <c r="F144" s="11"/>
    </row>
    <row r="145" spans="1:6" ht="20.100000000000001" customHeight="1" x14ac:dyDescent="0.2">
      <c r="A145" s="25">
        <v>13</v>
      </c>
      <c r="B145" s="16" t="s">
        <v>288</v>
      </c>
      <c r="C145" s="2" t="s">
        <v>289</v>
      </c>
      <c r="D145" s="13" t="s">
        <v>137</v>
      </c>
      <c r="E145" s="318">
        <v>54000</v>
      </c>
      <c r="F145" s="11"/>
    </row>
    <row r="146" spans="1:6" ht="20.100000000000001" customHeight="1" x14ac:dyDescent="0.2">
      <c r="A146" s="25">
        <v>14</v>
      </c>
      <c r="B146" s="9" t="s">
        <v>290</v>
      </c>
      <c r="C146" s="2" t="s">
        <v>566</v>
      </c>
      <c r="D146" s="13" t="s">
        <v>76</v>
      </c>
      <c r="E146" s="318">
        <v>54000</v>
      </c>
      <c r="F146" s="11"/>
    </row>
    <row r="147" spans="1:6" ht="20.100000000000001" customHeight="1" x14ac:dyDescent="0.2">
      <c r="A147" s="25">
        <v>15</v>
      </c>
      <c r="B147" s="9" t="s">
        <v>291</v>
      </c>
      <c r="C147" s="2" t="s">
        <v>566</v>
      </c>
      <c r="D147" s="13" t="s">
        <v>119</v>
      </c>
      <c r="E147" s="318">
        <v>54000</v>
      </c>
      <c r="F147" s="11"/>
    </row>
    <row r="148" spans="1:6" ht="20.100000000000001" customHeight="1" x14ac:dyDescent="0.2">
      <c r="A148" s="25">
        <v>16</v>
      </c>
      <c r="B148" s="9" t="s">
        <v>293</v>
      </c>
      <c r="C148" s="2" t="s">
        <v>566</v>
      </c>
      <c r="D148" s="13" t="s">
        <v>119</v>
      </c>
      <c r="E148" s="318">
        <v>54000</v>
      </c>
      <c r="F148" s="11"/>
    </row>
    <row r="149" spans="1:6" ht="20.100000000000001" customHeight="1" x14ac:dyDescent="0.2">
      <c r="A149" s="25">
        <v>17</v>
      </c>
      <c r="B149" s="9" t="s">
        <v>294</v>
      </c>
      <c r="C149" s="10" t="s">
        <v>295</v>
      </c>
      <c r="D149" s="13" t="s">
        <v>73</v>
      </c>
      <c r="E149" s="318">
        <v>54000</v>
      </c>
      <c r="F149" s="11"/>
    </row>
    <row r="150" spans="1:6" ht="20.100000000000001" customHeight="1" x14ac:dyDescent="0.2">
      <c r="A150" s="25">
        <v>18</v>
      </c>
      <c r="B150" s="9" t="s">
        <v>1201</v>
      </c>
      <c r="C150" s="10" t="s">
        <v>297</v>
      </c>
      <c r="D150" s="8" t="s">
        <v>96</v>
      </c>
      <c r="E150" s="318">
        <v>54000</v>
      </c>
      <c r="F150" s="11"/>
    </row>
    <row r="151" spans="1:6" ht="20.100000000000001" customHeight="1" x14ac:dyDescent="0.2">
      <c r="A151" s="25">
        <v>19</v>
      </c>
      <c r="B151" s="9" t="s">
        <v>298</v>
      </c>
      <c r="C151" s="10" t="s">
        <v>299</v>
      </c>
      <c r="D151" s="13" t="s">
        <v>76</v>
      </c>
      <c r="E151" s="318">
        <v>54000</v>
      </c>
      <c r="F151" s="11"/>
    </row>
    <row r="152" spans="1:6" ht="20.100000000000001" customHeight="1" x14ac:dyDescent="0.2">
      <c r="A152" s="25">
        <v>20</v>
      </c>
      <c r="B152" s="9" t="s">
        <v>301</v>
      </c>
      <c r="C152" s="10" t="s">
        <v>302</v>
      </c>
      <c r="D152" s="13" t="s">
        <v>87</v>
      </c>
      <c r="E152" s="318">
        <v>54000</v>
      </c>
      <c r="F152" s="11"/>
    </row>
    <row r="153" spans="1:6" ht="20.100000000000001" customHeight="1" x14ac:dyDescent="0.2">
      <c r="A153" s="25">
        <v>21</v>
      </c>
      <c r="B153" s="9" t="s">
        <v>303</v>
      </c>
      <c r="C153" s="10" t="s">
        <v>304</v>
      </c>
      <c r="D153" s="13" t="s">
        <v>76</v>
      </c>
      <c r="E153" s="318">
        <v>54000</v>
      </c>
      <c r="F153" s="11"/>
    </row>
    <row r="154" spans="1:6" ht="20.100000000000001" customHeight="1" x14ac:dyDescent="0.2">
      <c r="A154" s="25">
        <v>22</v>
      </c>
      <c r="B154" s="9" t="s">
        <v>305</v>
      </c>
      <c r="C154" s="10" t="s">
        <v>306</v>
      </c>
      <c r="D154" s="13" t="s">
        <v>87</v>
      </c>
      <c r="E154" s="318">
        <v>54000</v>
      </c>
      <c r="F154" s="11"/>
    </row>
    <row r="155" spans="1:6" ht="20.100000000000001" customHeight="1" x14ac:dyDescent="0.2">
      <c r="A155" s="25">
        <v>23</v>
      </c>
      <c r="B155" s="16" t="s">
        <v>307</v>
      </c>
      <c r="C155" s="10" t="s">
        <v>308</v>
      </c>
      <c r="D155" s="13" t="s">
        <v>96</v>
      </c>
      <c r="E155" s="318">
        <v>54000</v>
      </c>
      <c r="F155" s="11"/>
    </row>
    <row r="156" spans="1:6" ht="20.100000000000001" customHeight="1" x14ac:dyDescent="0.2">
      <c r="A156" s="25">
        <v>24</v>
      </c>
      <c r="B156" s="16" t="s">
        <v>312</v>
      </c>
      <c r="C156" s="10" t="s">
        <v>313</v>
      </c>
      <c r="D156" s="13" t="s">
        <v>108</v>
      </c>
      <c r="E156" s="318">
        <v>54000</v>
      </c>
      <c r="F156" s="11"/>
    </row>
    <row r="157" spans="1:6" ht="20.100000000000001" customHeight="1" x14ac:dyDescent="0.2">
      <c r="A157" s="25">
        <v>25</v>
      </c>
      <c r="B157" s="16" t="s">
        <v>314</v>
      </c>
      <c r="C157" s="10" t="s">
        <v>315</v>
      </c>
      <c r="D157" s="13" t="s">
        <v>108</v>
      </c>
      <c r="E157" s="318">
        <v>54000</v>
      </c>
      <c r="F157" s="11"/>
    </row>
    <row r="158" spans="1:6" ht="20.100000000000001" customHeight="1" x14ac:dyDescent="0.2">
      <c r="A158" s="25">
        <v>26</v>
      </c>
      <c r="B158" s="16" t="s">
        <v>316</v>
      </c>
      <c r="C158" s="10" t="s">
        <v>317</v>
      </c>
      <c r="D158" s="13" t="s">
        <v>108</v>
      </c>
      <c r="E158" s="318">
        <v>54000</v>
      </c>
      <c r="F158" s="11"/>
    </row>
    <row r="159" spans="1:6" ht="20.100000000000001" customHeight="1" x14ac:dyDescent="0.2">
      <c r="A159" s="25">
        <v>27</v>
      </c>
      <c r="B159" s="16" t="s">
        <v>318</v>
      </c>
      <c r="C159" s="10" t="s">
        <v>319</v>
      </c>
      <c r="D159" s="13" t="s">
        <v>105</v>
      </c>
      <c r="E159" s="318">
        <v>54000</v>
      </c>
      <c r="F159" s="11"/>
    </row>
    <row r="160" spans="1:6" ht="20.100000000000001" customHeight="1" x14ac:dyDescent="0.2">
      <c r="A160" s="25">
        <v>28</v>
      </c>
      <c r="B160" s="16" t="s">
        <v>320</v>
      </c>
      <c r="C160" s="10" t="s">
        <v>315</v>
      </c>
      <c r="D160" s="13" t="s">
        <v>108</v>
      </c>
      <c r="E160" s="318">
        <v>54000</v>
      </c>
      <c r="F160" s="11"/>
    </row>
    <row r="161" spans="1:6" ht="20.100000000000001" customHeight="1" x14ac:dyDescent="0.2">
      <c r="A161" s="25">
        <v>29</v>
      </c>
      <c r="B161" s="9" t="s">
        <v>329</v>
      </c>
      <c r="C161" s="10" t="s">
        <v>330</v>
      </c>
      <c r="D161" s="13" t="s">
        <v>348</v>
      </c>
      <c r="E161" s="328">
        <v>36000</v>
      </c>
      <c r="F161" s="11"/>
    </row>
    <row r="162" spans="1:6" ht="20.100000000000001" customHeight="1" x14ac:dyDescent="0.2">
      <c r="A162" s="25">
        <v>30</v>
      </c>
      <c r="B162" s="9" t="s">
        <v>332</v>
      </c>
      <c r="C162" s="10" t="s">
        <v>330</v>
      </c>
      <c r="D162" s="13" t="s">
        <v>348</v>
      </c>
      <c r="E162" s="328">
        <v>36000</v>
      </c>
      <c r="F162" s="11"/>
    </row>
    <row r="163" spans="1:6" ht="20.100000000000001" customHeight="1" x14ac:dyDescent="0.2">
      <c r="A163" s="25">
        <v>31</v>
      </c>
      <c r="B163" s="9" t="s">
        <v>333</v>
      </c>
      <c r="C163" s="10" t="s">
        <v>330</v>
      </c>
      <c r="D163" s="13" t="s">
        <v>348</v>
      </c>
      <c r="E163" s="328">
        <v>36000</v>
      </c>
      <c r="F163" s="11"/>
    </row>
    <row r="164" spans="1:6" ht="20.100000000000001" customHeight="1" x14ac:dyDescent="0.2">
      <c r="A164" s="25">
        <v>32</v>
      </c>
      <c r="B164" s="9" t="s">
        <v>334</v>
      </c>
      <c r="C164" s="10" t="s">
        <v>330</v>
      </c>
      <c r="D164" s="13" t="s">
        <v>348</v>
      </c>
      <c r="E164" s="328">
        <v>36000</v>
      </c>
      <c r="F164" s="11"/>
    </row>
    <row r="165" spans="1:6" ht="20.100000000000001" customHeight="1" x14ac:dyDescent="0.2">
      <c r="A165" s="25">
        <v>33</v>
      </c>
      <c r="B165" s="9" t="s">
        <v>335</v>
      </c>
      <c r="C165" s="10" t="s">
        <v>330</v>
      </c>
      <c r="D165" s="13" t="s">
        <v>348</v>
      </c>
      <c r="E165" s="328">
        <v>36000</v>
      </c>
      <c r="F165" s="11"/>
    </row>
    <row r="166" spans="1:6" ht="20.100000000000001" customHeight="1" x14ac:dyDescent="0.2">
      <c r="A166" s="25">
        <v>34</v>
      </c>
      <c r="B166" s="9" t="s">
        <v>336</v>
      </c>
      <c r="C166" s="10" t="s">
        <v>330</v>
      </c>
      <c r="D166" s="13" t="s">
        <v>345</v>
      </c>
      <c r="E166" s="328">
        <v>36000</v>
      </c>
      <c r="F166" s="11"/>
    </row>
    <row r="167" spans="1:6" ht="20.100000000000001" customHeight="1" x14ac:dyDescent="0.2">
      <c r="A167" s="25">
        <v>35</v>
      </c>
      <c r="B167" s="9" t="s">
        <v>338</v>
      </c>
      <c r="C167" s="10" t="s">
        <v>330</v>
      </c>
      <c r="D167" s="13" t="s">
        <v>345</v>
      </c>
      <c r="E167" s="328">
        <v>36000</v>
      </c>
      <c r="F167" s="11"/>
    </row>
    <row r="168" spans="1:6" ht="20.100000000000001" customHeight="1" x14ac:dyDescent="0.2">
      <c r="A168" s="25">
        <v>36</v>
      </c>
      <c r="B168" s="12" t="s">
        <v>339</v>
      </c>
      <c r="C168" s="10" t="s">
        <v>330</v>
      </c>
      <c r="D168" s="13" t="s">
        <v>345</v>
      </c>
      <c r="E168" s="328">
        <v>36000</v>
      </c>
      <c r="F168" s="11"/>
    </row>
    <row r="169" spans="1:6" ht="20.100000000000001" customHeight="1" x14ac:dyDescent="0.2">
      <c r="A169" s="25">
        <v>37</v>
      </c>
      <c r="B169" s="9" t="s">
        <v>340</v>
      </c>
      <c r="C169" s="10" t="s">
        <v>330</v>
      </c>
      <c r="D169" s="13" t="s">
        <v>345</v>
      </c>
      <c r="E169" s="328">
        <v>36000</v>
      </c>
      <c r="F169" s="11"/>
    </row>
    <row r="170" spans="1:6" ht="20.100000000000001" customHeight="1" x14ac:dyDescent="0.2">
      <c r="A170" s="25">
        <v>38</v>
      </c>
      <c r="B170" s="16" t="s">
        <v>341</v>
      </c>
      <c r="C170" s="10" t="s">
        <v>330</v>
      </c>
      <c r="D170" s="13" t="s">
        <v>345</v>
      </c>
      <c r="E170" s="328">
        <v>36000</v>
      </c>
      <c r="F170" s="11"/>
    </row>
    <row r="171" spans="1:6" ht="20.100000000000001" customHeight="1" x14ac:dyDescent="0.2">
      <c r="A171" s="25">
        <v>39</v>
      </c>
      <c r="B171" s="16" t="s">
        <v>342</v>
      </c>
      <c r="C171" s="10" t="s">
        <v>330</v>
      </c>
      <c r="D171" s="13" t="s">
        <v>345</v>
      </c>
      <c r="E171" s="328">
        <v>36000</v>
      </c>
      <c r="F171" s="11"/>
    </row>
    <row r="172" spans="1:6" ht="20.100000000000001" customHeight="1" x14ac:dyDescent="0.2">
      <c r="A172" s="25">
        <v>40</v>
      </c>
      <c r="B172" s="9" t="s">
        <v>343</v>
      </c>
      <c r="C172" s="10" t="s">
        <v>344</v>
      </c>
      <c r="D172" s="13" t="s">
        <v>351</v>
      </c>
      <c r="E172" s="328">
        <v>36000</v>
      </c>
      <c r="F172" s="11"/>
    </row>
    <row r="173" spans="1:6" ht="20.100000000000001" customHeight="1" x14ac:dyDescent="0.2">
      <c r="A173" s="25">
        <v>41</v>
      </c>
      <c r="B173" s="9" t="s">
        <v>346</v>
      </c>
      <c r="C173" s="10" t="s">
        <v>344</v>
      </c>
      <c r="D173" s="13" t="s">
        <v>351</v>
      </c>
      <c r="E173" s="328">
        <v>36000</v>
      </c>
      <c r="F173" s="11"/>
    </row>
    <row r="174" spans="1:6" ht="20.100000000000001" customHeight="1" x14ac:dyDescent="0.2">
      <c r="A174" s="25">
        <v>42</v>
      </c>
      <c r="B174" s="16" t="s">
        <v>347</v>
      </c>
      <c r="C174" s="10" t="s">
        <v>344</v>
      </c>
      <c r="D174" s="13" t="s">
        <v>351</v>
      </c>
      <c r="E174" s="328">
        <v>36000</v>
      </c>
      <c r="F174" s="11"/>
    </row>
    <row r="175" spans="1:6" ht="20.100000000000001" customHeight="1" x14ac:dyDescent="0.2">
      <c r="A175" s="25">
        <v>43</v>
      </c>
      <c r="B175" s="9" t="s">
        <v>349</v>
      </c>
      <c r="C175" s="10" t="s">
        <v>350</v>
      </c>
      <c r="D175" s="13" t="s">
        <v>1202</v>
      </c>
      <c r="E175" s="328">
        <v>36000</v>
      </c>
      <c r="F175" s="11"/>
    </row>
    <row r="176" spans="1:6" ht="20.100000000000001" customHeight="1" x14ac:dyDescent="0.2">
      <c r="A176" s="25">
        <v>44</v>
      </c>
      <c r="B176" s="9" t="s">
        <v>352</v>
      </c>
      <c r="C176" s="10" t="s">
        <v>353</v>
      </c>
      <c r="D176" s="13" t="s">
        <v>1203</v>
      </c>
      <c r="E176" s="328">
        <v>36000</v>
      </c>
      <c r="F176" s="11"/>
    </row>
    <row r="177" spans="1:6" ht="20.100000000000001" customHeight="1" x14ac:dyDescent="0.2">
      <c r="A177" s="25">
        <v>45</v>
      </c>
      <c r="B177" s="9" t="s">
        <v>355</v>
      </c>
      <c r="C177" s="10" t="s">
        <v>353</v>
      </c>
      <c r="D177" s="13" t="s">
        <v>1203</v>
      </c>
      <c r="E177" s="328">
        <v>36000</v>
      </c>
      <c r="F177" s="11"/>
    </row>
    <row r="178" spans="1:6" ht="20.100000000000001" customHeight="1" x14ac:dyDescent="0.2">
      <c r="A178" s="25">
        <v>46</v>
      </c>
      <c r="B178" s="9" t="s">
        <v>356</v>
      </c>
      <c r="C178" s="10" t="s">
        <v>353</v>
      </c>
      <c r="D178" s="13" t="s">
        <v>1203</v>
      </c>
      <c r="E178" s="328">
        <v>36000</v>
      </c>
      <c r="F178" s="11"/>
    </row>
    <row r="179" spans="1:6" ht="20.100000000000001" customHeight="1" x14ac:dyDescent="0.2">
      <c r="A179" s="25">
        <v>47</v>
      </c>
      <c r="B179" s="9" t="s">
        <v>357</v>
      </c>
      <c r="C179" s="10" t="s">
        <v>353</v>
      </c>
      <c r="D179" s="13" t="s">
        <v>1203</v>
      </c>
      <c r="E179" s="328">
        <v>36000</v>
      </c>
      <c r="F179" s="11"/>
    </row>
    <row r="180" spans="1:6" ht="20.100000000000001" customHeight="1" x14ac:dyDescent="0.2">
      <c r="A180" s="25">
        <v>48</v>
      </c>
      <c r="B180" s="9" t="s">
        <v>358</v>
      </c>
      <c r="C180" s="10" t="s">
        <v>353</v>
      </c>
      <c r="D180" s="13" t="s">
        <v>1203</v>
      </c>
      <c r="E180" s="328">
        <v>36000</v>
      </c>
      <c r="F180" s="11"/>
    </row>
    <row r="181" spans="1:6" ht="20.100000000000001" customHeight="1" x14ac:dyDescent="0.2">
      <c r="A181" s="25">
        <v>49</v>
      </c>
      <c r="B181" s="16" t="s">
        <v>359</v>
      </c>
      <c r="C181" s="10" t="s">
        <v>353</v>
      </c>
      <c r="D181" s="13" t="s">
        <v>1203</v>
      </c>
      <c r="E181" s="328">
        <v>36000</v>
      </c>
      <c r="F181" s="11"/>
    </row>
    <row r="182" spans="1:6" ht="20.100000000000001" customHeight="1" x14ac:dyDescent="0.2">
      <c r="A182" s="25">
        <v>50</v>
      </c>
      <c r="B182" s="16" t="s">
        <v>360</v>
      </c>
      <c r="C182" s="10" t="s">
        <v>353</v>
      </c>
      <c r="D182" s="13" t="s">
        <v>1203</v>
      </c>
      <c r="E182" s="328">
        <v>36000</v>
      </c>
      <c r="F182" s="11"/>
    </row>
    <row r="183" spans="1:6" ht="20.100000000000001" customHeight="1" x14ac:dyDescent="0.2">
      <c r="A183" s="25">
        <v>51</v>
      </c>
      <c r="B183" s="9" t="s">
        <v>493</v>
      </c>
      <c r="C183" s="10" t="s">
        <v>350</v>
      </c>
      <c r="D183" s="13" t="s">
        <v>1203</v>
      </c>
      <c r="E183" s="328">
        <v>36000</v>
      </c>
      <c r="F183" s="11"/>
    </row>
    <row r="184" spans="1:6" ht="20.100000000000001" customHeight="1" x14ac:dyDescent="0.2">
      <c r="A184" s="25">
        <v>52</v>
      </c>
      <c r="B184" s="9" t="s">
        <v>361</v>
      </c>
      <c r="C184" s="10" t="s">
        <v>350</v>
      </c>
      <c r="D184" s="13" t="s">
        <v>1203</v>
      </c>
      <c r="E184" s="328">
        <v>36000</v>
      </c>
      <c r="F184" s="11"/>
    </row>
    <row r="185" spans="1:6" ht="20.100000000000001" customHeight="1" x14ac:dyDescent="0.2">
      <c r="A185" s="25">
        <v>53</v>
      </c>
      <c r="B185" s="16" t="s">
        <v>362</v>
      </c>
      <c r="C185" s="10" t="s">
        <v>363</v>
      </c>
      <c r="D185" s="13" t="s">
        <v>366</v>
      </c>
      <c r="E185" s="328">
        <v>36000</v>
      </c>
      <c r="F185" s="11"/>
    </row>
    <row r="186" spans="1:6" ht="20.100000000000001" customHeight="1" x14ac:dyDescent="0.2">
      <c r="A186" s="25">
        <v>54</v>
      </c>
      <c r="B186" s="16" t="s">
        <v>367</v>
      </c>
      <c r="C186" s="10" t="s">
        <v>353</v>
      </c>
      <c r="D186" s="13" t="s">
        <v>371</v>
      </c>
      <c r="E186" s="328">
        <v>36000</v>
      </c>
      <c r="F186" s="11"/>
    </row>
    <row r="187" spans="1:6" ht="20.100000000000001" customHeight="1" x14ac:dyDescent="0.2">
      <c r="A187" s="25">
        <v>55</v>
      </c>
      <c r="B187" s="16" t="s">
        <v>369</v>
      </c>
      <c r="C187" s="10" t="s">
        <v>370</v>
      </c>
      <c r="D187" s="13" t="s">
        <v>1204</v>
      </c>
      <c r="E187" s="328">
        <v>36000</v>
      </c>
      <c r="F187" s="11"/>
    </row>
    <row r="188" spans="1:6" ht="20.100000000000001" customHeight="1" x14ac:dyDescent="0.2">
      <c r="A188" s="25">
        <v>56</v>
      </c>
      <c r="B188" s="16" t="s">
        <v>372</v>
      </c>
      <c r="C188" s="10" t="s">
        <v>370</v>
      </c>
      <c r="D188" s="13" t="s">
        <v>1204</v>
      </c>
      <c r="E188" s="328">
        <v>36000</v>
      </c>
      <c r="F188" s="11"/>
    </row>
    <row r="189" spans="1:6" ht="20.100000000000001" customHeight="1" x14ac:dyDescent="0.2">
      <c r="A189" s="25">
        <v>57</v>
      </c>
      <c r="B189" s="16" t="s">
        <v>373</v>
      </c>
      <c r="C189" s="10" t="s">
        <v>370</v>
      </c>
      <c r="D189" s="13" t="s">
        <v>1204</v>
      </c>
      <c r="E189" s="328">
        <v>36000</v>
      </c>
      <c r="F189" s="11"/>
    </row>
    <row r="190" spans="1:6" ht="20.100000000000001" customHeight="1" x14ac:dyDescent="0.2">
      <c r="A190" s="25">
        <v>58</v>
      </c>
      <c r="B190" s="16" t="s">
        <v>374</v>
      </c>
      <c r="C190" s="10" t="s">
        <v>375</v>
      </c>
      <c r="D190" s="13" t="s">
        <v>368</v>
      </c>
      <c r="E190" s="328">
        <v>36000</v>
      </c>
      <c r="F190" s="11"/>
    </row>
    <row r="191" spans="1:6" ht="20.100000000000001" customHeight="1" x14ac:dyDescent="0.2">
      <c r="A191" s="25">
        <v>59</v>
      </c>
      <c r="B191" s="16" t="s">
        <v>377</v>
      </c>
      <c r="C191" s="10" t="s">
        <v>375</v>
      </c>
      <c r="D191" s="13" t="s">
        <v>368</v>
      </c>
      <c r="E191" s="328">
        <v>36000</v>
      </c>
      <c r="F191" s="11"/>
    </row>
    <row r="192" spans="1:6" ht="24.75" customHeight="1" x14ac:dyDescent="0.5">
      <c r="A192" s="25"/>
      <c r="B192" s="6" t="s">
        <v>111</v>
      </c>
      <c r="C192" s="26" t="s">
        <v>569</v>
      </c>
      <c r="D192" s="27"/>
      <c r="E192" s="322">
        <f>SUM(E133:E191)</f>
        <v>3204000</v>
      </c>
      <c r="F192" s="11"/>
    </row>
    <row r="193" spans="1:6" ht="20.100000000000001" customHeight="1" x14ac:dyDescent="0.2">
      <c r="A193" s="972"/>
      <c r="B193" s="972"/>
      <c r="C193" s="972"/>
      <c r="D193" s="972"/>
      <c r="E193" s="972"/>
      <c r="F193" s="11"/>
    </row>
    <row r="194" spans="1:6" ht="29.25" customHeight="1" x14ac:dyDescent="0.25">
      <c r="A194" s="2"/>
      <c r="B194" s="28" t="s">
        <v>379</v>
      </c>
      <c r="C194" s="29">
        <f>C31+C37+C52+C57+C71+C81+C95+C102+C112+C130+C192</f>
        <v>151</v>
      </c>
      <c r="D194" s="30"/>
      <c r="E194" s="329">
        <f>E192+E130+E117+E112+E102+E95+E81+E71+E57+E52+E37+E31</f>
        <v>13230000</v>
      </c>
      <c r="F194" s="11"/>
    </row>
    <row r="195" spans="1:6" ht="20.100000000000001" customHeight="1" x14ac:dyDescent="0.2">
      <c r="B195" s="31"/>
      <c r="D195" s="32"/>
      <c r="E195" s="32"/>
      <c r="F195" s="33"/>
    </row>
    <row r="196" spans="1:6" ht="36.75" customHeight="1" x14ac:dyDescent="0.2">
      <c r="B196" s="31"/>
      <c r="C196" s="32"/>
      <c r="D196" s="32"/>
      <c r="E196" s="298"/>
    </row>
    <row r="197" spans="1:6" ht="20.100000000000001" customHeight="1" x14ac:dyDescent="0.2">
      <c r="E197" s="298"/>
    </row>
    <row r="198" spans="1:6" ht="20.100000000000001" customHeight="1" x14ac:dyDescent="0.2">
      <c r="E198" s="298"/>
    </row>
    <row r="199" spans="1:6" ht="20.100000000000001" customHeight="1" x14ac:dyDescent="0.2">
      <c r="E199" s="298"/>
    </row>
    <row r="200" spans="1:6" ht="20.100000000000001" customHeight="1" x14ac:dyDescent="0.2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"/>
  <sheetViews>
    <sheetView topLeftCell="A2" workbookViewId="0">
      <selection activeCell="K22" sqref="K22"/>
    </sheetView>
  </sheetViews>
  <sheetFormatPr defaultColWidth="9.03515625" defaultRowHeight="12.75" x14ac:dyDescent="0.1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198"/>
  <sheetViews>
    <sheetView zoomScaleSheetLayoutView="50" workbookViewId="0">
      <pane xSplit="3" ySplit="7" topLeftCell="D8" activePane="bottomRight" state="frozen"/>
      <selection pane="bottomLeft"/>
      <selection pane="topRight"/>
      <selection pane="bottomRight" activeCell="D118" sqref="D118"/>
    </sheetView>
  </sheetViews>
  <sheetFormatPr defaultColWidth="9.16796875" defaultRowHeight="20.100000000000001" customHeight="1" x14ac:dyDescent="0.2"/>
  <cols>
    <col min="1" max="1" width="5.390625" style="1" customWidth="1"/>
    <col min="2" max="2" width="43.421875" style="1" customWidth="1"/>
    <col min="3" max="3" width="40.453125" style="1" customWidth="1"/>
    <col min="4" max="4" width="11.59375" style="1" customWidth="1"/>
    <col min="5" max="6" width="19.28125" style="1" customWidth="1"/>
    <col min="7" max="7" width="21.7109375" style="1" customWidth="1"/>
    <col min="8" max="16384" width="9.16796875" style="1"/>
  </cols>
  <sheetData>
    <row r="1" spans="1:7" ht="27" customHeight="1" x14ac:dyDescent="0.3">
      <c r="A1" s="61" t="s">
        <v>0</v>
      </c>
      <c r="B1" s="61"/>
      <c r="C1" s="61"/>
      <c r="D1" s="61"/>
    </row>
    <row r="2" spans="1:7" ht="33.75" customHeight="1" x14ac:dyDescent="0.3">
      <c r="A2" s="960" t="s">
        <v>1205</v>
      </c>
      <c r="B2" s="960"/>
      <c r="C2" s="960"/>
      <c r="D2" s="960"/>
      <c r="E2" s="960"/>
      <c r="F2" s="960"/>
    </row>
    <row r="3" spans="1:7" ht="9.75" customHeight="1" x14ac:dyDescent="0.2"/>
    <row r="4" spans="1:7" ht="49.5" customHeight="1" x14ac:dyDescent="0.2">
      <c r="A4" s="2"/>
      <c r="B4" s="3" t="s">
        <v>2</v>
      </c>
      <c r="C4" s="4" t="s">
        <v>3</v>
      </c>
      <c r="D4" s="5" t="s">
        <v>4</v>
      </c>
      <c r="E4" s="269" t="s">
        <v>441</v>
      </c>
      <c r="F4" s="284" t="s">
        <v>727</v>
      </c>
    </row>
    <row r="5" spans="1:7" ht="17.25" customHeight="1" x14ac:dyDescent="0.2">
      <c r="C5" s="6"/>
      <c r="D5" s="6"/>
      <c r="E5" s="270" t="s">
        <v>20</v>
      </c>
      <c r="F5" s="196" t="s">
        <v>20</v>
      </c>
    </row>
    <row r="6" spans="1:7" ht="20.100000000000001" customHeight="1" x14ac:dyDescent="0.2">
      <c r="A6" s="7" t="s">
        <v>21</v>
      </c>
      <c r="B6" s="6" t="s">
        <v>22</v>
      </c>
      <c r="C6" s="6"/>
      <c r="D6" s="6"/>
      <c r="E6" s="270"/>
      <c r="F6" s="196"/>
    </row>
    <row r="7" spans="1:7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185">
        <v>1158849.8400000001</v>
      </c>
      <c r="F7" s="197">
        <f>E7/2</f>
        <v>579424.92000000004</v>
      </c>
      <c r="G7" s="11"/>
    </row>
    <row r="8" spans="1:7" ht="20.100000000000001" customHeight="1" x14ac:dyDescent="0.2">
      <c r="A8" s="8">
        <v>2</v>
      </c>
      <c r="B8" s="9" t="s">
        <v>26</v>
      </c>
      <c r="C8" s="10" t="s">
        <v>27</v>
      </c>
      <c r="D8" s="8" t="s">
        <v>28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 x14ac:dyDescent="0.2">
      <c r="A9" s="8">
        <v>3</v>
      </c>
      <c r="B9" s="12" t="s">
        <v>29</v>
      </c>
      <c r="C9" s="2" t="s">
        <v>30</v>
      </c>
      <c r="D9" s="13" t="s">
        <v>35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 x14ac:dyDescent="0.2">
      <c r="A10" s="8">
        <v>4</v>
      </c>
      <c r="B10" s="9" t="s">
        <v>31</v>
      </c>
      <c r="C10" s="15" t="s">
        <v>32</v>
      </c>
      <c r="D10" s="14" t="s">
        <v>35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 x14ac:dyDescent="0.2">
      <c r="A11" s="8">
        <v>5</v>
      </c>
      <c r="B11" s="12" t="s">
        <v>271</v>
      </c>
      <c r="C11" s="2" t="s">
        <v>529</v>
      </c>
      <c r="D11" s="14" t="s">
        <v>35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 x14ac:dyDescent="0.2">
      <c r="A12" s="8">
        <v>6</v>
      </c>
      <c r="B12" s="16" t="s">
        <v>530</v>
      </c>
      <c r="C12" s="8" t="s">
        <v>531</v>
      </c>
      <c r="D12" s="13" t="s">
        <v>35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 x14ac:dyDescent="0.2">
      <c r="A13" s="8">
        <v>7</v>
      </c>
      <c r="B13" s="9" t="s">
        <v>33</v>
      </c>
      <c r="C13" s="10" t="s">
        <v>532</v>
      </c>
      <c r="D13" s="13" t="s">
        <v>131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 x14ac:dyDescent="0.2">
      <c r="A14" s="8">
        <v>8</v>
      </c>
      <c r="B14" s="9" t="s">
        <v>36</v>
      </c>
      <c r="C14" s="2" t="s">
        <v>37</v>
      </c>
      <c r="D14" s="8" t="s">
        <v>49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 x14ac:dyDescent="0.2">
      <c r="A15" s="8">
        <v>9</v>
      </c>
      <c r="B15" s="9" t="s">
        <v>39</v>
      </c>
      <c r="C15" s="2" t="s">
        <v>40</v>
      </c>
      <c r="D15" s="13" t="s">
        <v>176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 x14ac:dyDescent="0.2">
      <c r="A16" s="8">
        <v>10</v>
      </c>
      <c r="B16" s="12" t="s">
        <v>42</v>
      </c>
      <c r="C16" s="15" t="s">
        <v>156</v>
      </c>
      <c r="D16" s="13" t="s">
        <v>46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 x14ac:dyDescent="0.2">
      <c r="A17" s="8">
        <v>11</v>
      </c>
      <c r="B17" s="9" t="s">
        <v>47</v>
      </c>
      <c r="C17" s="2" t="s">
        <v>533</v>
      </c>
      <c r="D17" s="8" t="s">
        <v>52</v>
      </c>
      <c r="E17" s="185">
        <v>326663.07750000001</v>
      </c>
      <c r="F17" s="197">
        <f t="shared" si="0"/>
        <v>163331.53875000001</v>
      </c>
    </row>
    <row r="18" spans="1:7" ht="20.100000000000001" customHeight="1" x14ac:dyDescent="0.2">
      <c r="A18" s="8">
        <v>12</v>
      </c>
      <c r="B18" s="9" t="s">
        <v>50</v>
      </c>
      <c r="C18" s="10" t="s">
        <v>51</v>
      </c>
      <c r="D18" s="13" t="s">
        <v>1199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 x14ac:dyDescent="0.2">
      <c r="A19" s="8">
        <v>13</v>
      </c>
      <c r="B19" s="16" t="s">
        <v>53</v>
      </c>
      <c r="C19" s="2" t="s">
        <v>54</v>
      </c>
      <c r="D19" s="13" t="s">
        <v>58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 x14ac:dyDescent="0.2">
      <c r="A20" s="8">
        <v>14</v>
      </c>
      <c r="B20" s="9" t="s">
        <v>63</v>
      </c>
      <c r="C20" s="10" t="s">
        <v>64</v>
      </c>
      <c r="D20" s="13" t="s">
        <v>68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 x14ac:dyDescent="0.2">
      <c r="A21" s="8">
        <v>15</v>
      </c>
      <c r="B21" s="12" t="s">
        <v>66</v>
      </c>
      <c r="C21" s="15" t="s">
        <v>67</v>
      </c>
      <c r="D21" s="8" t="s">
        <v>137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 x14ac:dyDescent="0.2">
      <c r="A22" s="8">
        <v>16</v>
      </c>
      <c r="B22" s="12" t="s">
        <v>71</v>
      </c>
      <c r="C22" s="15" t="s">
        <v>72</v>
      </c>
      <c r="D22" s="8" t="s">
        <v>73</v>
      </c>
      <c r="E22" s="185">
        <v>328602.07775</v>
      </c>
      <c r="F22" s="197">
        <f t="shared" si="0"/>
        <v>164301.038875</v>
      </c>
      <c r="G22" s="11"/>
    </row>
    <row r="23" spans="1:7" ht="18.75" customHeight="1" x14ac:dyDescent="0.2">
      <c r="A23" s="8">
        <v>17</v>
      </c>
      <c r="B23" s="2" t="s">
        <v>77</v>
      </c>
      <c r="C23" s="2" t="s">
        <v>78</v>
      </c>
      <c r="D23" s="8" t="s">
        <v>87</v>
      </c>
      <c r="E23" s="185">
        <v>205204.0845</v>
      </c>
      <c r="F23" s="197">
        <f t="shared" si="0"/>
        <v>102602.04225</v>
      </c>
      <c r="G23" s="11"/>
    </row>
    <row r="24" spans="1:7" ht="18.75" customHeight="1" x14ac:dyDescent="0.2">
      <c r="A24" s="8">
        <v>18</v>
      </c>
      <c r="B24" s="16" t="s">
        <v>80</v>
      </c>
      <c r="C24" s="10" t="s">
        <v>78</v>
      </c>
      <c r="D24" s="13" t="s">
        <v>87</v>
      </c>
      <c r="E24" s="185">
        <v>209356.04725</v>
      </c>
      <c r="F24" s="197">
        <f t="shared" si="0"/>
        <v>104678.023625</v>
      </c>
      <c r="G24" s="11"/>
    </row>
    <row r="25" spans="1:7" ht="18.75" customHeight="1" x14ac:dyDescent="0.2">
      <c r="A25" s="8">
        <v>19</v>
      </c>
      <c r="B25" s="16" t="s">
        <v>82</v>
      </c>
      <c r="C25" s="10" t="s">
        <v>83</v>
      </c>
      <c r="D25" s="13" t="s">
        <v>96</v>
      </c>
      <c r="E25" s="70">
        <v>205204.0845</v>
      </c>
      <c r="F25" s="197">
        <f t="shared" si="0"/>
        <v>102602.04225</v>
      </c>
      <c r="G25" s="11"/>
    </row>
    <row r="26" spans="1:7" ht="18.75" customHeight="1" x14ac:dyDescent="0.2">
      <c r="A26" s="8">
        <v>20</v>
      </c>
      <c r="B26" s="16" t="s">
        <v>85</v>
      </c>
      <c r="C26" s="2" t="s">
        <v>86</v>
      </c>
      <c r="D26" s="8" t="s">
        <v>96</v>
      </c>
      <c r="E26" s="185">
        <v>205204.08</v>
      </c>
      <c r="F26" s="197">
        <f t="shared" si="0"/>
        <v>102602.04</v>
      </c>
      <c r="G26" s="11"/>
    </row>
    <row r="27" spans="1:7" ht="18.75" customHeight="1" x14ac:dyDescent="0.2">
      <c r="A27" s="8">
        <v>21</v>
      </c>
      <c r="B27" s="16" t="s">
        <v>89</v>
      </c>
      <c r="C27" s="15" t="s">
        <v>90</v>
      </c>
      <c r="D27" s="13" t="s">
        <v>87</v>
      </c>
      <c r="E27" s="185">
        <v>209356.04725</v>
      </c>
      <c r="F27" s="197">
        <f t="shared" si="0"/>
        <v>104678.023625</v>
      </c>
      <c r="G27" s="11"/>
    </row>
    <row r="28" spans="1:7" ht="18.75" customHeight="1" x14ac:dyDescent="0.2">
      <c r="A28" s="8">
        <v>22</v>
      </c>
      <c r="B28" s="16" t="s">
        <v>92</v>
      </c>
      <c r="C28" s="2" t="s">
        <v>93</v>
      </c>
      <c r="D28" s="8" t="s">
        <v>105</v>
      </c>
      <c r="E28" s="185">
        <v>176816.1</v>
      </c>
      <c r="F28" s="197">
        <f t="shared" si="0"/>
        <v>88408.05</v>
      </c>
      <c r="G28" s="11"/>
    </row>
    <row r="29" spans="1:7" ht="18.75" customHeight="1" x14ac:dyDescent="0.2">
      <c r="A29" s="8">
        <v>23</v>
      </c>
      <c r="B29" s="16" t="s">
        <v>1191</v>
      </c>
      <c r="C29" s="10" t="s">
        <v>101</v>
      </c>
      <c r="D29" s="13" t="s">
        <v>105</v>
      </c>
      <c r="E29" s="185">
        <v>176816.1</v>
      </c>
      <c r="F29" s="197">
        <f t="shared" si="0"/>
        <v>88408.05</v>
      </c>
      <c r="G29" s="11"/>
    </row>
    <row r="30" spans="1:7" ht="18.75" customHeight="1" x14ac:dyDescent="0.2">
      <c r="A30" s="8">
        <v>24</v>
      </c>
      <c r="B30" s="16" t="s">
        <v>100</v>
      </c>
      <c r="C30" s="10" t="s">
        <v>101</v>
      </c>
      <c r="D30" s="13" t="s">
        <v>108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 x14ac:dyDescent="0.2">
      <c r="A31" s="8"/>
      <c r="B31" s="18" t="s">
        <v>111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 x14ac:dyDescent="0.2">
      <c r="A32" s="8"/>
      <c r="B32" s="20"/>
      <c r="C32" s="2"/>
      <c r="D32" s="13"/>
      <c r="E32" s="273"/>
      <c r="F32" s="198"/>
      <c r="G32" s="11"/>
    </row>
    <row r="33" spans="1:7" ht="18.75" customHeight="1" x14ac:dyDescent="0.2">
      <c r="A33" s="8"/>
      <c r="B33" s="18" t="s">
        <v>112</v>
      </c>
      <c r="C33" s="2"/>
      <c r="D33" s="13"/>
      <c r="E33" s="185"/>
      <c r="F33" s="197"/>
      <c r="G33" s="11"/>
    </row>
    <row r="34" spans="1:7" ht="18.75" customHeight="1" x14ac:dyDescent="0.2">
      <c r="A34" s="8">
        <v>1</v>
      </c>
      <c r="B34" s="16" t="s">
        <v>113</v>
      </c>
      <c r="C34" s="2" t="s">
        <v>114</v>
      </c>
      <c r="D34" s="8" t="s">
        <v>115</v>
      </c>
      <c r="E34" s="185">
        <v>950209.06350000005</v>
      </c>
      <c r="F34" s="197">
        <f>E34/2</f>
        <v>475104.53175000002</v>
      </c>
      <c r="G34" s="11"/>
    </row>
    <row r="35" spans="1:7" ht="18.75" customHeight="1" x14ac:dyDescent="0.2">
      <c r="A35" s="8">
        <v>2</v>
      </c>
      <c r="B35" s="16" t="s">
        <v>116</v>
      </c>
      <c r="C35" s="2" t="s">
        <v>799</v>
      </c>
      <c r="D35" s="8" t="s">
        <v>108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 x14ac:dyDescent="0.2">
      <c r="A36" s="8">
        <v>3</v>
      </c>
      <c r="B36" s="9" t="s">
        <v>118</v>
      </c>
      <c r="C36" s="10" t="s">
        <v>796</v>
      </c>
      <c r="D36" s="13" t="s">
        <v>73</v>
      </c>
      <c r="E36" s="185">
        <v>228602.07775</v>
      </c>
      <c r="F36" s="197">
        <f t="shared" si="1"/>
        <v>114301.038875</v>
      </c>
      <c r="G36" s="11"/>
    </row>
    <row r="37" spans="1:7" ht="19.5" customHeight="1" x14ac:dyDescent="0.2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 x14ac:dyDescent="0.2">
      <c r="A38" s="8"/>
      <c r="B38" s="12"/>
      <c r="C38" s="2"/>
      <c r="D38" s="8"/>
      <c r="E38" s="273"/>
      <c r="F38" s="197"/>
      <c r="G38" s="11"/>
    </row>
    <row r="39" spans="1:7" ht="20.100000000000001" customHeight="1" x14ac:dyDescent="0.2">
      <c r="A39" s="8"/>
      <c r="B39" s="21" t="s">
        <v>125</v>
      </c>
      <c r="C39" s="3"/>
      <c r="D39" s="22"/>
      <c r="E39" s="185"/>
      <c r="F39" s="197"/>
      <c r="G39" s="11"/>
    </row>
    <row r="40" spans="1:7" ht="20.100000000000001" customHeight="1" x14ac:dyDescent="0.2">
      <c r="A40" s="8">
        <v>1</v>
      </c>
      <c r="B40" s="9" t="s">
        <v>536</v>
      </c>
      <c r="C40" s="2" t="s">
        <v>537</v>
      </c>
      <c r="D40" s="8" t="s">
        <v>115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 x14ac:dyDescent="0.2">
      <c r="A41" s="8">
        <v>2</v>
      </c>
      <c r="B41" s="9" t="s">
        <v>538</v>
      </c>
      <c r="C41" s="2" t="s">
        <v>43</v>
      </c>
      <c r="D41" s="8" t="s">
        <v>131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 x14ac:dyDescent="0.2">
      <c r="A42" s="8">
        <v>3</v>
      </c>
      <c r="B42" s="9" t="s">
        <v>126</v>
      </c>
      <c r="C42" s="2" t="s">
        <v>127</v>
      </c>
      <c r="D42" s="8" t="s">
        <v>192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 x14ac:dyDescent="0.2">
      <c r="A43" s="8">
        <v>4</v>
      </c>
      <c r="B43" s="9" t="s">
        <v>129</v>
      </c>
      <c r="C43" s="2" t="s">
        <v>130</v>
      </c>
      <c r="D43" s="8" t="s">
        <v>131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 x14ac:dyDescent="0.2">
      <c r="A44" s="8">
        <v>5</v>
      </c>
      <c r="B44" s="9" t="s">
        <v>132</v>
      </c>
      <c r="C44" s="2" t="s">
        <v>130</v>
      </c>
      <c r="D44" s="8" t="s">
        <v>38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 x14ac:dyDescent="0.2">
      <c r="A45" s="8">
        <v>6</v>
      </c>
      <c r="B45" s="9" t="s">
        <v>133</v>
      </c>
      <c r="C45" s="2" t="s">
        <v>130</v>
      </c>
      <c r="D45" s="8" t="s">
        <v>49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 x14ac:dyDescent="0.2">
      <c r="A46" s="8">
        <v>7</v>
      </c>
      <c r="B46" s="12" t="s">
        <v>134</v>
      </c>
      <c r="C46" s="2" t="s">
        <v>156</v>
      </c>
      <c r="D46" s="14" t="s">
        <v>176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 x14ac:dyDescent="0.2">
      <c r="A47" s="8">
        <v>8</v>
      </c>
      <c r="B47" s="9" t="s">
        <v>44</v>
      </c>
      <c r="C47" s="2" t="s">
        <v>45</v>
      </c>
      <c r="D47" s="8" t="s">
        <v>197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 x14ac:dyDescent="0.2">
      <c r="A48" s="8">
        <v>9</v>
      </c>
      <c r="B48" s="9" t="s">
        <v>138</v>
      </c>
      <c r="C48" s="2" t="s">
        <v>139</v>
      </c>
      <c r="D48" s="8" t="s">
        <v>73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 x14ac:dyDescent="0.2">
      <c r="A49" s="8">
        <v>10</v>
      </c>
      <c r="B49" s="9" t="s">
        <v>142</v>
      </c>
      <c r="C49" s="2" t="s">
        <v>139</v>
      </c>
      <c r="D49" s="8" t="s">
        <v>96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 x14ac:dyDescent="0.2">
      <c r="A50" s="8">
        <v>11</v>
      </c>
      <c r="B50" s="9" t="s">
        <v>539</v>
      </c>
      <c r="C50" s="2" t="s">
        <v>139</v>
      </c>
      <c r="D50" s="8" t="s">
        <v>96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 x14ac:dyDescent="0.2">
      <c r="A51" s="8">
        <v>12</v>
      </c>
      <c r="B51" s="9" t="s">
        <v>143</v>
      </c>
      <c r="C51" s="2" t="s">
        <v>139</v>
      </c>
      <c r="D51" s="8" t="s">
        <v>96</v>
      </c>
      <c r="E51" s="185">
        <v>245204.0845</v>
      </c>
      <c r="F51" s="197">
        <f t="shared" si="2"/>
        <v>122602.04225</v>
      </c>
      <c r="G51" s="11"/>
    </row>
    <row r="52" spans="1:7" ht="25.5" customHeight="1" x14ac:dyDescent="0.5">
      <c r="A52" s="8"/>
      <c r="B52" s="18" t="s">
        <v>111</v>
      </c>
      <c r="C52" s="19">
        <v>12</v>
      </c>
      <c r="D52" s="19"/>
      <c r="E52" s="78">
        <v>6101043.8132499997</v>
      </c>
      <c r="F52" s="285">
        <f>SUM(F40:F51)</f>
        <v>2772477.6147500002</v>
      </c>
      <c r="G52" s="11"/>
    </row>
    <row r="53" spans="1:7" ht="20.100000000000001" customHeight="1" x14ac:dyDescent="0.2">
      <c r="A53" s="8"/>
      <c r="B53" s="20"/>
      <c r="C53" s="19"/>
      <c r="D53" s="19"/>
      <c r="E53" s="275"/>
      <c r="F53" s="199"/>
      <c r="G53" s="11"/>
    </row>
    <row r="54" spans="1:7" ht="20.100000000000001" customHeight="1" x14ac:dyDescent="0.2">
      <c r="A54" s="8"/>
      <c r="B54" s="18" t="s">
        <v>145</v>
      </c>
      <c r="C54" s="19"/>
      <c r="D54" s="19"/>
      <c r="E54" s="275"/>
      <c r="F54" s="199"/>
      <c r="G54" s="11"/>
    </row>
    <row r="55" spans="1:7" ht="20.100000000000001" customHeight="1" x14ac:dyDescent="0.2">
      <c r="A55" s="8">
        <v>1</v>
      </c>
      <c r="B55" s="9" t="s">
        <v>540</v>
      </c>
      <c r="C55" s="10" t="s">
        <v>147</v>
      </c>
      <c r="D55" s="13" t="s">
        <v>115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 x14ac:dyDescent="0.2">
      <c r="A56" s="8">
        <v>2</v>
      </c>
      <c r="B56" s="9" t="s">
        <v>148</v>
      </c>
      <c r="C56" s="10" t="s">
        <v>149</v>
      </c>
      <c r="D56" s="13" t="s">
        <v>549</v>
      </c>
      <c r="E56" s="185">
        <v>436137.05</v>
      </c>
      <c r="F56" s="197">
        <f>E56/2</f>
        <v>218068.52499999999</v>
      </c>
      <c r="G56" s="11"/>
    </row>
    <row r="57" spans="1:7" ht="20.100000000000001" customHeight="1" x14ac:dyDescent="0.5">
      <c r="A57" s="8"/>
      <c r="B57" s="18" t="s">
        <v>111</v>
      </c>
      <c r="C57" s="19">
        <v>2</v>
      </c>
      <c r="D57" s="19"/>
      <c r="E57" s="78">
        <v>1486346.1135</v>
      </c>
      <c r="F57" s="285">
        <f>SUM(F55:F56)</f>
        <v>743173.05674999999</v>
      </c>
      <c r="G57" s="11"/>
    </row>
    <row r="58" spans="1:7" ht="20.100000000000001" customHeight="1" x14ac:dyDescent="0.2">
      <c r="A58" s="8"/>
      <c r="B58" s="18"/>
      <c r="C58" s="19"/>
      <c r="D58" s="19"/>
      <c r="E58" s="275"/>
      <c r="F58" s="199"/>
      <c r="G58" s="11"/>
    </row>
    <row r="59" spans="1:7" ht="20.100000000000001" customHeight="1" x14ac:dyDescent="0.2">
      <c r="A59" s="8"/>
      <c r="B59" s="18" t="s">
        <v>151</v>
      </c>
      <c r="C59" s="19"/>
      <c r="D59" s="19"/>
      <c r="E59" s="275"/>
      <c r="F59" s="199"/>
      <c r="G59" s="11"/>
    </row>
    <row r="60" spans="1:7" ht="20.100000000000001" customHeight="1" x14ac:dyDescent="0.2">
      <c r="A60" s="8">
        <v>1</v>
      </c>
      <c r="B60" s="9" t="s">
        <v>541</v>
      </c>
      <c r="C60" s="15" t="s">
        <v>542</v>
      </c>
      <c r="D60" s="8" t="s">
        <v>115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 x14ac:dyDescent="0.2">
      <c r="A61" s="8">
        <v>2</v>
      </c>
      <c r="B61" s="313" t="s">
        <v>543</v>
      </c>
      <c r="C61" s="15" t="s">
        <v>544</v>
      </c>
      <c r="D61" s="13" t="s">
        <v>1200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 x14ac:dyDescent="0.2">
      <c r="A62" s="8">
        <v>3</v>
      </c>
      <c r="B62" s="9" t="s">
        <v>155</v>
      </c>
      <c r="C62" s="2" t="s">
        <v>156</v>
      </c>
      <c r="D62" s="8" t="s">
        <v>197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 x14ac:dyDescent="0.2">
      <c r="A63" s="8">
        <v>4</v>
      </c>
      <c r="B63" s="16" t="s">
        <v>545</v>
      </c>
      <c r="C63" s="15" t="s">
        <v>158</v>
      </c>
      <c r="D63" s="13" t="s">
        <v>1199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 x14ac:dyDescent="0.2">
      <c r="A64" s="8">
        <v>5</v>
      </c>
      <c r="B64" s="12" t="s">
        <v>546</v>
      </c>
      <c r="C64" s="15" t="s">
        <v>156</v>
      </c>
      <c r="D64" s="13" t="s">
        <v>176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 x14ac:dyDescent="0.2">
      <c r="A65" s="8">
        <v>7</v>
      </c>
      <c r="B65" s="9" t="s">
        <v>161</v>
      </c>
      <c r="C65" s="2" t="s">
        <v>139</v>
      </c>
      <c r="D65" s="8" t="s">
        <v>137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 x14ac:dyDescent="0.2">
      <c r="A66" s="8">
        <v>8</v>
      </c>
      <c r="B66" s="9" t="s">
        <v>163</v>
      </c>
      <c r="C66" s="15" t="s">
        <v>70</v>
      </c>
      <c r="D66" s="13" t="s">
        <v>137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 x14ac:dyDescent="0.2">
      <c r="A67" s="8">
        <v>9</v>
      </c>
      <c r="B67" s="9" t="s">
        <v>164</v>
      </c>
      <c r="C67" s="15" t="s">
        <v>70</v>
      </c>
      <c r="D67" s="13" t="s">
        <v>137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 x14ac:dyDescent="0.2">
      <c r="A68" s="8">
        <v>10</v>
      </c>
      <c r="B68" s="9" t="s">
        <v>165</v>
      </c>
      <c r="C68" s="2" t="s">
        <v>166</v>
      </c>
      <c r="D68" s="8" t="s">
        <v>68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 x14ac:dyDescent="0.2">
      <c r="A69" s="8">
        <v>11</v>
      </c>
      <c r="B69" s="9" t="s">
        <v>168</v>
      </c>
      <c r="C69" s="2" t="s">
        <v>139</v>
      </c>
      <c r="D69" s="8" t="s">
        <v>73</v>
      </c>
      <c r="E69" s="185">
        <v>268602.07775</v>
      </c>
      <c r="F69" s="197">
        <f t="shared" si="3"/>
        <v>134301.038875</v>
      </c>
    </row>
    <row r="70" spans="1:7" ht="20.100000000000001" customHeight="1" x14ac:dyDescent="0.2">
      <c r="A70" s="8">
        <v>12</v>
      </c>
      <c r="B70" s="9" t="s">
        <v>81</v>
      </c>
      <c r="C70" s="15" t="s">
        <v>67</v>
      </c>
      <c r="D70" s="8" t="s">
        <v>87</v>
      </c>
      <c r="E70" s="185">
        <v>249356.04725</v>
      </c>
      <c r="F70" s="197">
        <f t="shared" si="3"/>
        <v>124678.023625</v>
      </c>
      <c r="G70" s="11"/>
    </row>
    <row r="71" spans="1:7" ht="27" customHeight="1" x14ac:dyDescent="0.5">
      <c r="A71" s="8"/>
      <c r="B71" s="18" t="s">
        <v>111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 x14ac:dyDescent="0.2">
      <c r="A72" s="8"/>
      <c r="B72" s="20"/>
      <c r="C72" s="19"/>
      <c r="D72" s="19"/>
      <c r="E72" s="275"/>
      <c r="F72" s="199"/>
      <c r="G72" s="11"/>
    </row>
    <row r="73" spans="1:7" ht="20.100000000000001" customHeight="1" x14ac:dyDescent="0.2">
      <c r="A73" s="8"/>
      <c r="B73" s="18" t="s">
        <v>169</v>
      </c>
      <c r="C73" s="19"/>
      <c r="D73" s="19"/>
      <c r="E73" s="275"/>
      <c r="F73" s="199"/>
      <c r="G73" s="11"/>
    </row>
    <row r="74" spans="1:7" ht="20.100000000000001" customHeight="1" x14ac:dyDescent="0.2">
      <c r="A74" s="8">
        <v>1</v>
      </c>
      <c r="B74" s="9" t="s">
        <v>170</v>
      </c>
      <c r="C74" s="2" t="s">
        <v>171</v>
      </c>
      <c r="D74" s="8" t="s">
        <v>115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 x14ac:dyDescent="0.2">
      <c r="A75" s="8">
        <v>2</v>
      </c>
      <c r="B75" s="12" t="s">
        <v>547</v>
      </c>
      <c r="C75" s="2" t="s">
        <v>548</v>
      </c>
      <c r="D75" s="13" t="s">
        <v>1200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 x14ac:dyDescent="0.2">
      <c r="A76" s="8">
        <v>3</v>
      </c>
      <c r="B76" s="16" t="s">
        <v>550</v>
      </c>
      <c r="C76" s="10" t="s">
        <v>551</v>
      </c>
      <c r="D76" s="8" t="s">
        <v>549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 x14ac:dyDescent="0.2">
      <c r="A77" s="8">
        <v>4</v>
      </c>
      <c r="B77" s="9" t="s">
        <v>174</v>
      </c>
      <c r="C77" s="2" t="s">
        <v>175</v>
      </c>
      <c r="D77" s="13" t="s">
        <v>197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 x14ac:dyDescent="0.2">
      <c r="A78" s="8">
        <v>5</v>
      </c>
      <c r="B78" s="9" t="s">
        <v>181</v>
      </c>
      <c r="C78" s="2" t="s">
        <v>184</v>
      </c>
      <c r="D78" s="8" t="s">
        <v>76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 x14ac:dyDescent="0.2">
      <c r="A79" s="8">
        <v>6</v>
      </c>
      <c r="B79" s="9" t="s">
        <v>183</v>
      </c>
      <c r="C79" s="2" t="s">
        <v>184</v>
      </c>
      <c r="D79" s="8" t="s">
        <v>96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 x14ac:dyDescent="0.2">
      <c r="A80" s="8">
        <v>7</v>
      </c>
      <c r="B80" s="9" t="s">
        <v>185</v>
      </c>
      <c r="C80" s="2" t="s">
        <v>186</v>
      </c>
      <c r="D80" s="8" t="s">
        <v>108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 x14ac:dyDescent="0.5">
      <c r="A81" s="8"/>
      <c r="B81" s="18" t="s">
        <v>111</v>
      </c>
      <c r="C81" s="19">
        <v>7</v>
      </c>
      <c r="D81" s="19"/>
      <c r="E81" s="78">
        <v>3129988.9545</v>
      </c>
      <c r="F81" s="285">
        <f>SUM(F74:F80)</f>
        <v>1564994.47725</v>
      </c>
      <c r="G81" s="11"/>
    </row>
    <row r="82" spans="1:7" ht="20.100000000000001" customHeight="1" x14ac:dyDescent="0.2">
      <c r="A82" s="8"/>
      <c r="B82" s="18"/>
      <c r="C82" s="19"/>
      <c r="D82" s="19"/>
      <c r="E82" s="275"/>
      <c r="F82" s="197"/>
      <c r="G82" s="11"/>
    </row>
    <row r="83" spans="1:7" ht="20.100000000000001" customHeight="1" x14ac:dyDescent="0.2">
      <c r="A83" s="8"/>
      <c r="B83" s="18" t="s">
        <v>187</v>
      </c>
      <c r="C83" s="23"/>
      <c r="D83" s="19"/>
      <c r="E83" s="275"/>
      <c r="F83" s="197"/>
      <c r="G83" s="11"/>
    </row>
    <row r="84" spans="1:7" ht="20.100000000000001" customHeight="1" x14ac:dyDescent="0.2">
      <c r="A84" s="8">
        <v>1</v>
      </c>
      <c r="B84" s="9" t="s">
        <v>190</v>
      </c>
      <c r="C84" s="2" t="s">
        <v>130</v>
      </c>
      <c r="D84" s="8" t="s">
        <v>131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 x14ac:dyDescent="0.2">
      <c r="A85" s="8">
        <v>2</v>
      </c>
      <c r="B85" s="9" t="s">
        <v>188</v>
      </c>
      <c r="C85" s="2" t="s">
        <v>130</v>
      </c>
      <c r="D85" s="8" t="s">
        <v>131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 x14ac:dyDescent="0.2">
      <c r="A86" s="8">
        <v>3</v>
      </c>
      <c r="B86" s="12" t="s">
        <v>152</v>
      </c>
      <c r="C86" s="2" t="s">
        <v>130</v>
      </c>
      <c r="D86" s="8" t="s">
        <v>49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 x14ac:dyDescent="0.2">
      <c r="A87" s="8">
        <v>4</v>
      </c>
      <c r="B87" s="9" t="s">
        <v>193</v>
      </c>
      <c r="C87" s="2" t="s">
        <v>130</v>
      </c>
      <c r="D87" s="8" t="s">
        <v>49</v>
      </c>
      <c r="E87" s="70">
        <v>504729.22200000001</v>
      </c>
      <c r="F87" s="197">
        <f t="shared" si="5"/>
        <v>252364.611</v>
      </c>
      <c r="G87" s="11"/>
    </row>
    <row r="88" spans="1:7" ht="21.6" customHeight="1" x14ac:dyDescent="0.2">
      <c r="A88" s="8">
        <v>5</v>
      </c>
      <c r="B88" s="9" t="s">
        <v>194</v>
      </c>
      <c r="C88" s="2" t="s">
        <v>552</v>
      </c>
      <c r="D88" s="13" t="s">
        <v>534</v>
      </c>
      <c r="E88" s="185">
        <v>369177.65375</v>
      </c>
      <c r="F88" s="197">
        <f t="shared" si="5"/>
        <v>184588.826875</v>
      </c>
      <c r="G88" s="11"/>
    </row>
    <row r="89" spans="1:7" ht="21.6" customHeight="1" x14ac:dyDescent="0.2">
      <c r="A89" s="8">
        <v>6</v>
      </c>
      <c r="B89" s="9" t="s">
        <v>195</v>
      </c>
      <c r="C89" s="10" t="s">
        <v>158</v>
      </c>
      <c r="D89" s="13" t="s">
        <v>1199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 x14ac:dyDescent="0.2">
      <c r="A90" s="8">
        <v>7</v>
      </c>
      <c r="B90" s="9" t="s">
        <v>196</v>
      </c>
      <c r="C90" s="10" t="s">
        <v>156</v>
      </c>
      <c r="D90" s="13" t="s">
        <v>229</v>
      </c>
      <c r="E90" s="70">
        <v>389153.05674999999</v>
      </c>
      <c r="F90" s="197">
        <f t="shared" si="5"/>
        <v>194576.52837499999</v>
      </c>
      <c r="G90" s="11"/>
    </row>
    <row r="91" spans="1:7" ht="21.6" customHeight="1" x14ac:dyDescent="0.2">
      <c r="A91" s="8">
        <v>8</v>
      </c>
      <c r="B91" s="9" t="s">
        <v>198</v>
      </c>
      <c r="C91" s="15" t="s">
        <v>70</v>
      </c>
      <c r="D91" s="13" t="s">
        <v>137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 x14ac:dyDescent="0.2">
      <c r="A92" s="8">
        <v>9</v>
      </c>
      <c r="B92" s="9" t="s">
        <v>199</v>
      </c>
      <c r="C92" s="15" t="s">
        <v>70</v>
      </c>
      <c r="D92" s="13" t="s">
        <v>137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 x14ac:dyDescent="0.2">
      <c r="A93" s="8">
        <v>10</v>
      </c>
      <c r="B93" s="9" t="s">
        <v>202</v>
      </c>
      <c r="C93" s="2" t="s">
        <v>203</v>
      </c>
      <c r="D93" s="8" t="s">
        <v>73</v>
      </c>
      <c r="E93" s="185">
        <v>268602.07775</v>
      </c>
      <c r="F93" s="197">
        <f t="shared" si="5"/>
        <v>134301.038875</v>
      </c>
      <c r="G93" s="11"/>
    </row>
    <row r="94" spans="1:7" ht="21.6" customHeight="1" x14ac:dyDescent="0.2">
      <c r="A94" s="8">
        <v>11</v>
      </c>
      <c r="B94" s="9" t="s">
        <v>204</v>
      </c>
      <c r="C94" s="15" t="s">
        <v>205</v>
      </c>
      <c r="D94" s="13" t="s">
        <v>105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 x14ac:dyDescent="0.5">
      <c r="A95" s="8"/>
      <c r="B95" s="18" t="s">
        <v>111</v>
      </c>
      <c r="C95" s="19">
        <v>11</v>
      </c>
      <c r="D95" s="19"/>
      <c r="E95" s="78">
        <v>4407943.3822499998</v>
      </c>
      <c r="F95" s="285">
        <f>SUM(F84:F94)</f>
        <v>2203971.6911249999</v>
      </c>
      <c r="G95" s="11"/>
    </row>
    <row r="96" spans="1:7" ht="20.100000000000001" customHeight="1" x14ac:dyDescent="0.2">
      <c r="A96" s="8"/>
      <c r="B96" s="20"/>
      <c r="C96" s="19"/>
      <c r="D96" s="19"/>
      <c r="E96" s="275"/>
      <c r="F96" s="199"/>
      <c r="G96" s="11"/>
    </row>
    <row r="97" spans="1:7" ht="20.100000000000001" customHeight="1" x14ac:dyDescent="0.2">
      <c r="A97" s="8"/>
      <c r="B97" s="18" t="s">
        <v>207</v>
      </c>
      <c r="C97" s="19"/>
      <c r="D97" s="19"/>
      <c r="E97" s="275"/>
      <c r="F97" s="199"/>
      <c r="G97" s="11"/>
    </row>
    <row r="98" spans="1:7" ht="20.100000000000001" customHeight="1" x14ac:dyDescent="0.2">
      <c r="A98" s="8">
        <v>1</v>
      </c>
      <c r="B98" s="12" t="s">
        <v>208</v>
      </c>
      <c r="C98" s="2" t="s">
        <v>209</v>
      </c>
      <c r="D98" s="14" t="s">
        <v>35</v>
      </c>
      <c r="E98" s="185">
        <v>527744</v>
      </c>
      <c r="F98" s="197">
        <f>E98/2</f>
        <v>263872</v>
      </c>
      <c r="G98" s="11"/>
    </row>
    <row r="99" spans="1:7" ht="20.100000000000001" customHeight="1" x14ac:dyDescent="0.2">
      <c r="A99" s="8">
        <v>2</v>
      </c>
      <c r="B99" s="9" t="s">
        <v>211</v>
      </c>
      <c r="C99" s="2" t="s">
        <v>212</v>
      </c>
      <c r="D99" s="13" t="s">
        <v>197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 x14ac:dyDescent="0.2">
      <c r="A100" s="8">
        <v>3</v>
      </c>
      <c r="B100" s="9" t="s">
        <v>217</v>
      </c>
      <c r="C100" s="2" t="s">
        <v>218</v>
      </c>
      <c r="D100" s="13" t="s">
        <v>68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 x14ac:dyDescent="0.2">
      <c r="A101" s="8">
        <v>4</v>
      </c>
      <c r="B101" s="9" t="s">
        <v>219</v>
      </c>
      <c r="C101" s="2" t="s">
        <v>220</v>
      </c>
      <c r="D101" s="13" t="s">
        <v>73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 x14ac:dyDescent="0.5">
      <c r="A102" s="2"/>
      <c r="B102" s="18" t="s">
        <v>111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 x14ac:dyDescent="0.2">
      <c r="A103" s="2"/>
      <c r="B103" s="20"/>
      <c r="C103" s="19"/>
      <c r="D103" s="24"/>
      <c r="E103" s="275"/>
      <c r="F103" s="199"/>
      <c r="G103" s="11"/>
    </row>
    <row r="104" spans="1:7" ht="20.100000000000001" customHeight="1" x14ac:dyDescent="0.2">
      <c r="A104" s="2"/>
      <c r="B104" s="18" t="s">
        <v>221</v>
      </c>
      <c r="C104" s="2"/>
      <c r="D104" s="2"/>
      <c r="E104" s="314"/>
      <c r="F104" s="200"/>
      <c r="G104" s="11"/>
    </row>
    <row r="105" spans="1:7" ht="20.100000000000001" customHeight="1" x14ac:dyDescent="0.2">
      <c r="A105" s="2">
        <v>1</v>
      </c>
      <c r="B105" s="9" t="s">
        <v>222</v>
      </c>
      <c r="C105" s="10" t="s">
        <v>223</v>
      </c>
      <c r="D105" s="13" t="s">
        <v>115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 x14ac:dyDescent="0.2">
      <c r="A106" s="2">
        <v>2</v>
      </c>
      <c r="B106" s="9" t="s">
        <v>224</v>
      </c>
      <c r="C106" s="2" t="s">
        <v>225</v>
      </c>
      <c r="D106" s="14" t="s">
        <v>35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 x14ac:dyDescent="0.2">
      <c r="A107" s="2">
        <v>3</v>
      </c>
      <c r="B107" s="9" t="s">
        <v>226</v>
      </c>
      <c r="C107" s="2" t="s">
        <v>227</v>
      </c>
      <c r="D107" s="8" t="s">
        <v>52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 x14ac:dyDescent="0.2">
      <c r="A108" s="2">
        <v>4</v>
      </c>
      <c r="B108" s="9" t="s">
        <v>228</v>
      </c>
      <c r="C108" s="2" t="s">
        <v>227</v>
      </c>
      <c r="D108" s="8" t="s">
        <v>52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 x14ac:dyDescent="0.2">
      <c r="A109" s="2">
        <v>5</v>
      </c>
      <c r="B109" s="9" t="s">
        <v>230</v>
      </c>
      <c r="C109" s="2" t="s">
        <v>231</v>
      </c>
      <c r="D109" s="13" t="s">
        <v>554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 x14ac:dyDescent="0.2">
      <c r="A110" s="2">
        <v>6</v>
      </c>
      <c r="B110" s="16" t="s">
        <v>233</v>
      </c>
      <c r="C110" s="2" t="s">
        <v>231</v>
      </c>
      <c r="D110" s="8" t="s">
        <v>206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 x14ac:dyDescent="0.2">
      <c r="A111" s="2">
        <v>7</v>
      </c>
      <c r="B111" s="16" t="s">
        <v>234</v>
      </c>
      <c r="C111" s="2" t="s">
        <v>231</v>
      </c>
      <c r="D111" s="13" t="s">
        <v>105</v>
      </c>
      <c r="E111" s="185">
        <v>251382.295445</v>
      </c>
      <c r="F111" s="197">
        <f t="shared" si="7"/>
        <v>125691.1477225</v>
      </c>
      <c r="G111" s="11"/>
    </row>
    <row r="112" spans="1:7" ht="25.5" customHeight="1" x14ac:dyDescent="0.5">
      <c r="A112" s="2"/>
      <c r="B112" s="18" t="s">
        <v>111</v>
      </c>
      <c r="C112" s="19">
        <v>7</v>
      </c>
      <c r="D112" s="2"/>
      <c r="E112" s="315">
        <v>3275268.0801050002</v>
      </c>
      <c r="F112" s="316">
        <f>SUM(F105:F111)</f>
        <v>1637634.0400525001</v>
      </c>
      <c r="G112" s="11"/>
    </row>
    <row r="113" spans="1:7" ht="20.100000000000001" customHeight="1" x14ac:dyDescent="0.5">
      <c r="A113" s="2"/>
      <c r="B113" s="18"/>
      <c r="C113" s="19"/>
      <c r="D113" s="2"/>
      <c r="E113" s="315"/>
      <c r="F113" s="316"/>
      <c r="G113" s="11"/>
    </row>
    <row r="114" spans="1:7" ht="20.100000000000001" customHeight="1" x14ac:dyDescent="0.2">
      <c r="A114" s="8"/>
      <c r="B114" s="18" t="s">
        <v>235</v>
      </c>
      <c r="C114" s="19"/>
      <c r="D114" s="19"/>
      <c r="E114" s="275"/>
      <c r="F114" s="199"/>
      <c r="G114" s="11"/>
    </row>
    <row r="115" spans="1:7" ht="18.75" customHeight="1" x14ac:dyDescent="0.2">
      <c r="A115" s="8">
        <v>1</v>
      </c>
      <c r="B115" s="9" t="s">
        <v>236</v>
      </c>
      <c r="C115" s="2" t="s">
        <v>237</v>
      </c>
      <c r="D115" s="13" t="s">
        <v>68</v>
      </c>
      <c r="E115" s="185">
        <v>322454.07400000002</v>
      </c>
      <c r="F115" s="317">
        <f t="shared" ref="F115:F116" si="8">E115/2</f>
        <v>161227.03700000001</v>
      </c>
      <c r="G115" s="11"/>
    </row>
    <row r="116" spans="1:7" ht="20.100000000000001" customHeight="1" x14ac:dyDescent="0.2">
      <c r="A116" s="8">
        <v>2</v>
      </c>
      <c r="B116" s="9" t="s">
        <v>177</v>
      </c>
      <c r="C116" s="10" t="s">
        <v>555</v>
      </c>
      <c r="D116" s="13" t="s">
        <v>162</v>
      </c>
      <c r="E116" s="185">
        <v>284536.99849999999</v>
      </c>
      <c r="F116" s="317">
        <f t="shared" si="8"/>
        <v>142268.49924999999</v>
      </c>
      <c r="G116" s="11"/>
    </row>
    <row r="117" spans="1:7" ht="24.75" customHeight="1" x14ac:dyDescent="0.5">
      <c r="A117" s="2"/>
      <c r="B117" s="18" t="s">
        <v>111</v>
      </c>
      <c r="C117" s="19">
        <v>2</v>
      </c>
      <c r="D117" s="24"/>
      <c r="E117" s="78">
        <v>790446.84587096795</v>
      </c>
      <c r="F117" s="285">
        <f>SUM(F115:F116)</f>
        <v>303495.53625</v>
      </c>
      <c r="G117" s="11"/>
    </row>
    <row r="118" spans="1:7" ht="20.100000000000001" customHeight="1" x14ac:dyDescent="0.2">
      <c r="A118" s="2"/>
      <c r="B118" s="20"/>
      <c r="C118" s="8"/>
      <c r="D118" s="2"/>
      <c r="E118" s="278"/>
      <c r="F118" s="201"/>
      <c r="G118" s="11"/>
    </row>
    <row r="119" spans="1:7" ht="20.100000000000001" customHeight="1" x14ac:dyDescent="0.2">
      <c r="A119" s="2"/>
      <c r="B119" s="18" t="s">
        <v>250</v>
      </c>
      <c r="C119" s="19"/>
      <c r="D119" s="19"/>
      <c r="E119" s="275"/>
      <c r="F119" s="197"/>
      <c r="G119" s="11"/>
    </row>
    <row r="120" spans="1:7" ht="20.100000000000001" customHeight="1" x14ac:dyDescent="0.2">
      <c r="A120" s="2">
        <v>1</v>
      </c>
      <c r="B120" s="9" t="s">
        <v>251</v>
      </c>
      <c r="C120" s="10" t="s">
        <v>252</v>
      </c>
      <c r="D120" s="13" t="s">
        <v>115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 x14ac:dyDescent="0.2">
      <c r="A121" s="2">
        <v>2</v>
      </c>
      <c r="B121" s="9" t="s">
        <v>253</v>
      </c>
      <c r="C121" s="10" t="s">
        <v>254</v>
      </c>
      <c r="D121" s="13" t="s">
        <v>192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 x14ac:dyDescent="0.2">
      <c r="A122" s="2">
        <v>3</v>
      </c>
      <c r="B122" s="12" t="s">
        <v>255</v>
      </c>
      <c r="C122" s="10" t="s">
        <v>256</v>
      </c>
      <c r="D122" s="13" t="s">
        <v>131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 x14ac:dyDescent="0.2">
      <c r="A123" s="2">
        <v>4</v>
      </c>
      <c r="B123" s="12" t="s">
        <v>556</v>
      </c>
      <c r="C123" s="10" t="s">
        <v>256</v>
      </c>
      <c r="D123" s="13" t="s">
        <v>49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 x14ac:dyDescent="0.2">
      <c r="A124" s="2">
        <v>5</v>
      </c>
      <c r="B124" s="9" t="s">
        <v>257</v>
      </c>
      <c r="C124" s="10" t="s">
        <v>258</v>
      </c>
      <c r="D124" s="13" t="s">
        <v>46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 x14ac:dyDescent="0.2">
      <c r="A125" s="2">
        <v>6</v>
      </c>
      <c r="B125" s="9" t="s">
        <v>259</v>
      </c>
      <c r="C125" s="10" t="s">
        <v>489</v>
      </c>
      <c r="D125" s="13" t="s">
        <v>197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 x14ac:dyDescent="0.2">
      <c r="A126" s="2">
        <v>7</v>
      </c>
      <c r="B126" s="9" t="s">
        <v>260</v>
      </c>
      <c r="C126" s="10" t="s">
        <v>258</v>
      </c>
      <c r="D126" s="13" t="s">
        <v>197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 x14ac:dyDescent="0.2">
      <c r="A127" s="2">
        <v>8</v>
      </c>
      <c r="B127" s="9" t="s">
        <v>263</v>
      </c>
      <c r="C127" s="10" t="s">
        <v>264</v>
      </c>
      <c r="D127" s="8" t="s">
        <v>87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 x14ac:dyDescent="0.2">
      <c r="A128" s="2">
        <v>9</v>
      </c>
      <c r="B128" s="16" t="s">
        <v>265</v>
      </c>
      <c r="C128" s="10" t="s">
        <v>266</v>
      </c>
      <c r="D128" s="13" t="s">
        <v>108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 x14ac:dyDescent="0.2">
      <c r="A129" s="2">
        <v>10</v>
      </c>
      <c r="B129" s="16" t="s">
        <v>267</v>
      </c>
      <c r="C129" s="10" t="s">
        <v>262</v>
      </c>
      <c r="D129" s="13" t="s">
        <v>108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 x14ac:dyDescent="0.2">
      <c r="A130" s="2"/>
      <c r="B130" s="18" t="s">
        <v>111</v>
      </c>
      <c r="C130" s="24" t="s">
        <v>490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 x14ac:dyDescent="0.2">
      <c r="A131" s="2"/>
      <c r="B131" s="20"/>
      <c r="C131" s="24"/>
      <c r="D131" s="13"/>
      <c r="E131" s="275"/>
      <c r="F131" s="199"/>
      <c r="G131" s="11"/>
    </row>
    <row r="132" spans="1:7" ht="20.100000000000001" customHeight="1" x14ac:dyDescent="0.2">
      <c r="A132" s="2"/>
      <c r="B132" s="18" t="s">
        <v>270</v>
      </c>
      <c r="C132" s="10"/>
      <c r="D132" s="13"/>
      <c r="E132" s="185"/>
      <c r="F132" s="197"/>
      <c r="G132" s="11"/>
    </row>
    <row r="133" spans="1:7" ht="20.100000000000001" customHeight="1" x14ac:dyDescent="0.2">
      <c r="A133" s="25">
        <v>1</v>
      </c>
      <c r="B133" s="9" t="s">
        <v>557</v>
      </c>
      <c r="C133" s="10" t="s">
        <v>558</v>
      </c>
      <c r="D133" s="13" t="s">
        <v>115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 x14ac:dyDescent="0.2">
      <c r="A134" s="25">
        <v>2</v>
      </c>
      <c r="B134" s="9" t="s">
        <v>559</v>
      </c>
      <c r="C134" s="10" t="s">
        <v>560</v>
      </c>
      <c r="D134" s="13" t="s">
        <v>154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 x14ac:dyDescent="0.2">
      <c r="A135" s="25">
        <v>3</v>
      </c>
      <c r="B135" s="12" t="s">
        <v>274</v>
      </c>
      <c r="C135" s="2" t="s">
        <v>275</v>
      </c>
      <c r="D135" s="14" t="s">
        <v>35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 x14ac:dyDescent="0.2">
      <c r="A136" s="25">
        <v>4</v>
      </c>
      <c r="B136" s="9" t="s">
        <v>276</v>
      </c>
      <c r="C136" s="10" t="s">
        <v>561</v>
      </c>
      <c r="D136" s="13" t="s">
        <v>176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 x14ac:dyDescent="0.2">
      <c r="A137" s="25">
        <v>5</v>
      </c>
      <c r="B137" s="9" t="s">
        <v>278</v>
      </c>
      <c r="C137" s="2" t="s">
        <v>562</v>
      </c>
      <c r="D137" s="13" t="s">
        <v>176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 x14ac:dyDescent="0.2">
      <c r="A138" s="25">
        <v>6</v>
      </c>
      <c r="B138" s="9" t="s">
        <v>280</v>
      </c>
      <c r="C138" s="2" t="s">
        <v>562</v>
      </c>
      <c r="D138" s="13" t="s">
        <v>176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 x14ac:dyDescent="0.2">
      <c r="A139" s="25">
        <v>7</v>
      </c>
      <c r="B139" s="9" t="s">
        <v>213</v>
      </c>
      <c r="C139" s="10" t="s">
        <v>563</v>
      </c>
      <c r="D139" s="13" t="s">
        <v>162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 x14ac:dyDescent="0.2">
      <c r="A140" s="25">
        <v>8</v>
      </c>
      <c r="B140" s="9" t="s">
        <v>281</v>
      </c>
      <c r="C140" s="10" t="s">
        <v>563</v>
      </c>
      <c r="D140" s="13" t="s">
        <v>162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 x14ac:dyDescent="0.2">
      <c r="A141" s="25">
        <v>9</v>
      </c>
      <c r="B141" s="9" t="s">
        <v>282</v>
      </c>
      <c r="C141" s="2" t="s">
        <v>564</v>
      </c>
      <c r="D141" s="13" t="s">
        <v>162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 x14ac:dyDescent="0.2">
      <c r="A142" s="25">
        <v>10</v>
      </c>
      <c r="B142" s="9" t="s">
        <v>284</v>
      </c>
      <c r="C142" s="10" t="s">
        <v>285</v>
      </c>
      <c r="D142" s="13" t="s">
        <v>68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 x14ac:dyDescent="0.2">
      <c r="A143" s="25">
        <v>11</v>
      </c>
      <c r="B143" s="9" t="s">
        <v>286</v>
      </c>
      <c r="C143" s="10" t="s">
        <v>287</v>
      </c>
      <c r="D143" s="13" t="s">
        <v>137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 x14ac:dyDescent="0.2">
      <c r="A144" s="25">
        <v>12</v>
      </c>
      <c r="B144" s="9" t="s">
        <v>60</v>
      </c>
      <c r="C144" s="10" t="s">
        <v>565</v>
      </c>
      <c r="D144" s="13" t="s">
        <v>162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 x14ac:dyDescent="0.2">
      <c r="A145" s="25">
        <v>13</v>
      </c>
      <c r="B145" s="16" t="s">
        <v>288</v>
      </c>
      <c r="C145" s="2" t="s">
        <v>289</v>
      </c>
      <c r="D145" s="13" t="s">
        <v>137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 x14ac:dyDescent="0.2">
      <c r="A146" s="25">
        <v>14</v>
      </c>
      <c r="B146" s="9" t="s">
        <v>290</v>
      </c>
      <c r="C146" s="2" t="s">
        <v>566</v>
      </c>
      <c r="D146" s="13" t="s">
        <v>76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 x14ac:dyDescent="0.2">
      <c r="A147" s="25">
        <v>15</v>
      </c>
      <c r="B147" s="9" t="s">
        <v>291</v>
      </c>
      <c r="C147" s="2" t="s">
        <v>566</v>
      </c>
      <c r="D147" s="13" t="s">
        <v>119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 x14ac:dyDescent="0.2">
      <c r="A148" s="25">
        <v>16</v>
      </c>
      <c r="B148" s="9" t="s">
        <v>293</v>
      </c>
      <c r="C148" s="2" t="s">
        <v>566</v>
      </c>
      <c r="D148" s="13" t="s">
        <v>119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 x14ac:dyDescent="0.2">
      <c r="A149" s="25">
        <v>17</v>
      </c>
      <c r="B149" s="9" t="s">
        <v>294</v>
      </c>
      <c r="C149" s="10" t="s">
        <v>295</v>
      </c>
      <c r="D149" s="13" t="s">
        <v>73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 x14ac:dyDescent="0.2">
      <c r="A150" s="25">
        <v>18</v>
      </c>
      <c r="B150" s="9" t="s">
        <v>1201</v>
      </c>
      <c r="C150" s="10" t="s">
        <v>297</v>
      </c>
      <c r="D150" s="8" t="s">
        <v>96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 x14ac:dyDescent="0.2">
      <c r="A151" s="25">
        <v>19</v>
      </c>
      <c r="B151" s="9" t="s">
        <v>298</v>
      </c>
      <c r="C151" s="10" t="s">
        <v>299</v>
      </c>
      <c r="D151" s="13" t="s">
        <v>76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 x14ac:dyDescent="0.2">
      <c r="A152" s="25">
        <v>20</v>
      </c>
      <c r="B152" s="9" t="s">
        <v>301</v>
      </c>
      <c r="C152" s="10" t="s">
        <v>302</v>
      </c>
      <c r="D152" s="13" t="s">
        <v>87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 x14ac:dyDescent="0.2">
      <c r="A153" s="25">
        <v>21</v>
      </c>
      <c r="B153" s="9" t="s">
        <v>303</v>
      </c>
      <c r="C153" s="10" t="s">
        <v>304</v>
      </c>
      <c r="D153" s="13" t="s">
        <v>76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 x14ac:dyDescent="0.2">
      <c r="A154" s="25">
        <v>22</v>
      </c>
      <c r="B154" s="9" t="s">
        <v>305</v>
      </c>
      <c r="C154" s="10" t="s">
        <v>306</v>
      </c>
      <c r="D154" s="13" t="s">
        <v>87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 x14ac:dyDescent="0.2">
      <c r="A155" s="25">
        <v>23</v>
      </c>
      <c r="B155" s="16" t="s">
        <v>307</v>
      </c>
      <c r="C155" s="10" t="s">
        <v>308</v>
      </c>
      <c r="D155" s="13" t="s">
        <v>96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 x14ac:dyDescent="0.2">
      <c r="A156" s="25">
        <v>24</v>
      </c>
      <c r="B156" s="16" t="s">
        <v>312</v>
      </c>
      <c r="C156" s="10" t="s">
        <v>313</v>
      </c>
      <c r="D156" s="13" t="s">
        <v>108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 x14ac:dyDescent="0.2">
      <c r="A157" s="25">
        <v>25</v>
      </c>
      <c r="B157" s="16" t="s">
        <v>314</v>
      </c>
      <c r="C157" s="10" t="s">
        <v>315</v>
      </c>
      <c r="D157" s="13" t="s">
        <v>108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 x14ac:dyDescent="0.2">
      <c r="A158" s="25">
        <v>26</v>
      </c>
      <c r="B158" s="16" t="s">
        <v>316</v>
      </c>
      <c r="C158" s="10" t="s">
        <v>317</v>
      </c>
      <c r="D158" s="13" t="s">
        <v>108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 x14ac:dyDescent="0.2">
      <c r="A159" s="25">
        <v>27</v>
      </c>
      <c r="B159" s="16" t="s">
        <v>318</v>
      </c>
      <c r="C159" s="10" t="s">
        <v>319</v>
      </c>
      <c r="D159" s="13" t="s">
        <v>105</v>
      </c>
      <c r="E159" s="185">
        <v>176816.1</v>
      </c>
      <c r="F159" s="197">
        <f t="shared" si="10"/>
        <v>88408.05</v>
      </c>
      <c r="G159" s="11"/>
    </row>
    <row r="160" spans="1:7" ht="20.100000000000001" customHeight="1" x14ac:dyDescent="0.2">
      <c r="A160" s="25">
        <v>28</v>
      </c>
      <c r="B160" s="16" t="s">
        <v>320</v>
      </c>
      <c r="C160" s="10" t="s">
        <v>315</v>
      </c>
      <c r="D160" s="13" t="s">
        <v>108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 x14ac:dyDescent="0.2">
      <c r="A161" s="25">
        <v>29</v>
      </c>
      <c r="B161" s="9" t="s">
        <v>329</v>
      </c>
      <c r="C161" s="10" t="s">
        <v>330</v>
      </c>
      <c r="D161" s="13" t="s">
        <v>348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 x14ac:dyDescent="0.2">
      <c r="A162" s="25">
        <v>30</v>
      </c>
      <c r="B162" s="9" t="s">
        <v>332</v>
      </c>
      <c r="C162" s="10" t="s">
        <v>330</v>
      </c>
      <c r="D162" s="13" t="s">
        <v>348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 x14ac:dyDescent="0.2">
      <c r="A163" s="25">
        <v>31</v>
      </c>
      <c r="B163" s="9" t="s">
        <v>333</v>
      </c>
      <c r="C163" s="10" t="s">
        <v>330</v>
      </c>
      <c r="D163" s="13" t="s">
        <v>348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 x14ac:dyDescent="0.2">
      <c r="A164" s="25">
        <v>32</v>
      </c>
      <c r="B164" s="9" t="s">
        <v>334</v>
      </c>
      <c r="C164" s="10" t="s">
        <v>330</v>
      </c>
      <c r="D164" s="13" t="s">
        <v>348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 x14ac:dyDescent="0.2">
      <c r="A165" s="25">
        <v>33</v>
      </c>
      <c r="B165" s="9" t="s">
        <v>335</v>
      </c>
      <c r="C165" s="10" t="s">
        <v>330</v>
      </c>
      <c r="D165" s="13" t="s">
        <v>348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 x14ac:dyDescent="0.2">
      <c r="A166" s="25">
        <v>34</v>
      </c>
      <c r="B166" s="9" t="s">
        <v>336</v>
      </c>
      <c r="C166" s="10" t="s">
        <v>330</v>
      </c>
      <c r="D166" s="13" t="s">
        <v>345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 x14ac:dyDescent="0.2">
      <c r="A167" s="25">
        <v>35</v>
      </c>
      <c r="B167" s="9" t="s">
        <v>338</v>
      </c>
      <c r="C167" s="10" t="s">
        <v>330</v>
      </c>
      <c r="D167" s="13" t="s">
        <v>345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 x14ac:dyDescent="0.2">
      <c r="A168" s="25">
        <v>36</v>
      </c>
      <c r="B168" s="12" t="s">
        <v>339</v>
      </c>
      <c r="C168" s="10" t="s">
        <v>330</v>
      </c>
      <c r="D168" s="13" t="s">
        <v>345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 x14ac:dyDescent="0.2">
      <c r="A169" s="25">
        <v>37</v>
      </c>
      <c r="B169" s="9" t="s">
        <v>340</v>
      </c>
      <c r="C169" s="10" t="s">
        <v>330</v>
      </c>
      <c r="D169" s="13" t="s">
        <v>345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 x14ac:dyDescent="0.2">
      <c r="A170" s="25">
        <v>38</v>
      </c>
      <c r="B170" s="16" t="s">
        <v>341</v>
      </c>
      <c r="C170" s="10" t="s">
        <v>330</v>
      </c>
      <c r="D170" s="13" t="s">
        <v>345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 x14ac:dyDescent="0.2">
      <c r="A171" s="25">
        <v>39</v>
      </c>
      <c r="B171" s="16" t="s">
        <v>342</v>
      </c>
      <c r="C171" s="10" t="s">
        <v>330</v>
      </c>
      <c r="D171" s="13" t="s">
        <v>345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 x14ac:dyDescent="0.2">
      <c r="A172" s="25">
        <v>40</v>
      </c>
      <c r="B172" s="9" t="s">
        <v>343</v>
      </c>
      <c r="C172" s="10" t="s">
        <v>344</v>
      </c>
      <c r="D172" s="13" t="s">
        <v>351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 x14ac:dyDescent="0.2">
      <c r="A173" s="25">
        <v>41</v>
      </c>
      <c r="B173" s="9" t="s">
        <v>346</v>
      </c>
      <c r="C173" s="10" t="s">
        <v>344</v>
      </c>
      <c r="D173" s="13" t="s">
        <v>351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 x14ac:dyDescent="0.2">
      <c r="A174" s="25">
        <v>42</v>
      </c>
      <c r="B174" s="16" t="s">
        <v>347</v>
      </c>
      <c r="C174" s="10" t="s">
        <v>344</v>
      </c>
      <c r="D174" s="13" t="s">
        <v>351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 x14ac:dyDescent="0.2">
      <c r="A175" s="25">
        <v>43</v>
      </c>
      <c r="B175" s="9" t="s">
        <v>349</v>
      </c>
      <c r="C175" s="10" t="s">
        <v>350</v>
      </c>
      <c r="D175" s="13" t="s">
        <v>1202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 x14ac:dyDescent="0.2">
      <c r="A176" s="25">
        <v>44</v>
      </c>
      <c r="B176" s="9" t="s">
        <v>352</v>
      </c>
      <c r="C176" s="10" t="s">
        <v>353</v>
      </c>
      <c r="D176" s="13" t="s">
        <v>1203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 x14ac:dyDescent="0.2">
      <c r="A177" s="25">
        <v>45</v>
      </c>
      <c r="B177" s="9" t="s">
        <v>355</v>
      </c>
      <c r="C177" s="10" t="s">
        <v>353</v>
      </c>
      <c r="D177" s="13" t="s">
        <v>1203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 x14ac:dyDescent="0.2">
      <c r="A178" s="25">
        <v>46</v>
      </c>
      <c r="B178" s="9" t="s">
        <v>356</v>
      </c>
      <c r="C178" s="10" t="s">
        <v>353</v>
      </c>
      <c r="D178" s="13" t="s">
        <v>1203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 x14ac:dyDescent="0.2">
      <c r="A179" s="25">
        <v>47</v>
      </c>
      <c r="B179" s="9" t="s">
        <v>357</v>
      </c>
      <c r="C179" s="10" t="s">
        <v>353</v>
      </c>
      <c r="D179" s="13" t="s">
        <v>1203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 x14ac:dyDescent="0.2">
      <c r="A180" s="25">
        <v>48</v>
      </c>
      <c r="B180" s="9" t="s">
        <v>358</v>
      </c>
      <c r="C180" s="10" t="s">
        <v>353</v>
      </c>
      <c r="D180" s="13" t="s">
        <v>1203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 x14ac:dyDescent="0.2">
      <c r="A181" s="25">
        <v>49</v>
      </c>
      <c r="B181" s="16" t="s">
        <v>359</v>
      </c>
      <c r="C181" s="10" t="s">
        <v>353</v>
      </c>
      <c r="D181" s="13" t="s">
        <v>1203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 x14ac:dyDescent="0.2">
      <c r="A182" s="25">
        <v>50</v>
      </c>
      <c r="B182" s="16" t="s">
        <v>360</v>
      </c>
      <c r="C182" s="10" t="s">
        <v>353</v>
      </c>
      <c r="D182" s="13" t="s">
        <v>1203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 x14ac:dyDescent="0.2">
      <c r="A183" s="25">
        <v>51</v>
      </c>
      <c r="B183" s="9" t="s">
        <v>493</v>
      </c>
      <c r="C183" s="10" t="s">
        <v>350</v>
      </c>
      <c r="D183" s="13" t="s">
        <v>1203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 x14ac:dyDescent="0.2">
      <c r="A184" s="25">
        <v>52</v>
      </c>
      <c r="B184" s="9" t="s">
        <v>361</v>
      </c>
      <c r="C184" s="10" t="s">
        <v>350</v>
      </c>
      <c r="D184" s="13" t="s">
        <v>1203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 x14ac:dyDescent="0.2">
      <c r="A185" s="25">
        <v>53</v>
      </c>
      <c r="B185" s="16" t="s">
        <v>362</v>
      </c>
      <c r="C185" s="10" t="s">
        <v>363</v>
      </c>
      <c r="D185" s="13" t="s">
        <v>366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 x14ac:dyDescent="0.2">
      <c r="A186" s="25">
        <v>54</v>
      </c>
      <c r="B186" s="16" t="s">
        <v>367</v>
      </c>
      <c r="C186" s="10" t="s">
        <v>353</v>
      </c>
      <c r="D186" s="13" t="s">
        <v>371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 x14ac:dyDescent="0.2">
      <c r="A187" s="25">
        <v>55</v>
      </c>
      <c r="B187" s="16" t="s">
        <v>369</v>
      </c>
      <c r="C187" s="10" t="s">
        <v>370</v>
      </c>
      <c r="D187" s="13" t="s">
        <v>1204</v>
      </c>
      <c r="E187" s="318">
        <v>61631.996500000001</v>
      </c>
      <c r="F187" s="197">
        <f t="shared" si="10"/>
        <v>30815.998250000001</v>
      </c>
      <c r="G187" s="11"/>
    </row>
    <row r="188" spans="1:7" ht="20.100000000000001" customHeight="1" x14ac:dyDescent="0.2">
      <c r="A188" s="25">
        <v>56</v>
      </c>
      <c r="B188" s="16" t="s">
        <v>372</v>
      </c>
      <c r="C188" s="10" t="s">
        <v>370</v>
      </c>
      <c r="D188" s="13" t="s">
        <v>1204</v>
      </c>
      <c r="E188" s="318">
        <v>61631.996500000001</v>
      </c>
      <c r="F188" s="197">
        <f t="shared" si="10"/>
        <v>30815.998250000001</v>
      </c>
      <c r="G188" s="11"/>
    </row>
    <row r="189" spans="1:7" ht="20.100000000000001" customHeight="1" x14ac:dyDescent="0.2">
      <c r="A189" s="25">
        <v>57</v>
      </c>
      <c r="B189" s="16" t="s">
        <v>373</v>
      </c>
      <c r="C189" s="10" t="s">
        <v>370</v>
      </c>
      <c r="D189" s="13" t="s">
        <v>1204</v>
      </c>
      <c r="E189" s="318">
        <v>61631.996500000001</v>
      </c>
      <c r="F189" s="197">
        <f t="shared" si="10"/>
        <v>30815.998250000001</v>
      </c>
      <c r="G189" s="11"/>
    </row>
    <row r="190" spans="1:7" ht="20.100000000000001" customHeight="1" x14ac:dyDescent="0.2">
      <c r="A190" s="25">
        <v>58</v>
      </c>
      <c r="B190" s="16" t="s">
        <v>374</v>
      </c>
      <c r="C190" s="10" t="s">
        <v>375</v>
      </c>
      <c r="D190" s="13" t="s">
        <v>368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 x14ac:dyDescent="0.2">
      <c r="A191" s="25">
        <v>59</v>
      </c>
      <c r="B191" s="16" t="s">
        <v>377</v>
      </c>
      <c r="C191" s="10" t="s">
        <v>375</v>
      </c>
      <c r="D191" s="13" t="s">
        <v>368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 x14ac:dyDescent="0.5">
      <c r="A192" s="25"/>
      <c r="B192" s="6" t="s">
        <v>111</v>
      </c>
      <c r="C192" s="26" t="s">
        <v>569</v>
      </c>
      <c r="D192" s="27"/>
      <c r="E192" s="78">
        <v>11195475.7585</v>
      </c>
      <c r="F192" s="285">
        <f>SUM(F133:F191)</f>
        <v>5597737.8792500002</v>
      </c>
      <c r="G192" s="11"/>
    </row>
    <row r="193" spans="1:7" ht="19.5" customHeight="1" x14ac:dyDescent="0.2">
      <c r="A193" s="2"/>
      <c r="B193" s="28" t="s">
        <v>379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 x14ac:dyDescent="0.2">
      <c r="B194" s="31"/>
      <c r="D194" s="32"/>
      <c r="E194" s="194"/>
      <c r="F194" s="195"/>
      <c r="G194" s="33"/>
    </row>
    <row r="195" spans="1:7" ht="36.75" customHeight="1" x14ac:dyDescent="0.2">
      <c r="B195" s="31"/>
      <c r="C195" s="32"/>
      <c r="D195" s="32"/>
      <c r="E195" s="194"/>
      <c r="F195" s="33"/>
    </row>
    <row r="198" spans="1:7" ht="20.100000000000001" customHeight="1" x14ac:dyDescent="0.2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"/>
  <sheetViews>
    <sheetView workbookViewId="0">
      <selection activeCell="G25" sqref="G25"/>
    </sheetView>
  </sheetViews>
  <sheetFormatPr defaultColWidth="9.03515625" defaultRowHeight="12.75" x14ac:dyDescent="0.1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Y19"/>
  <sheetViews>
    <sheetView zoomScaleSheetLayoutView="50" workbookViewId="0">
      <pane xSplit="3" ySplit="6" topLeftCell="T7" activePane="bottomRight" state="frozen"/>
      <selection pane="bottomLeft"/>
      <selection pane="topRight"/>
      <selection pane="bottomRight" activeCell="B16" sqref="B16"/>
    </sheetView>
  </sheetViews>
  <sheetFormatPr defaultColWidth="9.16796875" defaultRowHeight="20.100000000000001" customHeight="1" x14ac:dyDescent="0.2"/>
  <cols>
    <col min="1" max="1" width="5.390625" style="1" customWidth="1"/>
    <col min="2" max="2" width="39.375" style="1" customWidth="1"/>
    <col min="3" max="3" width="26.56640625" style="1" customWidth="1"/>
    <col min="4" max="4" width="14.83203125" style="1" customWidth="1"/>
    <col min="5" max="5" width="17.80078125" style="1" customWidth="1"/>
    <col min="6" max="6" width="19.41796875" style="1" customWidth="1"/>
    <col min="7" max="7" width="16.046875" style="1" customWidth="1"/>
    <col min="8" max="8" width="18.0703125" style="1" customWidth="1"/>
    <col min="9" max="9" width="17.93359375" style="1" customWidth="1"/>
    <col min="10" max="10" width="19.95703125" style="1" customWidth="1"/>
    <col min="11" max="11" width="18.0703125" style="1" customWidth="1"/>
    <col min="12" max="12" width="18.33984375" style="1" customWidth="1"/>
    <col min="13" max="13" width="18.0703125" style="1" customWidth="1"/>
    <col min="14" max="14" width="15.640625" style="1" customWidth="1"/>
    <col min="15" max="15" width="18.33984375" style="1" customWidth="1"/>
    <col min="16" max="16" width="17.80078125" style="1" customWidth="1"/>
    <col min="17" max="18" width="19.28125" style="1" customWidth="1"/>
    <col min="19" max="19" width="20.359375" style="261" customWidth="1"/>
    <col min="20" max="20" width="16.44921875" style="1" customWidth="1"/>
    <col min="21" max="22" width="17.6640625" style="1" customWidth="1"/>
    <col min="23" max="23" width="14.5625" style="1" customWidth="1"/>
    <col min="24" max="24" width="17.80078125" style="1" customWidth="1"/>
    <col min="25" max="25" width="21.7109375" style="1" customWidth="1"/>
    <col min="26" max="16384" width="9.16796875" style="1"/>
  </cols>
  <sheetData>
    <row r="1" spans="1:25" ht="27" customHeight="1" x14ac:dyDescent="0.3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 x14ac:dyDescent="0.3">
      <c r="A2" s="61" t="s">
        <v>1192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25" ht="9.75" customHeight="1" x14ac:dyDescent="0.2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 x14ac:dyDescent="0.2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825</v>
      </c>
      <c r="H4" s="22" t="s">
        <v>826</v>
      </c>
      <c r="I4" s="184" t="s">
        <v>827</v>
      </c>
      <c r="J4" s="22" t="s">
        <v>828</v>
      </c>
      <c r="K4" s="22" t="s">
        <v>829</v>
      </c>
      <c r="L4" s="22" t="s">
        <v>830</v>
      </c>
      <c r="M4" s="184" t="s">
        <v>7</v>
      </c>
      <c r="N4" s="184" t="s">
        <v>7</v>
      </c>
      <c r="O4" s="22" t="s">
        <v>831</v>
      </c>
      <c r="P4" s="22" t="s">
        <v>831</v>
      </c>
      <c r="Q4" s="184" t="s">
        <v>8</v>
      </c>
      <c r="R4" s="297" t="s">
        <v>9</v>
      </c>
      <c r="S4" s="22" t="s">
        <v>15</v>
      </c>
      <c r="T4" s="310" t="s">
        <v>17</v>
      </c>
      <c r="U4" s="65" t="s">
        <v>1206</v>
      </c>
      <c r="V4" s="284" t="s">
        <v>1207</v>
      </c>
      <c r="W4" s="65" t="s">
        <v>503</v>
      </c>
      <c r="X4" s="284" t="s">
        <v>709</v>
      </c>
    </row>
    <row r="5" spans="1:25" ht="17.25" customHeight="1" x14ac:dyDescent="0.2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25" ht="20.100000000000001" customHeight="1" x14ac:dyDescent="0.2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25" ht="20.100000000000001" customHeight="1" x14ac:dyDescent="0.2">
      <c r="A7" s="2">
        <v>3</v>
      </c>
      <c r="B7" s="9" t="s">
        <v>47</v>
      </c>
      <c r="C7" s="2" t="s">
        <v>533</v>
      </c>
      <c r="D7" s="8" t="s">
        <v>52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8">
        <f>V7*W7</f>
        <v>284617.01750000002</v>
      </c>
    </row>
    <row r="8" spans="1:25" ht="26.25" customHeight="1" x14ac:dyDescent="0.5">
      <c r="A8" s="8"/>
      <c r="B8" s="18" t="s">
        <v>111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1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 x14ac:dyDescent="0.2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312"/>
      <c r="S9" s="274"/>
      <c r="T9" s="187"/>
      <c r="U9" s="70"/>
      <c r="V9" s="197"/>
      <c r="W9" s="187"/>
      <c r="X9" s="197"/>
      <c r="Y9" s="11"/>
    </row>
    <row r="10" spans="1:25" ht="20.100000000000001" customHeight="1" x14ac:dyDescent="0.2">
      <c r="A10" s="8"/>
      <c r="B10" s="21" t="s">
        <v>1208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2"/>
      <c r="T10" s="70"/>
      <c r="U10" s="70"/>
      <c r="V10" s="197"/>
      <c r="W10" s="70"/>
      <c r="X10" s="197"/>
      <c r="Y10" s="11"/>
    </row>
    <row r="11" spans="1:25" ht="21.6" customHeight="1" x14ac:dyDescent="0.2">
      <c r="A11" s="8">
        <v>10</v>
      </c>
      <c r="B11" s="9" t="s">
        <v>168</v>
      </c>
      <c r="C11" s="2" t="s">
        <v>139</v>
      </c>
      <c r="D11" s="8" t="s">
        <v>73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 x14ac:dyDescent="0.5">
      <c r="A12" s="8"/>
      <c r="B12" s="18" t="s">
        <v>111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 x14ac:dyDescent="0.2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6"/>
      <c r="T13" s="122"/>
      <c r="U13" s="70"/>
      <c r="V13" s="197"/>
      <c r="W13" s="122"/>
      <c r="X13" s="197"/>
      <c r="Y13" s="11"/>
    </row>
    <row r="14" spans="1:25" ht="19.5" customHeight="1" x14ac:dyDescent="0.2">
      <c r="A14" s="2"/>
      <c r="B14" s="28" t="s">
        <v>379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 x14ac:dyDescent="0.2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1"/>
      <c r="T15" s="195"/>
      <c r="U15" s="195"/>
      <c r="V15" s="195"/>
      <c r="W15" s="195"/>
      <c r="X15" s="195"/>
      <c r="Y15" s="33"/>
    </row>
    <row r="16" spans="1:25" ht="36.75" customHeight="1" x14ac:dyDescent="0.2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1"/>
      <c r="T16" s="195"/>
      <c r="U16" s="195"/>
      <c r="V16" s="195"/>
      <c r="W16" s="195"/>
      <c r="X16" s="195"/>
    </row>
    <row r="19" spans="17:18" ht="20.100000000000001" customHeight="1" x14ac:dyDescent="0.2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bottomLeft"/>
      <selection pane="topRight"/>
      <selection pane="bottomRight" activeCell="AE8" sqref="AE8:AE10"/>
    </sheetView>
  </sheetViews>
  <sheetFormatPr defaultColWidth="9.16796875" defaultRowHeight="20.100000000000001" customHeight="1" x14ac:dyDescent="0.2"/>
  <cols>
    <col min="1" max="1" width="5.390625" style="1" customWidth="1"/>
    <col min="2" max="2" width="37.08203125" style="1" customWidth="1"/>
    <col min="3" max="3" width="37.21875" style="1" customWidth="1"/>
    <col min="4" max="4" width="14.83203125" style="1" customWidth="1"/>
    <col min="5" max="5" width="17.80078125" style="1" customWidth="1"/>
    <col min="6" max="6" width="19.41796875" style="1" customWidth="1"/>
    <col min="7" max="7" width="16.046875" style="1" customWidth="1"/>
    <col min="8" max="8" width="18.0703125" style="1" customWidth="1"/>
    <col min="9" max="9" width="17.93359375" style="1" customWidth="1"/>
    <col min="10" max="10" width="19.95703125" style="1" customWidth="1"/>
    <col min="11" max="11" width="18.0703125" style="1" customWidth="1"/>
    <col min="12" max="12" width="18.33984375" style="1" customWidth="1"/>
    <col min="13" max="13" width="18.0703125" style="1" customWidth="1"/>
    <col min="14" max="14" width="15.640625" style="1" customWidth="1"/>
    <col min="15" max="15" width="18.33984375" style="1" customWidth="1"/>
    <col min="16" max="16" width="17.80078125" style="1" customWidth="1"/>
    <col min="17" max="18" width="19.28125" style="1" customWidth="1"/>
    <col min="19" max="19" width="20.359375" style="261" customWidth="1"/>
    <col min="20" max="20" width="16.44921875" style="1" customWidth="1"/>
    <col min="21" max="22" width="17.6640625" style="1" customWidth="1"/>
    <col min="23" max="23" width="14.5625" style="1" customWidth="1"/>
    <col min="24" max="24" width="17.80078125" style="1" customWidth="1"/>
    <col min="25" max="25" width="21.7109375" style="1" customWidth="1"/>
    <col min="26" max="26" width="18.87890625" style="1" customWidth="1"/>
    <col min="27" max="27" width="17.6640625" style="1" customWidth="1"/>
    <col min="28" max="28" width="15.640625" style="1" customWidth="1"/>
    <col min="29" max="29" width="18.33984375" style="1" customWidth="1"/>
    <col min="30" max="30" width="17.6640625" style="1" customWidth="1"/>
    <col min="31" max="31" width="19.8203125" style="1" customWidth="1"/>
    <col min="32" max="16384" width="9.16796875" style="1"/>
  </cols>
  <sheetData>
    <row r="1" spans="1:31" ht="27" customHeight="1" x14ac:dyDescent="0.3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 x14ac:dyDescent="0.3">
      <c r="A2" s="61" t="s">
        <v>1192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268"/>
      <c r="T2" s="63"/>
      <c r="U2" s="63"/>
      <c r="V2" s="63"/>
      <c r="W2" s="63"/>
      <c r="X2" s="63"/>
    </row>
    <row r="3" spans="1:31" ht="9.75" customHeight="1" x14ac:dyDescent="0.2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825</v>
      </c>
      <c r="H4" s="22" t="s">
        <v>826</v>
      </c>
      <c r="I4" s="184" t="s">
        <v>827</v>
      </c>
      <c r="J4" s="22" t="s">
        <v>828</v>
      </c>
      <c r="K4" s="22" t="s">
        <v>829</v>
      </c>
      <c r="L4" s="22" t="s">
        <v>830</v>
      </c>
      <c r="M4" s="184" t="s">
        <v>7</v>
      </c>
      <c r="N4" s="184" t="s">
        <v>7</v>
      </c>
      <c r="O4" s="22" t="s">
        <v>831</v>
      </c>
      <c r="P4" s="22" t="s">
        <v>831</v>
      </c>
      <c r="Q4" s="184" t="s">
        <v>8</v>
      </c>
      <c r="R4" s="297" t="s">
        <v>9</v>
      </c>
      <c r="S4" s="5" t="s">
        <v>701</v>
      </c>
      <c r="T4" s="269" t="s">
        <v>702</v>
      </c>
      <c r="U4" s="65" t="s">
        <v>703</v>
      </c>
      <c r="V4" s="65" t="s">
        <v>704</v>
      </c>
      <c r="W4" s="65" t="s">
        <v>465</v>
      </c>
      <c r="X4" s="65" t="s">
        <v>705</v>
      </c>
      <c r="Y4" s="65" t="s">
        <v>706</v>
      </c>
      <c r="Z4" s="282" t="s">
        <v>707</v>
      </c>
      <c r="AA4" s="283" t="s">
        <v>708</v>
      </c>
      <c r="AB4" s="65" t="s">
        <v>503</v>
      </c>
      <c r="AC4" s="284" t="s">
        <v>709</v>
      </c>
      <c r="AD4" s="284" t="s">
        <v>1209</v>
      </c>
      <c r="AE4" s="284" t="s">
        <v>1210</v>
      </c>
    </row>
    <row r="5" spans="1:31" ht="17.25" customHeight="1" x14ac:dyDescent="0.2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1" t="s">
        <v>20</v>
      </c>
      <c r="T5" s="67"/>
      <c r="U5" s="67"/>
      <c r="V5" s="196"/>
      <c r="W5" s="67"/>
      <c r="X5" s="196"/>
    </row>
    <row r="6" spans="1:31" ht="20.100000000000001" customHeight="1" x14ac:dyDescent="0.2">
      <c r="A6" s="7" t="s">
        <v>21</v>
      </c>
      <c r="B6" s="6" t="s">
        <v>1211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1"/>
      <c r="T6" s="67"/>
      <c r="U6" s="67"/>
      <c r="V6" s="196"/>
      <c r="W6" s="67"/>
      <c r="X6" s="196"/>
    </row>
    <row r="7" spans="1:31" ht="20.100000000000001" customHeight="1" x14ac:dyDescent="0.2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8"/>
    </row>
    <row r="8" spans="1:31" s="289" customFormat="1" ht="20.100000000000001" customHeight="1" x14ac:dyDescent="0.2">
      <c r="A8" s="290">
        <v>40</v>
      </c>
      <c r="B8" s="291" t="s">
        <v>343</v>
      </c>
      <c r="C8" s="292" t="s">
        <v>344</v>
      </c>
      <c r="D8" s="293" t="s">
        <v>351</v>
      </c>
      <c r="E8" s="294">
        <v>5428.12</v>
      </c>
      <c r="F8" s="295"/>
      <c r="G8" s="294">
        <f t="shared" ref="G8:G10" si="0">E8*300%</f>
        <v>16284.36</v>
      </c>
      <c r="H8" s="294">
        <f t="shared" ref="H8:H10" si="1">E8*7.5%</f>
        <v>407.10899999999998</v>
      </c>
      <c r="I8" s="294"/>
      <c r="J8" s="294">
        <f t="shared" ref="J8:J10" si="2">E8*50%</f>
        <v>2714.06</v>
      </c>
      <c r="K8" s="294">
        <f t="shared" ref="K8:K10" si="3">E8*350%</f>
        <v>18998.419999999998</v>
      </c>
      <c r="L8" s="294">
        <f t="shared" ref="L8:L10" si="4">E8*100%</f>
        <v>5428.12</v>
      </c>
      <c r="M8" s="295"/>
      <c r="N8" s="295">
        <f>20000</f>
        <v>20000</v>
      </c>
      <c r="O8" s="294">
        <f t="shared" ref="O8:O10" si="5">E8*10%</f>
        <v>542.81200000000001</v>
      </c>
      <c r="P8" s="294">
        <v>5000</v>
      </c>
      <c r="Q8" s="294">
        <f>7000</f>
        <v>7000</v>
      </c>
      <c r="R8" s="294">
        <f t="shared" ref="R8:R10" si="6">SUM(E8:Q8)</f>
        <v>81803.001000000004</v>
      </c>
      <c r="S8" s="299" t="s">
        <v>351</v>
      </c>
      <c r="T8" s="294">
        <f>122105</f>
        <v>122105</v>
      </c>
      <c r="U8" s="294">
        <f>T8-R8</f>
        <v>40301.999000000003</v>
      </c>
      <c r="V8" s="294"/>
      <c r="W8" s="294"/>
      <c r="X8" s="70">
        <v>4365.3307546666701</v>
      </c>
      <c r="Y8" s="294">
        <f>9152.6</f>
        <v>9152.6</v>
      </c>
      <c r="Z8" s="197">
        <f>Y8-X8</f>
        <v>4787.2692453333302</v>
      </c>
      <c r="AA8" s="303">
        <f>U8-Z8</f>
        <v>35514.729754666703</v>
      </c>
      <c r="AB8" s="304">
        <f>(11/31)+3</f>
        <v>3.3548387096774199</v>
      </c>
      <c r="AC8" s="305">
        <f>AA8*AB8</f>
        <v>119146.19014468799</v>
      </c>
      <c r="AD8" s="52">
        <f>66227.57</f>
        <v>66227.570000000007</v>
      </c>
      <c r="AE8" s="306">
        <f>AC8-AD8</f>
        <v>52918.620144688102</v>
      </c>
    </row>
    <row r="9" spans="1:31" s="289" customFormat="1" ht="20.100000000000001" customHeight="1" x14ac:dyDescent="0.2">
      <c r="A9" s="290">
        <v>41</v>
      </c>
      <c r="B9" s="291" t="s">
        <v>346</v>
      </c>
      <c r="C9" s="292" t="s">
        <v>344</v>
      </c>
      <c r="D9" s="293" t="s">
        <v>351</v>
      </c>
      <c r="E9" s="294">
        <v>5428.12</v>
      </c>
      <c r="F9" s="295"/>
      <c r="G9" s="294">
        <f t="shared" si="0"/>
        <v>16284.36</v>
      </c>
      <c r="H9" s="294">
        <f t="shared" si="1"/>
        <v>407.10899999999998</v>
      </c>
      <c r="I9" s="294"/>
      <c r="J9" s="294">
        <f t="shared" si="2"/>
        <v>2714.06</v>
      </c>
      <c r="K9" s="294">
        <f t="shared" si="3"/>
        <v>18998.419999999998</v>
      </c>
      <c r="L9" s="294">
        <f t="shared" si="4"/>
        <v>5428.12</v>
      </c>
      <c r="M9" s="295"/>
      <c r="N9" s="295">
        <f>20000</f>
        <v>20000</v>
      </c>
      <c r="O9" s="294">
        <f t="shared" si="5"/>
        <v>542.81200000000001</v>
      </c>
      <c r="P9" s="294">
        <v>5000</v>
      </c>
      <c r="Q9" s="294">
        <f>7000</f>
        <v>7000</v>
      </c>
      <c r="R9" s="294">
        <f t="shared" si="6"/>
        <v>81803.001000000004</v>
      </c>
      <c r="S9" s="299" t="s">
        <v>351</v>
      </c>
      <c r="T9" s="294">
        <f t="shared" ref="T9:T10" si="7">122105</f>
        <v>122105</v>
      </c>
      <c r="U9" s="294">
        <f t="shared" ref="U9:U10" si="8">T9-R9</f>
        <v>40301.999000000003</v>
      </c>
      <c r="V9" s="294"/>
      <c r="W9" s="294"/>
      <c r="X9" s="70">
        <f>4365.33075466667</f>
        <v>4365.3307546666701</v>
      </c>
      <c r="Y9" s="294">
        <f t="shared" ref="Y9:Y10" si="9">9152.6</f>
        <v>9152.6</v>
      </c>
      <c r="Z9" s="197">
        <f t="shared" ref="Z9:Z10" si="10">Y9-X9</f>
        <v>4787.2692453333302</v>
      </c>
      <c r="AA9" s="303">
        <f t="shared" ref="AA9:AA10" si="11">U9-Z9</f>
        <v>35514.729754666703</v>
      </c>
      <c r="AB9" s="304">
        <f>(17/31)+2</f>
        <v>2.54838709677419</v>
      </c>
      <c r="AC9" s="305">
        <f t="shared" ref="AC9:AC10" si="12">AA9*AB9</f>
        <v>90505.279052215003</v>
      </c>
      <c r="AD9" s="197">
        <v>44151.71</v>
      </c>
      <c r="AE9" s="306">
        <f t="shared" ref="AE9:AE10" si="13">AC9-AD9</f>
        <v>46353.569052215003</v>
      </c>
    </row>
    <row r="10" spans="1:31" s="289" customFormat="1" ht="20.100000000000001" customHeight="1" x14ac:dyDescent="0.2">
      <c r="A10" s="290">
        <v>42</v>
      </c>
      <c r="B10" s="296" t="s">
        <v>347</v>
      </c>
      <c r="C10" s="292" t="s">
        <v>344</v>
      </c>
      <c r="D10" s="293" t="s">
        <v>351</v>
      </c>
      <c r="E10" s="294">
        <v>5598.92</v>
      </c>
      <c r="F10" s="295"/>
      <c r="G10" s="294">
        <f t="shared" si="0"/>
        <v>16796.759999999998</v>
      </c>
      <c r="H10" s="294">
        <f t="shared" si="1"/>
        <v>419.91899999999998</v>
      </c>
      <c r="I10" s="294"/>
      <c r="J10" s="294">
        <f t="shared" si="2"/>
        <v>2799.46</v>
      </c>
      <c r="K10" s="294">
        <f t="shared" si="3"/>
        <v>19596.22</v>
      </c>
      <c r="L10" s="294">
        <f t="shared" si="4"/>
        <v>5598.92</v>
      </c>
      <c r="M10" s="295"/>
      <c r="N10" s="295">
        <f>20000</f>
        <v>20000</v>
      </c>
      <c r="O10" s="294">
        <f t="shared" si="5"/>
        <v>559.89200000000005</v>
      </c>
      <c r="P10" s="294">
        <v>5000</v>
      </c>
      <c r="Q10" s="294">
        <f>7000</f>
        <v>7000</v>
      </c>
      <c r="R10" s="294">
        <f t="shared" si="6"/>
        <v>83370.091</v>
      </c>
      <c r="S10" s="299" t="s">
        <v>351</v>
      </c>
      <c r="T10" s="294">
        <f t="shared" si="7"/>
        <v>122105</v>
      </c>
      <c r="U10" s="294">
        <f t="shared" si="8"/>
        <v>38734.909</v>
      </c>
      <c r="V10" s="294"/>
      <c r="W10" s="294"/>
      <c r="X10" s="70">
        <v>4504.4109200000003</v>
      </c>
      <c r="Y10" s="294">
        <f t="shared" si="9"/>
        <v>9152.6</v>
      </c>
      <c r="Z10" s="197">
        <f t="shared" si="10"/>
        <v>4648.1890800000001</v>
      </c>
      <c r="AA10" s="303">
        <f t="shared" si="11"/>
        <v>34086.719920000003</v>
      </c>
      <c r="AB10" s="304">
        <v>9</v>
      </c>
      <c r="AC10" s="305">
        <f t="shared" si="12"/>
        <v>306780.47928000003</v>
      </c>
      <c r="AD10" s="197">
        <v>216693.09</v>
      </c>
      <c r="AE10" s="306">
        <f t="shared" si="13"/>
        <v>90087.389280000003</v>
      </c>
    </row>
    <row r="11" spans="1:31" s="289" customFormat="1" ht="20.100000000000001" customHeight="1" x14ac:dyDescent="0.2">
      <c r="A11" s="290"/>
      <c r="B11" s="296"/>
      <c r="C11" s="292"/>
      <c r="D11" s="293"/>
      <c r="E11" s="294"/>
      <c r="F11" s="295"/>
      <c r="G11" s="294"/>
      <c r="H11" s="294"/>
      <c r="I11" s="294"/>
      <c r="J11" s="294"/>
      <c r="K11" s="294"/>
      <c r="L11" s="294"/>
      <c r="M11" s="295"/>
      <c r="N11" s="295"/>
      <c r="O11" s="294"/>
      <c r="P11" s="294"/>
      <c r="Q11" s="294"/>
      <c r="R11" s="294"/>
      <c r="S11" s="294"/>
      <c r="T11" s="294"/>
      <c r="U11" s="294"/>
      <c r="V11" s="294"/>
      <c r="W11" s="300"/>
      <c r="X11" s="301"/>
      <c r="Y11" s="300"/>
      <c r="Z11" s="307"/>
      <c r="AA11" s="308"/>
      <c r="AE11" s="309">
        <f>SUM(AE8:AE10)</f>
        <v>189359.578476903</v>
      </c>
    </row>
    <row r="12" spans="1:31" ht="21.6" customHeight="1" x14ac:dyDescent="0.2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9" customFormat="1" ht="20.100000000000001" customHeight="1" x14ac:dyDescent="0.2">
      <c r="A13" s="290">
        <v>40</v>
      </c>
      <c r="B13" s="291" t="s">
        <v>343</v>
      </c>
      <c r="C13" s="292" t="s">
        <v>344</v>
      </c>
      <c r="D13" s="293" t="s">
        <v>351</v>
      </c>
      <c r="E13" s="294">
        <f>8730.79</f>
        <v>8730.7900000000009</v>
      </c>
      <c r="F13" s="295"/>
      <c r="G13" s="294">
        <f t="shared" ref="G13:G15" si="14">E13*300%</f>
        <v>26192.37</v>
      </c>
      <c r="H13" s="294">
        <f t="shared" ref="H13:H15" si="15">E13*7.5%</f>
        <v>654.80925000000002</v>
      </c>
      <c r="I13" s="294"/>
      <c r="J13" s="294">
        <f t="shared" ref="J13:J15" si="16">E13*50%</f>
        <v>4365.3950000000004</v>
      </c>
      <c r="K13" s="294">
        <f t="shared" ref="K13:K15" si="17">E13*350%</f>
        <v>30557.764999999999</v>
      </c>
      <c r="L13" s="294">
        <f t="shared" ref="L13:L15" si="18">E13*100%</f>
        <v>8730.7900000000009</v>
      </c>
      <c r="M13" s="295"/>
      <c r="N13" s="295">
        <v>30000</v>
      </c>
      <c r="O13" s="294">
        <f t="shared" ref="O13:O15" si="19">E13*10%</f>
        <v>873.07899999999995</v>
      </c>
      <c r="P13" s="294">
        <v>5000</v>
      </c>
      <c r="Q13" s="294">
        <f>7000</f>
        <v>7000</v>
      </c>
      <c r="R13" s="294">
        <f t="shared" ref="R13:R14" si="20">SUM(E13:Q13)</f>
        <v>122104.99825</v>
      </c>
      <c r="S13" s="294"/>
      <c r="T13" s="294">
        <f>10000+5000+5000</f>
        <v>20000</v>
      </c>
      <c r="U13" s="294">
        <f>15625</f>
        <v>15625</v>
      </c>
      <c r="V13" s="294"/>
      <c r="W13" s="294">
        <f>[16]PROMOTIONS!$X$42</f>
        <v>8312.59</v>
      </c>
      <c r="X13" s="302">
        <f t="shared" ref="X13:X15" si="21">W13+V13+U13+T13+S13</f>
        <v>43937.59</v>
      </c>
      <c r="Y13" s="294">
        <v>106043.967849548</v>
      </c>
      <c r="Z13" s="197">
        <f t="shared" ref="Z13:Z15" si="22">R13-X13</f>
        <v>78167.408249999993</v>
      </c>
      <c r="AA13" s="308"/>
    </row>
    <row r="14" spans="1:31" s="289" customFormat="1" ht="20.100000000000001" customHeight="1" x14ac:dyDescent="0.2">
      <c r="A14" s="290">
        <v>41</v>
      </c>
      <c r="B14" s="291" t="s">
        <v>346</v>
      </c>
      <c r="C14" s="292" t="s">
        <v>344</v>
      </c>
      <c r="D14" s="293" t="s">
        <v>351</v>
      </c>
      <c r="E14" s="294">
        <f t="shared" ref="E14:E15" si="23">8730.79</f>
        <v>8730.7900000000009</v>
      </c>
      <c r="F14" s="295"/>
      <c r="G14" s="294">
        <f t="shared" si="14"/>
        <v>26192.37</v>
      </c>
      <c r="H14" s="294">
        <f t="shared" si="15"/>
        <v>654.80925000000002</v>
      </c>
      <c r="I14" s="294"/>
      <c r="J14" s="294">
        <f t="shared" si="16"/>
        <v>4365.3950000000004</v>
      </c>
      <c r="K14" s="294">
        <f t="shared" si="17"/>
        <v>30557.764999999999</v>
      </c>
      <c r="L14" s="294">
        <f t="shared" si="18"/>
        <v>8730.7900000000009</v>
      </c>
      <c r="M14" s="295"/>
      <c r="N14" s="295">
        <v>30000</v>
      </c>
      <c r="O14" s="294">
        <f t="shared" si="19"/>
        <v>873.07899999999995</v>
      </c>
      <c r="P14" s="294">
        <v>5000</v>
      </c>
      <c r="Q14" s="294">
        <f>7000</f>
        <v>7000</v>
      </c>
      <c r="R14" s="294">
        <f t="shared" si="20"/>
        <v>122104.99825</v>
      </c>
      <c r="S14" s="294"/>
      <c r="T14" s="294">
        <v>20000</v>
      </c>
      <c r="U14" s="294">
        <v>18333.330000000002</v>
      </c>
      <c r="V14" s="294"/>
      <c r="W14" s="294">
        <f>[16]PROMOTIONS!$X$42</f>
        <v>8312.59</v>
      </c>
      <c r="X14" s="302">
        <f t="shared" si="21"/>
        <v>46645.919999999998</v>
      </c>
      <c r="Y14" s="294">
        <v>80609.452233032207</v>
      </c>
      <c r="Z14" s="197">
        <f t="shared" si="22"/>
        <v>75459.078250000006</v>
      </c>
      <c r="AA14" s="308"/>
    </row>
    <row r="15" spans="1:31" s="289" customFormat="1" ht="20.100000000000001" customHeight="1" x14ac:dyDescent="0.2">
      <c r="A15" s="290">
        <v>42</v>
      </c>
      <c r="B15" s="296" t="s">
        <v>347</v>
      </c>
      <c r="C15" s="292" t="s">
        <v>344</v>
      </c>
      <c r="D15" s="293" t="s">
        <v>351</v>
      </c>
      <c r="E15" s="294">
        <f t="shared" si="23"/>
        <v>8730.7900000000009</v>
      </c>
      <c r="F15" s="295"/>
      <c r="G15" s="294">
        <f t="shared" si="14"/>
        <v>26192.37</v>
      </c>
      <c r="H15" s="294">
        <f t="shared" si="15"/>
        <v>654.80925000000002</v>
      </c>
      <c r="I15" s="294"/>
      <c r="J15" s="294">
        <f t="shared" si="16"/>
        <v>4365.3950000000004</v>
      </c>
      <c r="K15" s="294">
        <f t="shared" si="17"/>
        <v>30557.764999999999</v>
      </c>
      <c r="L15" s="294">
        <f t="shared" si="18"/>
        <v>8730.7900000000009</v>
      </c>
      <c r="M15" s="295"/>
      <c r="N15" s="295">
        <v>30000</v>
      </c>
      <c r="O15" s="294">
        <f t="shared" si="19"/>
        <v>873.07899999999995</v>
      </c>
      <c r="P15" s="294">
        <v>5000</v>
      </c>
      <c r="Q15" s="294">
        <f>7000</f>
        <v>7000</v>
      </c>
      <c r="R15" s="294">
        <f t="shared" ref="R15" si="24">SUM(E15:Q15)</f>
        <v>122104.99825</v>
      </c>
      <c r="S15" s="294"/>
      <c r="T15" s="294">
        <f>3000+5000+5000</f>
        <v>13000</v>
      </c>
      <c r="U15" s="294">
        <f>44000</f>
        <v>44000</v>
      </c>
      <c r="V15" s="294"/>
      <c r="W15" s="294">
        <f>[16]PROMOTIONS!$X$42</f>
        <v>8312.59</v>
      </c>
      <c r="X15" s="302">
        <f t="shared" si="21"/>
        <v>65312.59</v>
      </c>
      <c r="Y15" s="294">
        <v>239903.583693333</v>
      </c>
      <c r="Z15" s="197">
        <f t="shared" si="22"/>
        <v>56792.40825</v>
      </c>
      <c r="AA15" s="308"/>
    </row>
    <row r="16" spans="1:31" ht="19.5" customHeight="1" x14ac:dyDescent="0.2">
      <c r="A16" s="2"/>
      <c r="B16" s="28" t="s">
        <v>379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 x14ac:dyDescent="0.2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1"/>
      <c r="T17" s="195"/>
      <c r="U17" s="195"/>
      <c r="V17" s="195"/>
      <c r="W17" s="195"/>
      <c r="X17" s="195"/>
      <c r="Y17" s="33"/>
    </row>
    <row r="18" spans="1:27" ht="36.75" customHeight="1" x14ac:dyDescent="0.2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1"/>
      <c r="T18" s="195"/>
      <c r="U18" s="195"/>
      <c r="V18" s="195"/>
      <c r="W18" s="195"/>
      <c r="X18" s="195"/>
    </row>
    <row r="21" spans="1:27" s="261" customFormat="1" ht="20.10000000000000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"/>
  <sheetViews>
    <sheetView workbookViewId="0">
      <selection activeCell="K22" sqref="K22"/>
    </sheetView>
  </sheetViews>
  <sheetFormatPr defaultColWidth="9.03515625" defaultRowHeight="12.75" x14ac:dyDescent="0.1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C52"/>
  <sheetViews>
    <sheetView view="pageBreakPreview" zoomScale="50" zoomScaleNormal="100" workbookViewId="0">
      <pane xSplit="3" ySplit="6" topLeftCell="D24" activePane="bottomRight" state="frozen"/>
      <selection pane="bottomLeft"/>
      <selection pane="topRight"/>
      <selection pane="bottomRight" activeCell="A42" sqref="A42:XFD44"/>
    </sheetView>
  </sheetViews>
  <sheetFormatPr defaultColWidth="9.16796875" defaultRowHeight="20.100000000000001" customHeight="1" x14ac:dyDescent="0.2"/>
  <cols>
    <col min="1" max="1" width="5.390625" style="1" customWidth="1"/>
    <col min="2" max="2" width="39.375" style="1" customWidth="1"/>
    <col min="3" max="3" width="26.56640625" style="1" customWidth="1"/>
    <col min="4" max="4" width="14.83203125" style="1" customWidth="1"/>
    <col min="5" max="5" width="17.80078125" style="1" customWidth="1"/>
    <col min="6" max="6" width="19.41796875" style="1" customWidth="1"/>
    <col min="7" max="7" width="16.046875" style="1" customWidth="1"/>
    <col min="8" max="8" width="18.0703125" style="1" customWidth="1"/>
    <col min="9" max="9" width="17.93359375" style="1" customWidth="1"/>
    <col min="10" max="10" width="19.95703125" style="1" customWidth="1"/>
    <col min="11" max="11" width="18.0703125" style="1" customWidth="1"/>
    <col min="12" max="12" width="18.33984375" style="1" customWidth="1"/>
    <col min="13" max="13" width="18.0703125" style="1" customWidth="1"/>
    <col min="14" max="14" width="15.640625" style="1" customWidth="1"/>
    <col min="15" max="15" width="18.33984375" style="1" customWidth="1"/>
    <col min="16" max="16" width="17.80078125" style="1" customWidth="1"/>
    <col min="17" max="20" width="19.28125" style="1" customWidth="1"/>
    <col min="21" max="21" width="14.83203125" style="1" customWidth="1"/>
    <col min="22" max="22" width="13.6171875" style="1" customWidth="1"/>
    <col min="23" max="23" width="20.359375" style="261" customWidth="1"/>
    <col min="24" max="24" width="16.44921875" style="1" customWidth="1"/>
    <col min="25" max="26" width="17.6640625" style="1" customWidth="1"/>
    <col min="27" max="27" width="11.19140625" style="1" customWidth="1"/>
    <col min="28" max="28" width="17.80078125" style="1" customWidth="1"/>
    <col min="29" max="29" width="21.7109375" style="1" customWidth="1"/>
    <col min="30" max="16384" width="9.16796875" style="1"/>
  </cols>
  <sheetData>
    <row r="1" spans="1:29" ht="27" customHeight="1" x14ac:dyDescent="0.3">
      <c r="A1" s="936" t="s">
        <v>0</v>
      </c>
      <c r="B1" s="936"/>
      <c r="C1" s="936"/>
      <c r="D1" s="936"/>
      <c r="E1" s="936"/>
      <c r="F1" s="936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 x14ac:dyDescent="0.3">
      <c r="A2" s="61" t="s">
        <v>1212</v>
      </c>
      <c r="B2" s="62"/>
      <c r="C2" s="61"/>
      <c r="D2" s="61"/>
      <c r="E2" s="182"/>
      <c r="F2" s="18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63"/>
      <c r="R2" s="63"/>
      <c r="S2" s="63"/>
      <c r="T2" s="63"/>
      <c r="U2" s="63"/>
      <c r="V2" s="63"/>
      <c r="W2" s="268"/>
      <c r="X2" s="63"/>
      <c r="Y2" s="63"/>
      <c r="Z2" s="63"/>
      <c r="AA2" s="63"/>
      <c r="AB2" s="63"/>
    </row>
    <row r="3" spans="1:29" ht="9.75" customHeight="1" x14ac:dyDescent="0.2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 x14ac:dyDescent="0.2">
      <c r="A4" s="2"/>
      <c r="B4" s="4" t="s">
        <v>2</v>
      </c>
      <c r="C4" s="4" t="s">
        <v>3</v>
      </c>
      <c r="D4" s="5" t="s">
        <v>1193</v>
      </c>
      <c r="E4" s="65" t="s">
        <v>5</v>
      </c>
      <c r="F4" s="19" t="s">
        <v>825</v>
      </c>
      <c r="G4" s="19" t="s">
        <v>826</v>
      </c>
      <c r="H4" s="65" t="s">
        <v>827</v>
      </c>
      <c r="I4" s="19" t="s">
        <v>828</v>
      </c>
      <c r="J4" s="19" t="s">
        <v>829</v>
      </c>
      <c r="K4" s="19" t="s">
        <v>830</v>
      </c>
      <c r="L4" s="65" t="s">
        <v>7</v>
      </c>
      <c r="M4" s="65" t="s">
        <v>7</v>
      </c>
      <c r="N4" s="19" t="s">
        <v>831</v>
      </c>
      <c r="O4" s="19" t="s">
        <v>831</v>
      </c>
      <c r="P4" s="65" t="s">
        <v>8</v>
      </c>
      <c r="Q4" s="269" t="s">
        <v>700</v>
      </c>
      <c r="R4" s="5" t="s">
        <v>701</v>
      </c>
      <c r="S4" s="269" t="s">
        <v>702</v>
      </c>
      <c r="T4" s="65" t="s">
        <v>703</v>
      </c>
      <c r="U4" s="65" t="s">
        <v>704</v>
      </c>
      <c r="V4" s="65" t="s">
        <v>465</v>
      </c>
      <c r="W4" s="65" t="s">
        <v>705</v>
      </c>
      <c r="X4" s="65" t="s">
        <v>706</v>
      </c>
      <c r="Y4" s="282" t="s">
        <v>707</v>
      </c>
      <c r="Z4" s="283" t="s">
        <v>708</v>
      </c>
      <c r="AA4" s="65" t="s">
        <v>503</v>
      </c>
      <c r="AB4" s="284" t="s">
        <v>709</v>
      </c>
    </row>
    <row r="5" spans="1:29" ht="17.25" customHeight="1" x14ac:dyDescent="0.2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70" t="s">
        <v>20</v>
      </c>
      <c r="R5" s="6"/>
      <c r="S5" s="270" t="s">
        <v>20</v>
      </c>
      <c r="T5" s="67"/>
      <c r="U5" s="67" t="s">
        <v>20</v>
      </c>
      <c r="V5" s="67"/>
      <c r="W5" s="271" t="s">
        <v>20</v>
      </c>
      <c r="X5" s="67"/>
      <c r="Y5" s="67"/>
      <c r="Z5" s="196"/>
      <c r="AA5" s="67"/>
      <c r="AB5" s="196"/>
    </row>
    <row r="6" spans="1:29" ht="20.100000000000001" customHeight="1" x14ac:dyDescent="0.2">
      <c r="A6" s="7" t="s">
        <v>21</v>
      </c>
      <c r="B6" s="6" t="s">
        <v>22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70"/>
      <c r="R6" s="6"/>
      <c r="S6" s="270"/>
      <c r="T6" s="67"/>
      <c r="U6" s="67"/>
      <c r="V6" s="67"/>
      <c r="W6" s="271"/>
      <c r="X6" s="67"/>
      <c r="Y6" s="67"/>
      <c r="Z6" s="196"/>
      <c r="AA6" s="67"/>
      <c r="AB6" s="196"/>
    </row>
    <row r="7" spans="1:29" ht="18.75" customHeight="1" x14ac:dyDescent="0.2">
      <c r="A7" s="8">
        <v>1</v>
      </c>
      <c r="B7" s="16" t="s">
        <v>82</v>
      </c>
      <c r="C7" s="10" t="s">
        <v>1213</v>
      </c>
      <c r="D7" s="13" t="s">
        <v>206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96</v>
      </c>
      <c r="S7" s="185">
        <f>'SALARY STRUCTURE'!H13+60000</f>
        <v>205203.66666666701</v>
      </c>
      <c r="T7" s="70">
        <f t="shared" ref="T7:T45" si="0">S7-Q7</f>
        <v>21412.639916667002</v>
      </c>
      <c r="U7" s="70"/>
      <c r="V7" s="70"/>
      <c r="W7" s="272">
        <v>18102.902732666698</v>
      </c>
      <c r="X7" s="70">
        <f>'[15]October 2023'!$Z$29</f>
        <v>21640.882666666701</v>
      </c>
      <c r="Y7" s="70">
        <f>X7-W7</f>
        <v>3537.979934</v>
      </c>
      <c r="Z7" s="197">
        <f>T7-Y7</f>
        <v>17874.659982666999</v>
      </c>
      <c r="AA7" s="70">
        <f>(19/31)+4</f>
        <v>4.6129032258064502</v>
      </c>
      <c r="AB7" s="197">
        <f>Z7*AA7</f>
        <v>82454.076694238203</v>
      </c>
      <c r="AC7" s="11"/>
    </row>
    <row r="8" spans="1:29" ht="26.25" customHeight="1" x14ac:dyDescent="0.2">
      <c r="A8" s="8"/>
      <c r="B8" s="18" t="s">
        <v>111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21412.639916667002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17874.659982666999</v>
      </c>
      <c r="AA8" s="187"/>
      <c r="AB8" s="198">
        <f>SUM(AB7:AB7)</f>
        <v>82454.076694238203</v>
      </c>
      <c r="AC8" s="11"/>
    </row>
    <row r="9" spans="1:29" ht="20.100000000000001" customHeight="1" x14ac:dyDescent="0.2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3"/>
      <c r="R9" s="8"/>
      <c r="S9" s="273"/>
      <c r="T9" s="70"/>
      <c r="U9" s="187"/>
      <c r="V9" s="187"/>
      <c r="W9" s="274"/>
      <c r="X9" s="187"/>
      <c r="Y9" s="70"/>
      <c r="Z9" s="197"/>
      <c r="AA9" s="187"/>
      <c r="AB9" s="197"/>
      <c r="AC9" s="11"/>
    </row>
    <row r="10" spans="1:29" ht="20.100000000000001" customHeight="1" x14ac:dyDescent="0.2">
      <c r="A10" s="8"/>
      <c r="B10" s="21" t="s">
        <v>125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2"/>
      <c r="X10" s="70"/>
      <c r="Y10" s="70"/>
      <c r="Z10" s="197"/>
      <c r="AA10" s="70"/>
      <c r="AB10" s="197"/>
      <c r="AC10" s="11"/>
    </row>
    <row r="11" spans="1:29" ht="20.100000000000001" customHeight="1" x14ac:dyDescent="0.2">
      <c r="A11" s="8">
        <v>2</v>
      </c>
      <c r="B11" s="9" t="s">
        <v>44</v>
      </c>
      <c r="C11" s="2" t="s">
        <v>552</v>
      </c>
      <c r="D11" s="8" t="s">
        <v>534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197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2">
        <v>49548.776186666699</v>
      </c>
      <c r="X11" s="70">
        <f>'[15]October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 x14ac:dyDescent="0.5">
      <c r="A12" s="8"/>
      <c r="B12" s="18" t="s">
        <v>111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5">
        <f t="shared" si="8"/>
        <v>22769.903849999999</v>
      </c>
      <c r="AA12" s="78"/>
      <c r="AB12" s="285">
        <f>SUM(AB11:AB11)</f>
        <v>35991.138343548402</v>
      </c>
      <c r="AC12" s="11"/>
    </row>
    <row r="13" spans="1:29" ht="20.100000000000001" customHeight="1" x14ac:dyDescent="0.2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5"/>
      <c r="R13" s="19"/>
      <c r="S13" s="275"/>
      <c r="T13" s="70">
        <f t="shared" si="0"/>
        <v>0</v>
      </c>
      <c r="U13" s="122"/>
      <c r="V13" s="122"/>
      <c r="W13" s="276"/>
      <c r="X13" s="122"/>
      <c r="Y13" s="70"/>
      <c r="Z13" s="197"/>
      <c r="AA13" s="122"/>
      <c r="AB13" s="197"/>
      <c r="AC13" s="11"/>
    </row>
    <row r="14" spans="1:29" ht="20.100000000000001" customHeight="1" x14ac:dyDescent="0.2">
      <c r="A14" s="8"/>
      <c r="B14" s="18" t="s">
        <v>151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5"/>
      <c r="R14" s="19"/>
      <c r="S14" s="275"/>
      <c r="T14" s="70">
        <f t="shared" si="0"/>
        <v>0</v>
      </c>
      <c r="U14" s="122"/>
      <c r="V14" s="122"/>
      <c r="W14" s="276"/>
      <c r="X14" s="122"/>
      <c r="Y14" s="70"/>
      <c r="Z14" s="197"/>
      <c r="AA14" s="122"/>
      <c r="AB14" s="197"/>
      <c r="AC14" s="11"/>
    </row>
    <row r="15" spans="1:29" ht="20.100000000000001" customHeight="1" x14ac:dyDescent="0.2">
      <c r="A15" s="8">
        <v>3</v>
      </c>
      <c r="B15" s="12" t="s">
        <v>152</v>
      </c>
      <c r="C15" s="2" t="s">
        <v>156</v>
      </c>
      <c r="D15" s="8" t="s">
        <v>41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49</v>
      </c>
      <c r="S15" s="185">
        <f>'SALARY STRUCTURE'!H18+160000</f>
        <v>504720.16666666698</v>
      </c>
      <c r="T15" s="70">
        <f t="shared" si="0"/>
        <v>83326.159916666904</v>
      </c>
      <c r="U15" s="70">
        <v>712.24525000000006</v>
      </c>
      <c r="V15" s="70">
        <f>837.69</f>
        <v>837.69</v>
      </c>
      <c r="W15" s="272">
        <v>59441.782042666702</v>
      </c>
      <c r="X15" s="70">
        <f>'[15]October 2023'!$Z$85</f>
        <v>75440.404746666696</v>
      </c>
      <c r="Y15" s="70">
        <f t="shared" si="4"/>
        <v>15998.622703999999</v>
      </c>
      <c r="Z15" s="197">
        <f t="shared" si="5"/>
        <v>67327.537212666895</v>
      </c>
      <c r="AA15" s="70">
        <f>9</f>
        <v>9</v>
      </c>
      <c r="AB15" s="197">
        <f t="shared" si="6"/>
        <v>605947.83491400199</v>
      </c>
      <c r="AC15" s="11"/>
    </row>
    <row r="16" spans="1:29" ht="20.100000000000001" customHeight="1" x14ac:dyDescent="0.2">
      <c r="A16" s="8">
        <v>4</v>
      </c>
      <c r="B16" s="9" t="s">
        <v>155</v>
      </c>
      <c r="C16" s="2" t="s">
        <v>158</v>
      </c>
      <c r="D16" s="8" t="s">
        <v>534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197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2">
        <v>49548.776186666699</v>
      </c>
      <c r="X16" s="70">
        <f>'[15]October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 x14ac:dyDescent="0.5">
      <c r="A17" s="8"/>
      <c r="B17" s="18" t="s">
        <v>111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5">
        <f t="shared" si="11"/>
        <v>89978.682982666898</v>
      </c>
      <c r="AA17" s="78"/>
      <c r="AB17" s="285">
        <f t="shared" si="11"/>
        <v>656364.90130529297</v>
      </c>
      <c r="AC17" s="11"/>
    </row>
    <row r="18" spans="1:29" ht="20.100000000000001" customHeight="1" x14ac:dyDescent="0.2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5"/>
      <c r="R18" s="19"/>
      <c r="S18" s="275"/>
      <c r="T18" s="70"/>
      <c r="U18" s="122"/>
      <c r="V18" s="122"/>
      <c r="W18" s="276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 x14ac:dyDescent="0.2">
      <c r="A19" s="8"/>
      <c r="B19" s="18" t="s">
        <v>169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5"/>
      <c r="R19" s="19"/>
      <c r="S19" s="275"/>
      <c r="T19" s="70"/>
      <c r="U19" s="122"/>
      <c r="V19" s="122"/>
      <c r="W19" s="276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 x14ac:dyDescent="0.2">
      <c r="A20" s="8">
        <v>5</v>
      </c>
      <c r="B20" s="9" t="s">
        <v>174</v>
      </c>
      <c r="C20" s="2" t="s">
        <v>1214</v>
      </c>
      <c r="D20" s="13" t="s">
        <v>534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197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2">
        <v>49548.776186666699</v>
      </c>
      <c r="X20" s="70">
        <f>'[15]October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 x14ac:dyDescent="0.5">
      <c r="A21" s="8"/>
      <c r="B21" s="18" t="s">
        <v>111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7">
        <f>SUM(W20:W20)</f>
        <v>49548.776186666699</v>
      </c>
      <c r="X21" s="277">
        <f t="shared" ref="X21:AB21" si="13">SUM(X20:X20)</f>
        <v>54931.226666666698</v>
      </c>
      <c r="Y21" s="277">
        <f t="shared" si="13"/>
        <v>5382.4504800000004</v>
      </c>
      <c r="Z21" s="286">
        <f t="shared" si="13"/>
        <v>22651.145769999999</v>
      </c>
      <c r="AA21" s="277"/>
      <c r="AB21" s="286">
        <f t="shared" si="13"/>
        <v>203860.31193</v>
      </c>
      <c r="AC21" s="11"/>
    </row>
    <row r="22" spans="1:29" ht="20.100000000000001" customHeight="1" x14ac:dyDescent="0.2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5"/>
      <c r="R22" s="19"/>
      <c r="S22" s="275"/>
      <c r="T22" s="70"/>
      <c r="U22" s="122"/>
      <c r="V22" s="122"/>
      <c r="W22" s="276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 x14ac:dyDescent="0.2">
      <c r="A23" s="8"/>
      <c r="B23" s="18" t="s">
        <v>187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5"/>
      <c r="R23" s="19"/>
      <c r="S23" s="275"/>
      <c r="T23" s="70"/>
      <c r="U23" s="122"/>
      <c r="V23" s="122"/>
      <c r="W23" s="276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 x14ac:dyDescent="0.2">
      <c r="A24" s="8">
        <v>6</v>
      </c>
      <c r="B24" s="9" t="s">
        <v>193</v>
      </c>
      <c r="C24" s="2" t="s">
        <v>45</v>
      </c>
      <c r="D24" s="8" t="s">
        <v>176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49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2">
        <v>58026.609434666701</v>
      </c>
      <c r="X24" s="70">
        <f>'[15]October 2023'!$Z$86</f>
        <v>75572.938666666698</v>
      </c>
      <c r="Y24" s="70">
        <f t="shared" si="4"/>
        <v>17546.329232</v>
      </c>
      <c r="Z24" s="197">
        <f t="shared" si="5"/>
        <v>73840.8021846669</v>
      </c>
      <c r="AA24" s="70">
        <v>1</v>
      </c>
      <c r="AB24" s="197">
        <f t="shared" si="6"/>
        <v>73840.8021846669</v>
      </c>
      <c r="AC24" s="11"/>
    </row>
    <row r="25" spans="1:29" ht="21.6" customHeight="1" x14ac:dyDescent="0.2">
      <c r="A25" s="8">
        <v>7</v>
      </c>
      <c r="B25" s="9" t="s">
        <v>196</v>
      </c>
      <c r="C25" s="10" t="s">
        <v>158</v>
      </c>
      <c r="D25" s="13" t="s">
        <v>1199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229</v>
      </c>
      <c r="S25" s="185">
        <f>'SALARY STRUCTURE'!H17+140000</f>
        <v>389153.41666666698</v>
      </c>
      <c r="T25" s="70">
        <f t="shared" si="0"/>
        <v>27152.356166666999</v>
      </c>
      <c r="U25" s="70"/>
      <c r="V25" s="70"/>
      <c r="W25" s="272">
        <v>48170.870282666699</v>
      </c>
      <c r="X25" s="70">
        <f>'[15]October 2023'!$Z$89</f>
        <v>53384.122666666699</v>
      </c>
      <c r="Y25" s="70">
        <f t="shared" si="4"/>
        <v>5213.2523840000003</v>
      </c>
      <c r="Z25" s="197">
        <f t="shared" si="5"/>
        <v>21939.103782667</v>
      </c>
      <c r="AA25" s="70">
        <f>(19/31)+2</f>
        <v>2.6129032258064502</v>
      </c>
      <c r="AB25" s="197">
        <f t="shared" si="6"/>
        <v>57324.755045033198</v>
      </c>
      <c r="AC25" s="11"/>
    </row>
    <row r="26" spans="1:29" ht="20.100000000000001" customHeight="1" x14ac:dyDescent="0.5">
      <c r="A26" s="8"/>
      <c r="B26" s="18" t="s">
        <v>111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893873.58333333395</v>
      </c>
      <c r="T26" s="78">
        <f t="shared" ref="T26:AB26" si="16">SUM(T24:T25)</f>
        <v>118539.487583334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5">
        <f t="shared" si="16"/>
        <v>95779.905967333907</v>
      </c>
      <c r="AA26" s="78"/>
      <c r="AB26" s="285">
        <f t="shared" si="16"/>
        <v>131165.5572297</v>
      </c>
      <c r="AC26" s="11"/>
    </row>
    <row r="27" spans="1:29" ht="20.100000000000001" customHeight="1" x14ac:dyDescent="0.2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5"/>
      <c r="R27" s="19"/>
      <c r="S27" s="275"/>
      <c r="T27" s="70">
        <f t="shared" si="0"/>
        <v>0</v>
      </c>
      <c r="U27" s="122"/>
      <c r="V27" s="122"/>
      <c r="W27" s="276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 x14ac:dyDescent="0.2">
      <c r="A28" s="8"/>
      <c r="B28" s="18" t="s">
        <v>207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5"/>
      <c r="R28" s="19"/>
      <c r="S28" s="275"/>
      <c r="T28" s="70">
        <f t="shared" si="0"/>
        <v>0</v>
      </c>
      <c r="U28" s="122"/>
      <c r="V28" s="122"/>
      <c r="W28" s="276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 x14ac:dyDescent="0.2">
      <c r="A29" s="8">
        <v>8</v>
      </c>
      <c r="B29" s="9" t="s">
        <v>36</v>
      </c>
      <c r="C29" s="2" t="s">
        <v>212</v>
      </c>
      <c r="D29" s="8" t="s">
        <v>176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49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2">
        <f>77098.29</f>
        <v>77098.289999999994</v>
      </c>
      <c r="X29" s="70">
        <f>'[15]October 2023'!$Z$97</f>
        <v>94644.621866666697</v>
      </c>
      <c r="Y29" s="70">
        <f t="shared" si="4"/>
        <v>17546.3318666667</v>
      </c>
      <c r="Z29" s="197">
        <f t="shared" si="5"/>
        <v>73840.7995500002</v>
      </c>
      <c r="AA29" s="70">
        <f>3</f>
        <v>3</v>
      </c>
      <c r="AB29" s="197">
        <f t="shared" si="6"/>
        <v>221522.39865000101</v>
      </c>
      <c r="AC29" s="11"/>
    </row>
    <row r="30" spans="1:29" ht="20.100000000000001" customHeight="1" x14ac:dyDescent="0.2">
      <c r="A30" s="8">
        <v>9</v>
      </c>
      <c r="B30" s="9" t="s">
        <v>211</v>
      </c>
      <c r="C30" s="2" t="s">
        <v>564</v>
      </c>
      <c r="D30" s="13" t="s">
        <v>534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197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2">
        <v>40698.124856666698</v>
      </c>
      <c r="X30" s="70">
        <f>'[15]October 2023'!$Z$129</f>
        <v>42047.769026666698</v>
      </c>
      <c r="Y30" s="70">
        <f t="shared" si="4"/>
        <v>1349.64417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 x14ac:dyDescent="0.2">
      <c r="A31" s="8">
        <v>10</v>
      </c>
      <c r="B31" s="9" t="s">
        <v>219</v>
      </c>
      <c r="C31" s="2" t="s">
        <v>1215</v>
      </c>
      <c r="D31" s="13" t="s">
        <v>206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73</v>
      </c>
      <c r="S31" s="185">
        <f>'SALARY STRUCTURE'!H14+60000</f>
        <v>228601.58333333299</v>
      </c>
      <c r="T31" s="70">
        <f t="shared" si="0"/>
        <v>44810.556583332997</v>
      </c>
      <c r="U31" s="70"/>
      <c r="V31" s="70"/>
      <c r="W31" s="272">
        <v>18102.902732666698</v>
      </c>
      <c r="X31" s="70">
        <f>'[15]October 2023'!$Z$30</f>
        <v>25571.7326666667</v>
      </c>
      <c r="Y31" s="70">
        <f t="shared" si="4"/>
        <v>7468.8299340000003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 x14ac:dyDescent="0.5">
      <c r="A32" s="2"/>
      <c r="B32" s="18" t="s">
        <v>111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7">
        <f>SUM(W29:W31)</f>
        <v>135899.31758933299</v>
      </c>
      <c r="X32" s="277">
        <f t="shared" ref="X32:AB32" si="18">SUM(X29:X31)</f>
        <v>162264.12356000001</v>
      </c>
      <c r="Y32" s="277">
        <f t="shared" si="18"/>
        <v>26364.805970666701</v>
      </c>
      <c r="Z32" s="286">
        <f t="shared" si="18"/>
        <v>117866.47827933299</v>
      </c>
      <c r="AA32" s="277"/>
      <c r="AB32" s="286">
        <f t="shared" si="18"/>
        <v>305651.78985933401</v>
      </c>
      <c r="AC32" s="11"/>
    </row>
    <row r="33" spans="1:29" ht="20.100000000000001" customHeight="1" x14ac:dyDescent="0.2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8"/>
      <c r="R33" s="2"/>
      <c r="S33" s="278"/>
      <c r="T33" s="70"/>
      <c r="U33" s="190"/>
      <c r="V33" s="190"/>
      <c r="W33" s="279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 x14ac:dyDescent="0.2">
      <c r="A34" s="2"/>
      <c r="B34" s="18" t="s">
        <v>250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5"/>
      <c r="R34" s="19"/>
      <c r="S34" s="275"/>
      <c r="T34" s="70"/>
      <c r="U34" s="122"/>
      <c r="V34" s="122"/>
      <c r="W34" s="276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 x14ac:dyDescent="0.2">
      <c r="A35" s="2">
        <v>11</v>
      </c>
      <c r="B35" s="9" t="s">
        <v>260</v>
      </c>
      <c r="C35" s="10" t="s">
        <v>1216</v>
      </c>
      <c r="D35" s="13" t="s">
        <v>534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197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2">
        <v>40684.599176666699</v>
      </c>
      <c r="X35" s="70">
        <f>'[15]October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 x14ac:dyDescent="0.2">
      <c r="A36" s="2"/>
      <c r="B36" s="18" t="s">
        <v>111</v>
      </c>
      <c r="C36" s="24" t="s">
        <v>1217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 x14ac:dyDescent="0.2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5"/>
      <c r="R37" s="13"/>
      <c r="S37" s="275"/>
      <c r="T37" s="70"/>
      <c r="U37" s="122"/>
      <c r="V37" s="122"/>
      <c r="W37" s="276"/>
      <c r="X37" s="122"/>
      <c r="Y37" s="70"/>
      <c r="Z37" s="197"/>
      <c r="AA37" s="122"/>
      <c r="AB37" s="197"/>
      <c r="AC37" s="11"/>
    </row>
    <row r="38" spans="1:29" ht="20.100000000000001" customHeight="1" x14ac:dyDescent="0.2">
      <c r="A38" s="2"/>
      <c r="B38" s="18" t="s">
        <v>270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2"/>
      <c r="X38" s="70"/>
      <c r="Y38" s="70"/>
      <c r="Z38" s="197"/>
      <c r="AA38" s="70"/>
      <c r="AB38" s="197"/>
      <c r="AC38" s="11"/>
    </row>
    <row r="39" spans="1:29" ht="20.100000000000001" customHeight="1" x14ac:dyDescent="0.2">
      <c r="A39" s="25">
        <v>12</v>
      </c>
      <c r="B39" s="9" t="s">
        <v>286</v>
      </c>
      <c r="C39" s="10" t="s">
        <v>1218</v>
      </c>
      <c r="D39" s="13" t="s">
        <v>300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137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2">
        <v>27794.206626666699</v>
      </c>
      <c r="X39" s="70">
        <f>'[15]October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 x14ac:dyDescent="0.2">
      <c r="A40" s="25">
        <v>13</v>
      </c>
      <c r="B40" s="16" t="s">
        <v>288</v>
      </c>
      <c r="C40" s="2" t="s">
        <v>297</v>
      </c>
      <c r="D40" s="13" t="s">
        <v>300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137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2">
        <v>27873.079686666701</v>
      </c>
      <c r="X40" s="70">
        <f>'[15]October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 x14ac:dyDescent="0.2">
      <c r="A41" s="25">
        <v>14</v>
      </c>
      <c r="B41" s="16" t="s">
        <v>307</v>
      </c>
      <c r="C41" s="10" t="s">
        <v>315</v>
      </c>
      <c r="D41" s="13" t="s">
        <v>206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96</v>
      </c>
      <c r="S41" s="185">
        <f>'SALARY STRUCTURE'!H13+60000</f>
        <v>205203.66666666701</v>
      </c>
      <c r="T41" s="70">
        <f t="shared" si="0"/>
        <v>21412.639916667002</v>
      </c>
      <c r="U41" s="70"/>
      <c r="V41" s="70"/>
      <c r="W41" s="272">
        <v>18102.902732666698</v>
      </c>
      <c r="X41" s="70">
        <f>'[15]October 2023'!$Z$145</f>
        <v>21640.882666666701</v>
      </c>
      <c r="Y41" s="70">
        <f t="shared" si="4"/>
        <v>3537.979934</v>
      </c>
      <c r="Z41" s="197">
        <f t="shared" si="5"/>
        <v>17874.659982666999</v>
      </c>
      <c r="AA41" s="70">
        <v>2</v>
      </c>
      <c r="AB41" s="197">
        <f t="shared" si="6"/>
        <v>35749.319965333998</v>
      </c>
      <c r="AC41" s="11"/>
    </row>
    <row r="42" spans="1:29" ht="20.100000000000001" customHeight="1" x14ac:dyDescent="0.2">
      <c r="A42" s="25">
        <v>15</v>
      </c>
      <c r="B42" s="9" t="s">
        <v>343</v>
      </c>
      <c r="C42" s="10" t="s">
        <v>350</v>
      </c>
      <c r="D42" s="13" t="s">
        <v>354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351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2">
        <v>4365.3307546666701</v>
      </c>
      <c r="X42" s="70">
        <f>'[15]October 2023'!$Z$164</f>
        <v>8312.59</v>
      </c>
      <c r="Y42" s="70">
        <f t="shared" si="4"/>
        <v>3947.25924533333</v>
      </c>
      <c r="Z42" s="197">
        <f t="shared" si="5"/>
        <v>29354.656421333399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60" customFormat="1" ht="20.100000000000001" customHeight="1" x14ac:dyDescent="0.2">
      <c r="A43" s="263">
        <v>16</v>
      </c>
      <c r="B43" s="264" t="s">
        <v>346</v>
      </c>
      <c r="C43" s="265" t="s">
        <v>350</v>
      </c>
      <c r="D43" s="266" t="s">
        <v>354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7"/>
      <c r="M43" s="267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6" t="s">
        <v>351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80">
        <f>4365.33075466667</f>
        <v>4365.3307546666701</v>
      </c>
      <c r="X43" s="52">
        <f>'[15]October 2023'!$Z$164</f>
        <v>8312.59</v>
      </c>
      <c r="Y43" s="52">
        <f t="shared" si="4"/>
        <v>3947.25924533333</v>
      </c>
      <c r="Z43" s="52">
        <f t="shared" si="5"/>
        <v>29354.656421333399</v>
      </c>
      <c r="AA43" s="52">
        <f>(17/31)+1</f>
        <v>1.54838709677419</v>
      </c>
      <c r="AB43" s="52">
        <f t="shared" si="6"/>
        <v>45452.371233032303</v>
      </c>
      <c r="AC43" s="287"/>
    </row>
    <row r="44" spans="1:29" ht="20.100000000000001" customHeight="1" x14ac:dyDescent="0.2">
      <c r="A44" s="25">
        <v>17</v>
      </c>
      <c r="B44" s="16" t="s">
        <v>347</v>
      </c>
      <c r="C44" s="10" t="s">
        <v>350</v>
      </c>
      <c r="D44" s="13" t="s">
        <v>1197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351</v>
      </c>
      <c r="S44" s="185">
        <v>115104.91666666701</v>
      </c>
      <c r="T44" s="70">
        <f t="shared" si="0"/>
        <v>31734.825666666999</v>
      </c>
      <c r="U44" s="70"/>
      <c r="V44" s="70"/>
      <c r="W44" s="272">
        <v>4504.4109200000003</v>
      </c>
      <c r="X44" s="70">
        <f>'[15]October 2023'!$Z$164</f>
        <v>8312.59</v>
      </c>
      <c r="Y44" s="70">
        <f t="shared" si="4"/>
        <v>3808.1790799999999</v>
      </c>
      <c r="Z44" s="197">
        <f t="shared" si="5"/>
        <v>27926.646586667001</v>
      </c>
      <c r="AA44" s="70">
        <v>8</v>
      </c>
      <c r="AB44" s="197">
        <f t="shared" si="6"/>
        <v>223413.172693336</v>
      </c>
      <c r="AC44" s="11"/>
    </row>
    <row r="45" spans="1:29" ht="20.100000000000001" customHeight="1" x14ac:dyDescent="0.2">
      <c r="A45" s="25">
        <v>18</v>
      </c>
      <c r="B45" s="16" t="s">
        <v>362</v>
      </c>
      <c r="C45" s="10" t="s">
        <v>353</v>
      </c>
      <c r="D45" s="13" t="s">
        <v>1219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366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2">
        <v>3064.8720786666699</v>
      </c>
      <c r="X45" s="70">
        <f>'[15]October 2023'!$Z$177</f>
        <v>3951.8553333333298</v>
      </c>
      <c r="Y45" s="70">
        <f t="shared" si="4"/>
        <v>886.98325466665995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 x14ac:dyDescent="0.5">
      <c r="A46" s="25"/>
      <c r="B46" s="6" t="s">
        <v>111</v>
      </c>
      <c r="C46" s="26" t="s">
        <v>1220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175973.99708333399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90070.133554000102</v>
      </c>
      <c r="X46" s="78">
        <f t="shared" si="30"/>
        <v>113932.829733333</v>
      </c>
      <c r="Y46" s="78">
        <f t="shared" si="30"/>
        <v>23862.696179333299</v>
      </c>
      <c r="Z46" s="285">
        <f t="shared" si="30"/>
        <v>152111.30090400099</v>
      </c>
      <c r="AA46" s="78"/>
      <c r="AB46" s="285">
        <f t="shared" si="30"/>
        <v>626877.53317570302</v>
      </c>
      <c r="AC46" s="11"/>
    </row>
    <row r="47" spans="1:29" ht="19.5" customHeight="1" x14ac:dyDescent="0.2">
      <c r="A47" s="2"/>
      <c r="B47" s="28" t="s">
        <v>379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607584.35750000202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8">
        <f t="shared" si="31"/>
        <v>525716.029816002</v>
      </c>
      <c r="AA47" s="193">
        <f t="shared" si="31"/>
        <v>0</v>
      </c>
      <c r="AB47" s="288">
        <f t="shared" si="31"/>
        <v>2102520.8772578202</v>
      </c>
      <c r="AC47" s="11"/>
    </row>
    <row r="48" spans="1:29" ht="20.100000000000001" customHeight="1" x14ac:dyDescent="0.2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1"/>
      <c r="X48" s="195"/>
      <c r="Y48" s="195"/>
      <c r="Z48" s="195"/>
      <c r="AA48" s="195"/>
      <c r="AB48" s="195"/>
      <c r="AC48" s="33"/>
    </row>
    <row r="49" spans="2:28" ht="36.75" customHeight="1" x14ac:dyDescent="0.2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1"/>
      <c r="X49" s="195"/>
      <c r="Y49" s="195"/>
      <c r="Z49" s="195"/>
      <c r="AA49" s="195"/>
      <c r="AB49" s="195"/>
    </row>
    <row r="52" spans="2:28" ht="20.100000000000001" customHeight="1" x14ac:dyDescent="0.2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R47"/>
  <sheetViews>
    <sheetView workbookViewId="0">
      <selection activeCell="H14" sqref="H14"/>
    </sheetView>
  </sheetViews>
  <sheetFormatPr defaultColWidth="9.03515625" defaultRowHeight="12.75" x14ac:dyDescent="0.15"/>
  <cols>
    <col min="2" max="2" width="11.32421875" customWidth="1"/>
    <col min="3" max="3" width="12.13671875" customWidth="1"/>
    <col min="4" max="6" width="11.32421875" customWidth="1"/>
    <col min="7" max="7" width="11.0546875" customWidth="1"/>
    <col min="8" max="8" width="13.6171875" style="252" customWidth="1"/>
    <col min="9" max="9" width="11.32421875" customWidth="1"/>
    <col min="10" max="10" width="13.21484375" customWidth="1"/>
    <col min="11" max="12" width="11.0546875" customWidth="1"/>
    <col min="13" max="13" width="12.40625" customWidth="1"/>
    <col min="14" max="14" width="11.19140625" customWidth="1"/>
    <col min="15" max="15" width="11.32421875" customWidth="1"/>
    <col min="16" max="16" width="11.4609375" customWidth="1"/>
  </cols>
  <sheetData>
    <row r="1" spans="1:18" ht="13.5" x14ac:dyDescent="0.15">
      <c r="A1" s="236" t="s">
        <v>1221</v>
      </c>
      <c r="B1" s="236"/>
      <c r="C1" s="236"/>
      <c r="D1" s="236"/>
      <c r="E1" s="236"/>
      <c r="F1" s="236"/>
      <c r="G1" s="236"/>
      <c r="H1" s="253"/>
      <c r="I1" s="236"/>
      <c r="J1" s="236"/>
      <c r="K1" s="236"/>
      <c r="L1" s="236"/>
      <c r="M1" s="236"/>
      <c r="N1" s="236"/>
      <c r="O1" s="236"/>
      <c r="P1" s="236"/>
      <c r="Q1" s="257"/>
      <c r="R1" s="257"/>
    </row>
    <row r="2" spans="1:18" ht="13.5" x14ac:dyDescent="0.15">
      <c r="A2" s="236" t="s">
        <v>1222</v>
      </c>
      <c r="B2" s="236"/>
      <c r="C2" s="236"/>
      <c r="D2" s="236"/>
      <c r="E2" s="236"/>
      <c r="F2" s="236"/>
      <c r="G2" s="236"/>
      <c r="H2" s="254"/>
      <c r="I2" s="236"/>
      <c r="J2" s="236"/>
      <c r="K2" s="236"/>
      <c r="L2" s="236"/>
      <c r="M2" s="236"/>
      <c r="N2" s="236"/>
      <c r="O2" s="236"/>
      <c r="P2" s="236"/>
      <c r="Q2" s="257"/>
      <c r="R2" s="257"/>
    </row>
    <row r="3" spans="1:18" ht="13.5" x14ac:dyDescent="0.15">
      <c r="A3" s="236"/>
      <c r="B3" s="236" t="s">
        <v>1223</v>
      </c>
      <c r="C3" s="236" t="s">
        <v>1224</v>
      </c>
      <c r="D3" s="236" t="s">
        <v>1225</v>
      </c>
      <c r="E3" s="236" t="s">
        <v>1226</v>
      </c>
      <c r="F3" s="236" t="s">
        <v>1227</v>
      </c>
      <c r="G3" s="236" t="s">
        <v>1228</v>
      </c>
      <c r="H3" s="254" t="s">
        <v>1229</v>
      </c>
      <c r="I3" s="236" t="s">
        <v>1230</v>
      </c>
      <c r="J3" s="236" t="s">
        <v>1231</v>
      </c>
      <c r="K3" s="236" t="s">
        <v>1232</v>
      </c>
      <c r="L3" s="236" t="s">
        <v>1233</v>
      </c>
      <c r="M3" s="236" t="s">
        <v>1234</v>
      </c>
      <c r="N3" s="236" t="s">
        <v>1235</v>
      </c>
      <c r="O3" s="236" t="s">
        <v>1236</v>
      </c>
      <c r="P3" s="236" t="s">
        <v>1237</v>
      </c>
      <c r="Q3" s="257"/>
      <c r="R3" s="257"/>
    </row>
    <row r="4" spans="1:18" ht="13.5" x14ac:dyDescent="0.15">
      <c r="A4" s="236" t="s">
        <v>1238</v>
      </c>
      <c r="B4" s="236" t="s">
        <v>20</v>
      </c>
      <c r="C4" s="236" t="s">
        <v>20</v>
      </c>
      <c r="D4" s="236" t="s">
        <v>20</v>
      </c>
      <c r="E4" s="236" t="s">
        <v>20</v>
      </c>
      <c r="F4" s="236" t="s">
        <v>20</v>
      </c>
      <c r="G4" s="236" t="s">
        <v>20</v>
      </c>
      <c r="H4" s="254" t="s">
        <v>20</v>
      </c>
      <c r="I4" s="236" t="s">
        <v>20</v>
      </c>
      <c r="J4" s="236" t="s">
        <v>20</v>
      </c>
      <c r="K4" s="236" t="s">
        <v>20</v>
      </c>
      <c r="L4" s="236" t="s">
        <v>20</v>
      </c>
      <c r="M4" s="236" t="s">
        <v>20</v>
      </c>
      <c r="N4" s="236" t="s">
        <v>20</v>
      </c>
      <c r="O4" s="236" t="s">
        <v>20</v>
      </c>
      <c r="P4" s="236" t="s">
        <v>20</v>
      </c>
      <c r="Q4" s="257"/>
      <c r="R4" s="257"/>
    </row>
    <row r="5" spans="1:18" ht="13.5" x14ac:dyDescent="0.15">
      <c r="A5" s="255" t="s">
        <v>1239</v>
      </c>
      <c r="B5" s="255">
        <v>32012.166666666701</v>
      </c>
      <c r="C5" s="255">
        <v>32710.5</v>
      </c>
      <c r="D5" s="255">
        <v>33408.75</v>
      </c>
      <c r="E5" s="255">
        <v>34107.083333333299</v>
      </c>
      <c r="F5" s="255">
        <v>34805.5</v>
      </c>
      <c r="G5" s="255">
        <v>35503.75</v>
      </c>
      <c r="H5" s="256">
        <v>36202.083333333299</v>
      </c>
      <c r="I5" s="255">
        <v>36900.333333333299</v>
      </c>
      <c r="J5" s="255">
        <v>37598.666666666701</v>
      </c>
      <c r="K5" s="255">
        <v>38297.083333333299</v>
      </c>
      <c r="L5" s="255">
        <v>38995.333333333299</v>
      </c>
      <c r="M5" s="255">
        <v>39693.666666666701</v>
      </c>
      <c r="N5" s="255">
        <v>40391.916666666701</v>
      </c>
      <c r="O5" s="255">
        <v>41090.166666666701</v>
      </c>
      <c r="P5" s="255">
        <v>41788.666666666701</v>
      </c>
      <c r="Q5" s="257"/>
      <c r="R5" s="257"/>
    </row>
    <row r="6" spans="1:18" ht="13.5" x14ac:dyDescent="0.15">
      <c r="A6" s="255" t="s">
        <v>1240</v>
      </c>
      <c r="B6" s="255">
        <v>32532.166666666701</v>
      </c>
      <c r="C6" s="255">
        <v>33445.166666666701</v>
      </c>
      <c r="D6" s="255">
        <v>34358.333333333299</v>
      </c>
      <c r="E6" s="255">
        <v>35271.25</v>
      </c>
      <c r="F6" s="255">
        <v>36184.25</v>
      </c>
      <c r="G6" s="255">
        <v>37097.416666666701</v>
      </c>
      <c r="H6" s="256">
        <v>38010.333333333299</v>
      </c>
      <c r="I6" s="255">
        <v>38923.416666666701</v>
      </c>
      <c r="J6" s="255">
        <v>39836.416666666701</v>
      </c>
      <c r="K6" s="255">
        <v>40749.416666666701</v>
      </c>
      <c r="L6" s="255">
        <v>41662.5</v>
      </c>
      <c r="M6" s="255">
        <v>42575.5</v>
      </c>
      <c r="N6" s="255">
        <v>43488.666666666701</v>
      </c>
      <c r="O6" s="255">
        <v>44401.583333333299</v>
      </c>
      <c r="P6" s="255">
        <v>45314.583333333299</v>
      </c>
      <c r="Q6" s="257"/>
      <c r="R6" s="257"/>
    </row>
    <row r="7" spans="1:18" ht="13.5" x14ac:dyDescent="0.15">
      <c r="A7" s="255" t="s">
        <v>1241</v>
      </c>
      <c r="B7" s="255">
        <v>32976.25</v>
      </c>
      <c r="C7" s="255">
        <v>34098.416666666701</v>
      </c>
      <c r="D7" s="255">
        <v>35220.666666666701</v>
      </c>
      <c r="E7" s="255">
        <v>36343</v>
      </c>
      <c r="F7" s="255">
        <v>37465.166666666701</v>
      </c>
      <c r="G7" s="255">
        <v>38587.416666666701</v>
      </c>
      <c r="H7" s="256">
        <v>39709.666666666701</v>
      </c>
      <c r="I7" s="255">
        <v>40823.583333333299</v>
      </c>
      <c r="J7" s="255">
        <v>41954.083333333299</v>
      </c>
      <c r="K7" s="255">
        <v>43076.416666666701</v>
      </c>
      <c r="L7" s="255">
        <v>44198.666666666701</v>
      </c>
      <c r="M7" s="255">
        <v>45445.833333333299</v>
      </c>
      <c r="N7" s="255">
        <v>46443.166666666701</v>
      </c>
      <c r="O7" s="255">
        <v>47565.333333333299</v>
      </c>
      <c r="P7" s="255">
        <v>48687.5</v>
      </c>
      <c r="Q7" s="257"/>
      <c r="R7" s="257"/>
    </row>
    <row r="8" spans="1:18" ht="13.5" x14ac:dyDescent="0.15">
      <c r="A8" s="255" t="s">
        <v>1242</v>
      </c>
      <c r="B8" s="255">
        <v>34542.5</v>
      </c>
      <c r="C8" s="255">
        <v>35890.833333333299</v>
      </c>
      <c r="D8" s="255">
        <v>37238.916666666701</v>
      </c>
      <c r="E8" s="255">
        <v>38587.166666666701</v>
      </c>
      <c r="F8" s="255">
        <v>39935.5</v>
      </c>
      <c r="G8" s="255">
        <v>41283.75</v>
      </c>
      <c r="H8" s="256">
        <v>42631.916666666701</v>
      </c>
      <c r="I8" s="255">
        <v>43980</v>
      </c>
      <c r="J8" s="255">
        <v>45328.333333333299</v>
      </c>
      <c r="K8" s="255">
        <v>46676.416666666701</v>
      </c>
      <c r="L8" s="255">
        <v>48024.666666666701</v>
      </c>
      <c r="M8" s="255">
        <v>49373</v>
      </c>
      <c r="N8" s="255">
        <v>50721.166666666701</v>
      </c>
      <c r="O8" s="255">
        <v>52069.416666666701</v>
      </c>
      <c r="P8" s="255">
        <v>53417.5</v>
      </c>
      <c r="Q8" s="257"/>
      <c r="R8" s="257"/>
    </row>
    <row r="9" spans="1:18" ht="13.5" x14ac:dyDescent="0.15">
      <c r="A9" s="255" t="s">
        <v>1243</v>
      </c>
      <c r="B9" s="255">
        <v>39140.333333333299</v>
      </c>
      <c r="C9" s="255">
        <v>40706.583333333299</v>
      </c>
      <c r="D9" s="255">
        <v>42272.833333333299</v>
      </c>
      <c r="E9" s="255">
        <v>43839.083333333299</v>
      </c>
      <c r="F9" s="255">
        <v>45405.5</v>
      </c>
      <c r="G9" s="255">
        <v>46971.75</v>
      </c>
      <c r="H9" s="256">
        <v>48538</v>
      </c>
      <c r="I9" s="255">
        <v>50104.416666666701</v>
      </c>
      <c r="J9" s="255">
        <v>51670.666666666701</v>
      </c>
      <c r="K9" s="255">
        <v>53236.916666666701</v>
      </c>
      <c r="L9" s="255">
        <v>54803.166666666701</v>
      </c>
      <c r="M9" s="255">
        <v>56369.583333333299</v>
      </c>
      <c r="N9" s="255">
        <v>57936</v>
      </c>
      <c r="O9" s="255">
        <v>59502.083333333299</v>
      </c>
      <c r="P9" s="255">
        <v>61068.333333333299</v>
      </c>
      <c r="Q9" s="257"/>
      <c r="R9" s="257"/>
    </row>
    <row r="10" spans="1:18" ht="13.5" x14ac:dyDescent="0.15">
      <c r="A10" s="255" t="s">
        <v>1244</v>
      </c>
      <c r="B10" s="255">
        <v>47723.333333333299</v>
      </c>
      <c r="C10" s="255">
        <v>49632.5</v>
      </c>
      <c r="D10" s="255">
        <v>51541.75</v>
      </c>
      <c r="E10" s="255">
        <v>53450.916666666701</v>
      </c>
      <c r="F10" s="255">
        <v>55360.166666666701</v>
      </c>
      <c r="G10" s="255">
        <v>57269.416666666701</v>
      </c>
      <c r="H10" s="256">
        <v>59178.666666666701</v>
      </c>
      <c r="I10" s="255">
        <v>61087.833333333299</v>
      </c>
      <c r="J10" s="255">
        <v>62997.083333333299</v>
      </c>
      <c r="K10" s="255">
        <v>64906.25</v>
      </c>
      <c r="L10" s="255">
        <v>66815.5</v>
      </c>
      <c r="M10" s="255">
        <v>68724.666666666701</v>
      </c>
      <c r="N10" s="255">
        <v>70633.916666666701</v>
      </c>
      <c r="O10" s="255">
        <v>72543.166666666701</v>
      </c>
      <c r="P10" s="255">
        <v>74452.416666666701</v>
      </c>
      <c r="Q10" s="257"/>
      <c r="R10" s="257"/>
    </row>
    <row r="11" spans="1:18" ht="13.5" x14ac:dyDescent="0.15">
      <c r="A11" s="255" t="s">
        <v>1245</v>
      </c>
      <c r="B11" s="255">
        <v>79244.583333333299</v>
      </c>
      <c r="C11" s="255">
        <v>82174.666666666701</v>
      </c>
      <c r="D11" s="255">
        <v>85104.916666666701</v>
      </c>
      <c r="E11" s="255">
        <v>88034.916666666701</v>
      </c>
      <c r="F11" s="255">
        <v>106590</v>
      </c>
      <c r="G11" s="255">
        <v>93895</v>
      </c>
      <c r="H11" s="256">
        <v>96825.166666666701</v>
      </c>
      <c r="I11" s="255">
        <v>99755.166666666701</v>
      </c>
      <c r="J11" s="255">
        <v>102685.33333333299</v>
      </c>
      <c r="K11" s="255">
        <v>105615.33333333299</v>
      </c>
      <c r="L11" s="255">
        <v>108545.5</v>
      </c>
      <c r="M11" s="255">
        <v>111468</v>
      </c>
      <c r="N11" s="255">
        <v>114405.66666666701</v>
      </c>
      <c r="O11" s="255">
        <v>117335.83333333299</v>
      </c>
      <c r="P11" s="255">
        <v>120265.83333333299</v>
      </c>
      <c r="Q11" s="257"/>
      <c r="R11" s="257"/>
    </row>
    <row r="12" spans="1:18" ht="13.5" x14ac:dyDescent="0.15">
      <c r="A12" s="255" t="s">
        <v>1246</v>
      </c>
      <c r="B12" s="255">
        <v>102403.75</v>
      </c>
      <c r="C12" s="255">
        <v>105891.25</v>
      </c>
      <c r="D12" s="255">
        <v>109378.75</v>
      </c>
      <c r="E12" s="255">
        <v>112866.25</v>
      </c>
      <c r="F12" s="255">
        <v>116353.66666666701</v>
      </c>
      <c r="G12" s="255">
        <v>119841.16666666701</v>
      </c>
      <c r="H12" s="256">
        <v>123328.66666666701</v>
      </c>
      <c r="I12" s="255">
        <v>126816.16666666701</v>
      </c>
      <c r="J12" s="255">
        <v>130303.66666666701</v>
      </c>
      <c r="K12" s="255">
        <v>133791.16666666701</v>
      </c>
      <c r="L12" s="255">
        <v>137278.66666666701</v>
      </c>
      <c r="M12" s="255">
        <v>140766.16666666701</v>
      </c>
      <c r="N12" s="255">
        <v>144253.66666666701</v>
      </c>
      <c r="O12" s="255">
        <v>147741.16666666701</v>
      </c>
      <c r="P12" s="255">
        <v>151228.66666666701</v>
      </c>
      <c r="Q12" s="257"/>
      <c r="R12" s="257"/>
    </row>
    <row r="13" spans="1:18" ht="13.5" x14ac:dyDescent="0.15">
      <c r="A13" s="255" t="s">
        <v>1247</v>
      </c>
      <c r="B13" s="255">
        <v>120290</v>
      </c>
      <c r="C13" s="255">
        <v>124442.16666666701</v>
      </c>
      <c r="D13" s="255">
        <v>128594.58333333299</v>
      </c>
      <c r="E13" s="255">
        <v>132746.75</v>
      </c>
      <c r="F13" s="255">
        <v>136899.08333333299</v>
      </c>
      <c r="G13" s="255">
        <v>141051.25</v>
      </c>
      <c r="H13" s="256">
        <v>145203.66666666701</v>
      </c>
      <c r="I13" s="255">
        <v>149355.83333333299</v>
      </c>
      <c r="J13" s="255">
        <v>153508</v>
      </c>
      <c r="K13" s="255">
        <v>157660.33333333299</v>
      </c>
      <c r="L13" s="255">
        <v>161812.5</v>
      </c>
      <c r="M13" s="255">
        <v>165964.91666666701</v>
      </c>
      <c r="N13" s="255">
        <v>170117.08333333299</v>
      </c>
      <c r="O13" s="255">
        <v>174269.41666666701</v>
      </c>
      <c r="P13" s="255">
        <v>178421.58333333299</v>
      </c>
      <c r="Q13" s="257"/>
      <c r="R13" s="257"/>
    </row>
    <row r="14" spans="1:18" ht="13.5" x14ac:dyDescent="0.15">
      <c r="A14" s="255" t="s">
        <v>1248</v>
      </c>
      <c r="B14" s="255">
        <v>141204.91666666701</v>
      </c>
      <c r="C14" s="255">
        <v>145770.91666666701</v>
      </c>
      <c r="D14" s="255">
        <v>150337.08333333299</v>
      </c>
      <c r="E14" s="255">
        <v>154903.33333333299</v>
      </c>
      <c r="F14" s="255">
        <v>159469.41666666701</v>
      </c>
      <c r="G14" s="255">
        <v>164035.5</v>
      </c>
      <c r="H14" s="256">
        <v>168601.58333333299</v>
      </c>
      <c r="I14" s="255">
        <v>173167.66666666701</v>
      </c>
      <c r="J14" s="255">
        <v>177733.75</v>
      </c>
      <c r="K14" s="255">
        <v>182299.91666666701</v>
      </c>
      <c r="L14" s="255">
        <v>186865.91666666701</v>
      </c>
      <c r="M14" s="255">
        <v>191432.16666666701</v>
      </c>
      <c r="N14" s="255">
        <v>195998.33333333299</v>
      </c>
      <c r="O14" s="255">
        <v>200564.41666666701</v>
      </c>
      <c r="P14" s="255">
        <v>205130.5</v>
      </c>
      <c r="Q14" s="257"/>
      <c r="R14" s="257"/>
    </row>
    <row r="15" spans="1:18" ht="13.5" x14ac:dyDescent="0.15">
      <c r="A15" s="255" t="s">
        <v>1249</v>
      </c>
      <c r="B15" s="255">
        <v>162876.25</v>
      </c>
      <c r="C15" s="255">
        <v>169958.91666666701</v>
      </c>
      <c r="D15" s="255">
        <v>177039.91666666701</v>
      </c>
      <c r="E15" s="255">
        <v>184124.08333333299</v>
      </c>
      <c r="F15" s="255">
        <v>191206.58333333299</v>
      </c>
      <c r="G15" s="255">
        <v>198289.25</v>
      </c>
      <c r="H15" s="256">
        <v>205371.75</v>
      </c>
      <c r="I15" s="255">
        <v>212454.41666666701</v>
      </c>
      <c r="J15" s="255">
        <v>219536.91666666701</v>
      </c>
      <c r="K15" s="255">
        <v>226619.58333333299</v>
      </c>
      <c r="L15" s="255">
        <v>233702.08333333299</v>
      </c>
      <c r="M15" s="255"/>
      <c r="N15" s="255"/>
      <c r="O15" s="255"/>
      <c r="P15" s="255"/>
      <c r="Q15" s="257"/>
      <c r="R15" s="257"/>
    </row>
    <row r="16" spans="1:18" ht="13.5" x14ac:dyDescent="0.15">
      <c r="A16" s="255" t="s">
        <v>1250</v>
      </c>
      <c r="B16" s="255">
        <v>181786.41666666701</v>
      </c>
      <c r="C16" s="255">
        <v>189274.25</v>
      </c>
      <c r="D16" s="255">
        <v>198324.58333333299</v>
      </c>
      <c r="E16" s="255">
        <v>204249.91666666701</v>
      </c>
      <c r="F16" s="255">
        <v>211737.66666666701</v>
      </c>
      <c r="G16" s="255">
        <v>219225.5</v>
      </c>
      <c r="H16" s="256">
        <v>226713.33333333299</v>
      </c>
      <c r="I16" s="255">
        <v>234201.16666666701</v>
      </c>
      <c r="J16" s="255">
        <v>242001.41666666701</v>
      </c>
      <c r="K16" s="255">
        <v>249176.75</v>
      </c>
      <c r="L16" s="255">
        <v>256664.58333333299</v>
      </c>
      <c r="M16" s="255"/>
      <c r="N16" s="255"/>
      <c r="O16" s="255"/>
      <c r="P16" s="255"/>
      <c r="Q16" s="257"/>
      <c r="R16" s="257"/>
    </row>
    <row r="17" spans="1:18" ht="13.5" x14ac:dyDescent="0.15">
      <c r="A17" s="255" t="s">
        <v>1251</v>
      </c>
      <c r="B17" s="255">
        <v>200784.08333333299</v>
      </c>
      <c r="C17" s="255">
        <v>208845.16666666701</v>
      </c>
      <c r="D17" s="255">
        <v>216904.66666666701</v>
      </c>
      <c r="E17" s="255">
        <v>224967.16666666701</v>
      </c>
      <c r="F17" s="255">
        <v>233028.33333333299</v>
      </c>
      <c r="G17" s="255">
        <v>241089.25</v>
      </c>
      <c r="H17" s="256">
        <v>249153.41666666701</v>
      </c>
      <c r="I17" s="255">
        <v>257211.25</v>
      </c>
      <c r="J17" s="255">
        <v>265272.41666666698</v>
      </c>
      <c r="K17" s="255">
        <v>273333.41666666698</v>
      </c>
      <c r="L17" s="255">
        <v>281394.41666666698</v>
      </c>
      <c r="M17" s="255"/>
      <c r="N17" s="255"/>
      <c r="O17" s="255"/>
      <c r="P17" s="255"/>
      <c r="Q17" s="257"/>
      <c r="R17" s="257"/>
    </row>
    <row r="18" spans="1:18" ht="13.5" x14ac:dyDescent="0.15">
      <c r="A18" s="255" t="s">
        <v>1252</v>
      </c>
      <c r="B18" s="255">
        <v>276221.25</v>
      </c>
      <c r="C18" s="255">
        <v>287637.83333333302</v>
      </c>
      <c r="D18" s="255">
        <v>299054.25</v>
      </c>
      <c r="E18" s="255">
        <v>312760.25</v>
      </c>
      <c r="F18" s="255">
        <v>321887.16666666698</v>
      </c>
      <c r="G18" s="255">
        <v>333303.75</v>
      </c>
      <c r="H18" s="256">
        <v>344720.16666666698</v>
      </c>
      <c r="I18" s="255">
        <v>356136.75</v>
      </c>
      <c r="J18" s="255">
        <v>367553.16666666698</v>
      </c>
      <c r="K18" s="255"/>
      <c r="L18" s="255"/>
      <c r="M18" s="255"/>
      <c r="N18" s="255"/>
      <c r="O18" s="255"/>
      <c r="P18" s="255"/>
      <c r="Q18" s="257"/>
      <c r="R18" s="257"/>
    </row>
    <row r="19" spans="1:18" ht="13.5" x14ac:dyDescent="0.15">
      <c r="A19" s="255" t="s">
        <v>1253</v>
      </c>
      <c r="B19" s="255">
        <v>341699.58333333302</v>
      </c>
      <c r="C19" s="255">
        <v>355420.16666666698</v>
      </c>
      <c r="D19" s="255">
        <v>369154.91666666698</v>
      </c>
      <c r="E19" s="255">
        <v>382861.41666666698</v>
      </c>
      <c r="F19" s="255">
        <v>396582.08333333302</v>
      </c>
      <c r="G19" s="255">
        <v>410302.66666666698</v>
      </c>
      <c r="H19" s="256">
        <v>424023.33333333302</v>
      </c>
      <c r="I19" s="255">
        <v>437743.91666666698</v>
      </c>
      <c r="J19" s="255">
        <v>451464.58333333302</v>
      </c>
      <c r="K19" s="255"/>
      <c r="L19" s="255"/>
      <c r="M19" s="255"/>
      <c r="N19" s="255"/>
      <c r="O19" s="255"/>
      <c r="P19" s="255"/>
      <c r="Q19" s="257"/>
      <c r="R19" s="257"/>
    </row>
    <row r="20" spans="1:18" ht="13.5" x14ac:dyDescent="0.15">
      <c r="A20" s="255" t="s">
        <v>1254</v>
      </c>
      <c r="B20" s="255">
        <v>652000</v>
      </c>
      <c r="C20" s="255">
        <v>676776.16666666698</v>
      </c>
      <c r="D20" s="255">
        <v>701552.16666666698</v>
      </c>
      <c r="E20" s="255">
        <v>726328.33333333302</v>
      </c>
      <c r="F20" s="255">
        <v>751104.41666666698</v>
      </c>
      <c r="G20" s="255">
        <v>775880.5</v>
      </c>
      <c r="H20" s="256">
        <v>800656.58333333302</v>
      </c>
      <c r="I20" s="255">
        <v>825432.66666666698</v>
      </c>
      <c r="J20" s="255">
        <v>850208.75</v>
      </c>
      <c r="K20" s="255"/>
      <c r="L20" s="255"/>
      <c r="M20" s="255"/>
      <c r="N20" s="255"/>
      <c r="O20" s="255"/>
      <c r="P20" s="255"/>
      <c r="Q20" s="257"/>
      <c r="R20" s="257"/>
    </row>
    <row r="21" spans="1:18" ht="13.5" x14ac:dyDescent="0.15">
      <c r="A21" s="255"/>
      <c r="B21" s="255"/>
      <c r="C21" s="255"/>
      <c r="D21" s="255"/>
      <c r="E21" s="255"/>
      <c r="F21" s="255"/>
      <c r="G21" s="255"/>
      <c r="H21" s="256"/>
      <c r="I21" s="255"/>
      <c r="J21" s="255"/>
      <c r="K21" s="255"/>
      <c r="L21" s="255"/>
      <c r="M21" s="255"/>
      <c r="N21" s="255"/>
      <c r="O21" s="255"/>
      <c r="P21" s="255"/>
      <c r="Q21" s="257"/>
      <c r="R21" s="257"/>
    </row>
    <row r="22" spans="1:18" x14ac:dyDescent="0.15">
      <c r="A22" s="257"/>
      <c r="B22" s="257"/>
      <c r="C22" s="257"/>
      <c r="D22" s="257"/>
      <c r="E22" s="257"/>
      <c r="F22" s="257"/>
      <c r="G22" s="257"/>
      <c r="H22" s="258"/>
      <c r="I22" s="257"/>
      <c r="J22" s="180"/>
      <c r="K22" s="257"/>
      <c r="L22" s="257"/>
      <c r="M22" s="257"/>
      <c r="N22" s="257"/>
      <c r="O22" s="257"/>
      <c r="P22" s="257"/>
      <c r="Q22" s="257"/>
      <c r="R22" s="257"/>
    </row>
    <row r="23" spans="1:18" x14ac:dyDescent="0.15">
      <c r="D23" s="179"/>
      <c r="F23" s="179"/>
      <c r="H23" s="259"/>
    </row>
    <row r="24" spans="1:18" x14ac:dyDescent="0.15">
      <c r="H24" s="259"/>
    </row>
    <row r="25" spans="1:18" x14ac:dyDescent="0.15">
      <c r="H25" s="259"/>
    </row>
    <row r="26" spans="1:18" x14ac:dyDescent="0.15">
      <c r="H26" s="259"/>
    </row>
    <row r="27" spans="1:18" x14ac:dyDescent="0.15">
      <c r="H27" s="259"/>
    </row>
    <row r="28" spans="1:18" x14ac:dyDescent="0.15">
      <c r="H28" s="259"/>
    </row>
    <row r="29" spans="1:18" x14ac:dyDescent="0.15">
      <c r="H29" s="259"/>
    </row>
    <row r="30" spans="1:18" x14ac:dyDescent="0.15">
      <c r="H30" s="259"/>
    </row>
    <row r="31" spans="1:18" x14ac:dyDescent="0.15">
      <c r="H31" s="259"/>
    </row>
    <row r="32" spans="1:18" x14ac:dyDescent="0.15">
      <c r="H32" s="259"/>
    </row>
    <row r="33" spans="8:8" x14ac:dyDescent="0.15">
      <c r="H33" s="259"/>
    </row>
    <row r="34" spans="8:8" x14ac:dyDescent="0.15">
      <c r="H34" s="259"/>
    </row>
    <row r="35" spans="8:8" x14ac:dyDescent="0.15">
      <c r="H35" s="259"/>
    </row>
    <row r="36" spans="8:8" x14ac:dyDescent="0.15">
      <c r="H36" s="259"/>
    </row>
    <row r="37" spans="8:8" x14ac:dyDescent="0.15">
      <c r="H37" s="259"/>
    </row>
    <row r="38" spans="8:8" x14ac:dyDescent="0.15">
      <c r="H38" s="259"/>
    </row>
    <row r="39" spans="8:8" x14ac:dyDescent="0.15">
      <c r="H39" s="259"/>
    </row>
    <row r="40" spans="8:8" x14ac:dyDescent="0.15">
      <c r="H40" s="259"/>
    </row>
    <row r="41" spans="8:8" x14ac:dyDescent="0.15">
      <c r="H41" s="259"/>
    </row>
    <row r="42" spans="8:8" x14ac:dyDescent="0.15">
      <c r="H42" s="259"/>
    </row>
    <row r="43" spans="8:8" x14ac:dyDescent="0.15">
      <c r="H43" s="259"/>
    </row>
    <row r="44" spans="8:8" x14ac:dyDescent="0.15">
      <c r="H44" s="259"/>
    </row>
    <row r="45" spans="8:8" x14ac:dyDescent="0.15">
      <c r="H45" s="259"/>
    </row>
    <row r="46" spans="8:8" x14ac:dyDescent="0.15">
      <c r="H46" s="259"/>
    </row>
    <row r="47" spans="8:8" x14ac:dyDescent="0.15">
      <c r="H47" s="259"/>
    </row>
  </sheetData>
  <pageMargins left="0.7" right="0.7" top="0.75" bottom="0.75" header="0.3" footer="0.3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K193"/>
  <sheetViews>
    <sheetView topLeftCell="A158" workbookViewId="0">
      <selection activeCell="L173" sqref="L173"/>
    </sheetView>
  </sheetViews>
  <sheetFormatPr defaultColWidth="9.16796875" defaultRowHeight="13.5" x14ac:dyDescent="0.15"/>
  <cols>
    <col min="1" max="1" width="5.390625" style="229" customWidth="1"/>
    <col min="2" max="2" width="33.30859375" style="229" customWidth="1"/>
    <col min="3" max="3" width="28.31640625" style="229" customWidth="1"/>
    <col min="4" max="4" width="8.22265625" style="229" customWidth="1"/>
    <col min="5" max="5" width="9.4375" style="229" customWidth="1"/>
    <col min="6" max="6" width="9.16796875" style="229" customWidth="1"/>
    <col min="7" max="7" width="8.76171875" style="229" customWidth="1"/>
    <col min="8" max="8" width="9.3046875" style="229" customWidth="1"/>
    <col min="9" max="9" width="11.73046875" style="229" customWidth="1"/>
    <col min="10" max="16384" width="9.16796875" style="229"/>
  </cols>
  <sheetData>
    <row r="1" spans="1:11" x14ac:dyDescent="0.15">
      <c r="A1" s="973" t="s">
        <v>0</v>
      </c>
      <c r="B1" s="973"/>
      <c r="C1" s="973"/>
      <c r="D1" s="973"/>
      <c r="E1" s="973"/>
      <c r="F1" s="973"/>
      <c r="G1" s="973"/>
      <c r="H1" s="973"/>
      <c r="I1" s="973"/>
      <c r="J1" s="238"/>
      <c r="K1" s="238"/>
    </row>
    <row r="2" spans="1:11" x14ac:dyDescent="0.15">
      <c r="A2" s="973" t="s">
        <v>526</v>
      </c>
      <c r="B2" s="973"/>
      <c r="C2" s="973"/>
      <c r="D2" s="973"/>
      <c r="E2" s="973"/>
      <c r="F2" s="973"/>
      <c r="G2" s="973"/>
      <c r="H2" s="973"/>
      <c r="I2" s="973"/>
      <c r="J2" s="239"/>
      <c r="K2" s="239"/>
    </row>
    <row r="3" spans="1:11" ht="23.25" customHeight="1" x14ac:dyDescent="0.15">
      <c r="A3" s="974" t="s">
        <v>1255</v>
      </c>
      <c r="B3" s="974"/>
      <c r="C3" s="974"/>
      <c r="D3" s="974"/>
      <c r="E3" s="974"/>
      <c r="F3" s="974"/>
      <c r="G3" s="974"/>
      <c r="H3" s="974"/>
      <c r="I3" s="974"/>
    </row>
    <row r="5" spans="1:11" ht="42.75" customHeight="1" x14ac:dyDescent="0.15">
      <c r="A5" s="240" t="s">
        <v>21</v>
      </c>
      <c r="B5" s="240" t="s">
        <v>2</v>
      </c>
      <c r="C5" s="240" t="s">
        <v>3</v>
      </c>
      <c r="D5" s="241" t="s">
        <v>4</v>
      </c>
      <c r="E5" s="241" t="s">
        <v>1256</v>
      </c>
      <c r="F5" s="241" t="s">
        <v>1257</v>
      </c>
      <c r="G5" s="241" t="s">
        <v>1258</v>
      </c>
      <c r="H5" s="241" t="s">
        <v>1259</v>
      </c>
      <c r="I5" s="248" t="s">
        <v>1260</v>
      </c>
    </row>
    <row r="6" spans="1:11" x14ac:dyDescent="0.15">
      <c r="B6" s="236" t="s">
        <v>22</v>
      </c>
    </row>
    <row r="7" spans="1:11" x14ac:dyDescent="0.15">
      <c r="A7" s="242">
        <v>1</v>
      </c>
      <c r="B7" s="242" t="s">
        <v>23</v>
      </c>
      <c r="C7" s="242" t="s">
        <v>24</v>
      </c>
      <c r="D7" s="242" t="s">
        <v>573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 x14ac:dyDescent="0.15">
      <c r="A8" s="242">
        <v>2</v>
      </c>
      <c r="B8" s="244" t="s">
        <v>1261</v>
      </c>
      <c r="C8" s="242" t="s">
        <v>1262</v>
      </c>
      <c r="D8" s="242" t="s">
        <v>154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 x14ac:dyDescent="0.15">
      <c r="A9" s="242">
        <v>3</v>
      </c>
      <c r="B9" s="242" t="s">
        <v>26</v>
      </c>
      <c r="C9" s="242" t="s">
        <v>27</v>
      </c>
      <c r="D9" s="242" t="s">
        <v>28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 x14ac:dyDescent="0.15">
      <c r="A10" s="242">
        <v>4</v>
      </c>
      <c r="B10" s="242" t="s">
        <v>29</v>
      </c>
      <c r="C10" s="242" t="s">
        <v>30</v>
      </c>
      <c r="D10" s="242" t="s">
        <v>35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 x14ac:dyDescent="0.15">
      <c r="A11" s="242">
        <v>5</v>
      </c>
      <c r="B11" s="242" t="s">
        <v>208</v>
      </c>
      <c r="C11" s="242" t="s">
        <v>1263</v>
      </c>
      <c r="D11" s="242" t="s">
        <v>35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 x14ac:dyDescent="0.15">
      <c r="A12" s="242">
        <v>6</v>
      </c>
      <c r="B12" s="242" t="s">
        <v>31</v>
      </c>
      <c r="C12" s="242" t="s">
        <v>32</v>
      </c>
      <c r="D12" s="242" t="s">
        <v>35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 x14ac:dyDescent="0.15">
      <c r="A13" s="242">
        <v>7</v>
      </c>
      <c r="B13" s="242" t="s">
        <v>271</v>
      </c>
      <c r="C13" s="242" t="s">
        <v>529</v>
      </c>
      <c r="D13" s="242" t="s">
        <v>35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 x14ac:dyDescent="0.15">
      <c r="A14" s="242">
        <v>8</v>
      </c>
      <c r="B14" s="242" t="s">
        <v>33</v>
      </c>
      <c r="C14" s="242" t="s">
        <v>532</v>
      </c>
      <c r="D14" s="242" t="s">
        <v>131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 x14ac:dyDescent="0.15">
      <c r="A15" s="242">
        <v>9</v>
      </c>
      <c r="B15" s="242" t="s">
        <v>1264</v>
      </c>
      <c r="C15" s="242" t="s">
        <v>40</v>
      </c>
      <c r="D15" s="242" t="s">
        <v>176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 x14ac:dyDescent="0.15">
      <c r="A16" s="242">
        <v>11</v>
      </c>
      <c r="B16" s="242" t="s">
        <v>39</v>
      </c>
      <c r="C16" s="242" t="s">
        <v>40</v>
      </c>
      <c r="D16" s="242" t="s">
        <v>176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 x14ac:dyDescent="0.15">
      <c r="A17" s="242">
        <v>12</v>
      </c>
      <c r="B17" s="242" t="s">
        <v>50</v>
      </c>
      <c r="C17" s="242" t="s">
        <v>51</v>
      </c>
      <c r="D17" s="242" t="s">
        <v>1199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 x14ac:dyDescent="0.15">
      <c r="A18" s="242">
        <v>13</v>
      </c>
      <c r="B18" s="242" t="s">
        <v>53</v>
      </c>
      <c r="C18" s="242" t="s">
        <v>54</v>
      </c>
      <c r="D18" s="242" t="s">
        <v>58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 x14ac:dyDescent="0.15">
      <c r="A19" s="242">
        <v>14</v>
      </c>
      <c r="B19" s="242" t="s">
        <v>63</v>
      </c>
      <c r="C19" s="242" t="s">
        <v>64</v>
      </c>
      <c r="D19" s="242" t="s">
        <v>68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 x14ac:dyDescent="0.15">
      <c r="A20" s="242">
        <v>16</v>
      </c>
      <c r="B20" s="242" t="s">
        <v>80</v>
      </c>
      <c r="C20" s="242" t="s">
        <v>78</v>
      </c>
      <c r="D20" s="242" t="s">
        <v>87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 x14ac:dyDescent="0.15">
      <c r="A21" s="242">
        <v>17</v>
      </c>
      <c r="B21" s="242" t="s">
        <v>1265</v>
      </c>
      <c r="C21" s="242" t="s">
        <v>1266</v>
      </c>
      <c r="D21" s="242" t="s">
        <v>87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 x14ac:dyDescent="0.15">
      <c r="A22" s="242">
        <v>18</v>
      </c>
      <c r="B22" s="242" t="s">
        <v>82</v>
      </c>
      <c r="C22" s="242" t="s">
        <v>1213</v>
      </c>
      <c r="D22" s="242" t="s">
        <v>206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 x14ac:dyDescent="0.15">
      <c r="A23" s="242">
        <v>19</v>
      </c>
      <c r="B23" s="242" t="s">
        <v>85</v>
      </c>
      <c r="C23" s="242" t="s">
        <v>1267</v>
      </c>
      <c r="D23" s="242" t="s">
        <v>206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 x14ac:dyDescent="0.15">
      <c r="A24" s="242">
        <v>20</v>
      </c>
      <c r="B24" s="242" t="s">
        <v>89</v>
      </c>
      <c r="C24" s="242" t="s">
        <v>90</v>
      </c>
      <c r="D24" s="242" t="s">
        <v>87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 x14ac:dyDescent="0.15">
      <c r="A25" s="242">
        <v>21</v>
      </c>
      <c r="B25" s="242" t="s">
        <v>92</v>
      </c>
      <c r="C25" s="242" t="s">
        <v>93</v>
      </c>
      <c r="D25" s="242" t="s">
        <v>105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 x14ac:dyDescent="0.15">
      <c r="A26" s="242">
        <v>22</v>
      </c>
      <c r="B26" s="242" t="s">
        <v>1191</v>
      </c>
      <c r="C26" s="242" t="s">
        <v>101</v>
      </c>
      <c r="D26" s="242" t="s">
        <v>105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 x14ac:dyDescent="0.15">
      <c r="A27" s="242">
        <v>23</v>
      </c>
      <c r="B27" s="242" t="s">
        <v>100</v>
      </c>
      <c r="C27" s="242" t="s">
        <v>101</v>
      </c>
      <c r="D27" s="242" t="s">
        <v>108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 x14ac:dyDescent="0.15">
      <c r="A28" s="242"/>
      <c r="B28" s="246" t="s">
        <v>1268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 x14ac:dyDescent="0.15">
      <c r="E29" s="234"/>
      <c r="F29" s="234"/>
      <c r="G29" s="234"/>
      <c r="H29" s="234"/>
      <c r="I29" s="234"/>
    </row>
    <row r="30" spans="1:9" x14ac:dyDescent="0.15">
      <c r="B30" s="236" t="s">
        <v>112</v>
      </c>
      <c r="E30" s="234"/>
      <c r="F30" s="234"/>
      <c r="G30" s="234"/>
      <c r="H30" s="234"/>
      <c r="I30" s="234"/>
    </row>
    <row r="31" spans="1:9" x14ac:dyDescent="0.15">
      <c r="A31" s="242">
        <v>1</v>
      </c>
      <c r="B31" s="242" t="s">
        <v>113</v>
      </c>
      <c r="C31" s="242" t="s">
        <v>114</v>
      </c>
      <c r="D31" s="242" t="s">
        <v>115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 x14ac:dyDescent="0.15">
      <c r="A32" s="242">
        <v>2</v>
      </c>
      <c r="B32" s="242" t="s">
        <v>116</v>
      </c>
      <c r="C32" s="242" t="s">
        <v>799</v>
      </c>
      <c r="D32" s="242" t="s">
        <v>108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 x14ac:dyDescent="0.15">
      <c r="A33" s="242"/>
      <c r="B33" s="246" t="s">
        <v>1269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 x14ac:dyDescent="0.15">
      <c r="E34" s="234"/>
      <c r="F34" s="234"/>
      <c r="G34" s="234"/>
      <c r="H34" s="234"/>
      <c r="I34" s="234"/>
    </row>
    <row r="35" spans="1:9" x14ac:dyDescent="0.15">
      <c r="B35" s="236" t="s">
        <v>125</v>
      </c>
      <c r="E35" s="234"/>
      <c r="F35" s="234"/>
      <c r="G35" s="234"/>
      <c r="H35" s="234"/>
      <c r="I35" s="234"/>
    </row>
    <row r="36" spans="1:9" x14ac:dyDescent="0.15">
      <c r="A36" s="242">
        <v>1</v>
      </c>
      <c r="B36" s="242" t="s">
        <v>536</v>
      </c>
      <c r="C36" s="242" t="s">
        <v>537</v>
      </c>
      <c r="D36" s="242" t="s">
        <v>115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 x14ac:dyDescent="0.15">
      <c r="A37" s="242">
        <v>2</v>
      </c>
      <c r="B37" s="242" t="s">
        <v>538</v>
      </c>
      <c r="C37" s="242" t="s">
        <v>43</v>
      </c>
      <c r="D37" s="242" t="s">
        <v>131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 x14ac:dyDescent="0.15">
      <c r="A38" s="242">
        <v>3</v>
      </c>
      <c r="B38" s="242" t="s">
        <v>126</v>
      </c>
      <c r="C38" s="242" t="s">
        <v>130</v>
      </c>
      <c r="D38" s="242" t="s">
        <v>131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 x14ac:dyDescent="0.15">
      <c r="A39" s="242">
        <v>4</v>
      </c>
      <c r="B39" s="242" t="s">
        <v>129</v>
      </c>
      <c r="C39" s="242" t="s">
        <v>130</v>
      </c>
      <c r="D39" s="242" t="s">
        <v>131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 x14ac:dyDescent="0.15">
      <c r="A40" s="242">
        <v>5</v>
      </c>
      <c r="B40" s="242" t="s">
        <v>132</v>
      </c>
      <c r="C40" s="242" t="s">
        <v>130</v>
      </c>
      <c r="D40" s="242" t="s">
        <v>38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 x14ac:dyDescent="0.15">
      <c r="A41" s="242">
        <v>6</v>
      </c>
      <c r="B41" s="242" t="s">
        <v>133</v>
      </c>
      <c r="C41" s="242" t="s">
        <v>45</v>
      </c>
      <c r="D41" s="242" t="s">
        <v>176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 x14ac:dyDescent="0.15">
      <c r="A42" s="242">
        <v>7</v>
      </c>
      <c r="B42" s="242" t="s">
        <v>134</v>
      </c>
      <c r="C42" s="242" t="s">
        <v>156</v>
      </c>
      <c r="D42" s="242" t="s">
        <v>176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 x14ac:dyDescent="0.15">
      <c r="A43" s="242">
        <v>8</v>
      </c>
      <c r="B43" s="242" t="s">
        <v>1270</v>
      </c>
      <c r="C43" s="242" t="s">
        <v>156</v>
      </c>
      <c r="D43" s="242" t="s">
        <v>46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 x14ac:dyDescent="0.15">
      <c r="A44" s="242">
        <v>9</v>
      </c>
      <c r="B44" s="242" t="s">
        <v>44</v>
      </c>
      <c r="C44" s="242" t="s">
        <v>552</v>
      </c>
      <c r="D44" s="242" t="s">
        <v>534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 x14ac:dyDescent="0.15">
      <c r="A45" s="242">
        <v>10</v>
      </c>
      <c r="B45" s="242" t="s">
        <v>138</v>
      </c>
      <c r="C45" s="242" t="s">
        <v>139</v>
      </c>
      <c r="D45" s="242" t="s">
        <v>73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 x14ac:dyDescent="0.15">
      <c r="A46" s="242">
        <v>11</v>
      </c>
      <c r="B46" s="242" t="s">
        <v>142</v>
      </c>
      <c r="C46" s="242" t="s">
        <v>139</v>
      </c>
      <c r="D46" s="242" t="s">
        <v>96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 x14ac:dyDescent="0.15">
      <c r="A47" s="242">
        <v>12</v>
      </c>
      <c r="B47" s="242" t="s">
        <v>539</v>
      </c>
      <c r="C47" s="242" t="s">
        <v>139</v>
      </c>
      <c r="D47" s="242" t="s">
        <v>96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 x14ac:dyDescent="0.15">
      <c r="A48" s="242">
        <v>13</v>
      </c>
      <c r="B48" s="242" t="s">
        <v>143</v>
      </c>
      <c r="C48" s="242" t="s">
        <v>139</v>
      </c>
      <c r="D48" s="242" t="s">
        <v>96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 x14ac:dyDescent="0.15">
      <c r="A49" s="242"/>
      <c r="B49" s="246" t="s">
        <v>1271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 x14ac:dyDescent="0.15">
      <c r="E50" s="234"/>
      <c r="F50" s="234"/>
      <c r="G50" s="234"/>
      <c r="H50" s="234"/>
      <c r="I50" s="234"/>
    </row>
    <row r="51" spans="1:9" x14ac:dyDescent="0.15">
      <c r="B51" s="236" t="s">
        <v>145</v>
      </c>
      <c r="E51" s="234"/>
      <c r="F51" s="234"/>
      <c r="G51" s="234"/>
      <c r="H51" s="234"/>
      <c r="I51" s="234"/>
    </row>
    <row r="52" spans="1:9" x14ac:dyDescent="0.15">
      <c r="A52" s="242">
        <v>1</v>
      </c>
      <c r="B52" s="244" t="s">
        <v>540</v>
      </c>
      <c r="C52" s="242" t="s">
        <v>147</v>
      </c>
      <c r="D52" s="242" t="s">
        <v>115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 x14ac:dyDescent="0.15">
      <c r="A53" s="242">
        <v>2</v>
      </c>
      <c r="B53" s="242" t="s">
        <v>148</v>
      </c>
      <c r="C53" s="242" t="s">
        <v>149</v>
      </c>
      <c r="D53" s="242" t="s">
        <v>549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 x14ac:dyDescent="0.15">
      <c r="A54" s="242"/>
      <c r="B54" s="246" t="s">
        <v>1272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 x14ac:dyDescent="0.15">
      <c r="E55" s="234"/>
      <c r="F55" s="234"/>
      <c r="G55" s="234"/>
      <c r="H55" s="234"/>
      <c r="I55" s="234"/>
    </row>
    <row r="56" spans="1:9" x14ac:dyDescent="0.15">
      <c r="B56" s="236" t="s">
        <v>151</v>
      </c>
      <c r="E56" s="234"/>
      <c r="F56" s="234"/>
      <c r="G56" s="234"/>
      <c r="H56" s="234"/>
      <c r="I56" s="234"/>
    </row>
    <row r="57" spans="1:9" x14ac:dyDescent="0.15">
      <c r="A57" s="242">
        <v>1</v>
      </c>
      <c r="B57" s="242" t="s">
        <v>541</v>
      </c>
      <c r="C57" s="242" t="s">
        <v>542</v>
      </c>
      <c r="D57" s="242" t="s">
        <v>115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 x14ac:dyDescent="0.15">
      <c r="A58" s="242">
        <v>2</v>
      </c>
      <c r="B58" s="242" t="s">
        <v>543</v>
      </c>
      <c r="C58" s="242" t="s">
        <v>544</v>
      </c>
      <c r="D58" s="242" t="s">
        <v>1200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 x14ac:dyDescent="0.15">
      <c r="A59" s="242">
        <v>3</v>
      </c>
      <c r="B59" s="242" t="s">
        <v>155</v>
      </c>
      <c r="C59" s="242" t="s">
        <v>158</v>
      </c>
      <c r="D59" s="242" t="s">
        <v>534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 x14ac:dyDescent="0.15">
      <c r="A60" s="242">
        <v>4</v>
      </c>
      <c r="B60" s="242" t="s">
        <v>545</v>
      </c>
      <c r="C60" s="242" t="s">
        <v>158</v>
      </c>
      <c r="D60" s="242" t="s">
        <v>1199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 x14ac:dyDescent="0.15">
      <c r="A61" s="242">
        <v>5</v>
      </c>
      <c r="B61" s="242" t="s">
        <v>546</v>
      </c>
      <c r="C61" s="242" t="s">
        <v>156</v>
      </c>
      <c r="D61" s="242" t="s">
        <v>176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 x14ac:dyDescent="0.15">
      <c r="A62" s="242">
        <v>6</v>
      </c>
      <c r="B62" s="242" t="s">
        <v>42</v>
      </c>
      <c r="C62" s="242" t="s">
        <v>156</v>
      </c>
      <c r="D62" s="242" t="s">
        <v>46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 x14ac:dyDescent="0.15">
      <c r="A63" s="242">
        <v>7</v>
      </c>
      <c r="B63" s="242" t="s">
        <v>161</v>
      </c>
      <c r="C63" s="242" t="s">
        <v>139</v>
      </c>
      <c r="D63" s="242" t="s">
        <v>137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 x14ac:dyDescent="0.15">
      <c r="A64" s="242">
        <v>8</v>
      </c>
      <c r="B64" s="242" t="s">
        <v>163</v>
      </c>
      <c r="C64" s="242" t="s">
        <v>70</v>
      </c>
      <c r="D64" s="242" t="s">
        <v>137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 x14ac:dyDescent="0.15">
      <c r="A65" s="242">
        <v>9</v>
      </c>
      <c r="B65" s="242" t="s">
        <v>164</v>
      </c>
      <c r="C65" s="242" t="s">
        <v>70</v>
      </c>
      <c r="D65" s="242" t="s">
        <v>137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 x14ac:dyDescent="0.15">
      <c r="A66" s="242">
        <v>10</v>
      </c>
      <c r="B66" s="242" t="s">
        <v>165</v>
      </c>
      <c r="C66" s="242" t="s">
        <v>166</v>
      </c>
      <c r="D66" s="242" t="s">
        <v>68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 x14ac:dyDescent="0.15">
      <c r="A67" s="242">
        <v>11</v>
      </c>
      <c r="B67" s="242" t="s">
        <v>81</v>
      </c>
      <c r="C67" s="242" t="s">
        <v>67</v>
      </c>
      <c r="D67" s="242" t="s">
        <v>87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 x14ac:dyDescent="0.15">
      <c r="A68" s="242">
        <v>12</v>
      </c>
      <c r="B68" s="242" t="s">
        <v>66</v>
      </c>
      <c r="C68" s="242" t="s">
        <v>67</v>
      </c>
      <c r="D68" s="242" t="s">
        <v>105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 x14ac:dyDescent="0.15">
      <c r="A69" s="242"/>
      <c r="B69" s="246" t="s">
        <v>1273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 x14ac:dyDescent="0.15">
      <c r="E70" s="234"/>
      <c r="F70" s="234"/>
      <c r="G70" s="234"/>
      <c r="H70" s="234"/>
      <c r="I70" s="234"/>
    </row>
    <row r="71" spans="1:9" x14ac:dyDescent="0.15">
      <c r="B71" s="236" t="s">
        <v>169</v>
      </c>
      <c r="E71" s="234"/>
      <c r="F71" s="234"/>
      <c r="G71" s="234"/>
      <c r="H71" s="234"/>
      <c r="I71" s="234"/>
    </row>
    <row r="72" spans="1:9" x14ac:dyDescent="0.15">
      <c r="A72" s="242">
        <v>1</v>
      </c>
      <c r="B72" s="242" t="s">
        <v>170</v>
      </c>
      <c r="C72" s="242" t="s">
        <v>171</v>
      </c>
      <c r="D72" s="242" t="s">
        <v>115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 x14ac:dyDescent="0.15">
      <c r="A73" s="242">
        <v>2</v>
      </c>
      <c r="B73" s="242" t="s">
        <v>547</v>
      </c>
      <c r="C73" s="242" t="s">
        <v>548</v>
      </c>
      <c r="D73" s="242" t="s">
        <v>1200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 x14ac:dyDescent="0.15">
      <c r="A74" s="242">
        <v>3</v>
      </c>
      <c r="B74" s="242" t="s">
        <v>550</v>
      </c>
      <c r="C74" s="242" t="s">
        <v>551</v>
      </c>
      <c r="D74" s="242" t="s">
        <v>549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 x14ac:dyDescent="0.15">
      <c r="A75" s="242">
        <v>4</v>
      </c>
      <c r="B75" s="242" t="s">
        <v>174</v>
      </c>
      <c r="C75" s="242" t="s">
        <v>1214</v>
      </c>
      <c r="D75" s="242" t="s">
        <v>534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 x14ac:dyDescent="0.15">
      <c r="A76" s="242">
        <v>5</v>
      </c>
      <c r="B76" s="242" t="s">
        <v>181</v>
      </c>
      <c r="C76" s="242" t="s">
        <v>184</v>
      </c>
      <c r="D76" s="242" t="s">
        <v>76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 x14ac:dyDescent="0.15">
      <c r="A77" s="242">
        <v>6</v>
      </c>
      <c r="B77" s="242" t="s">
        <v>183</v>
      </c>
      <c r="C77" s="242" t="s">
        <v>184</v>
      </c>
      <c r="D77" s="242" t="s">
        <v>96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 x14ac:dyDescent="0.15">
      <c r="A78" s="242">
        <v>7</v>
      </c>
      <c r="B78" s="242" t="s">
        <v>185</v>
      </c>
      <c r="C78" s="242" t="s">
        <v>186</v>
      </c>
      <c r="D78" s="242" t="s">
        <v>108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 x14ac:dyDescent="0.15">
      <c r="A79" s="242"/>
      <c r="B79" s="246" t="s">
        <v>1274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 x14ac:dyDescent="0.15">
      <c r="E80" s="234"/>
      <c r="F80" s="234"/>
      <c r="G80" s="234"/>
      <c r="H80" s="234"/>
      <c r="I80" s="234"/>
    </row>
    <row r="81" spans="1:9" x14ac:dyDescent="0.15">
      <c r="B81" s="236" t="s">
        <v>187</v>
      </c>
      <c r="E81" s="234"/>
      <c r="F81" s="234"/>
      <c r="G81" s="234"/>
      <c r="H81" s="234"/>
      <c r="I81" s="234"/>
    </row>
    <row r="82" spans="1:9" x14ac:dyDescent="0.15">
      <c r="A82" s="242">
        <v>1</v>
      </c>
      <c r="B82" s="242" t="s">
        <v>190</v>
      </c>
      <c r="C82" s="242" t="s">
        <v>130</v>
      </c>
      <c r="D82" s="242" t="s">
        <v>131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 x14ac:dyDescent="0.15">
      <c r="A83" s="242">
        <v>2</v>
      </c>
      <c r="B83" s="242" t="s">
        <v>188</v>
      </c>
      <c r="C83" s="242" t="s">
        <v>130</v>
      </c>
      <c r="D83" s="242" t="s">
        <v>131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 x14ac:dyDescent="0.15">
      <c r="A84" s="242">
        <v>3</v>
      </c>
      <c r="B84" s="242" t="s">
        <v>152</v>
      </c>
      <c r="C84" s="242" t="s">
        <v>156</v>
      </c>
      <c r="D84" s="242" t="s">
        <v>41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 x14ac:dyDescent="0.15">
      <c r="A85" s="242">
        <v>4</v>
      </c>
      <c r="B85" s="242" t="s">
        <v>193</v>
      </c>
      <c r="C85" s="242" t="s">
        <v>45</v>
      </c>
      <c r="D85" s="242" t="s">
        <v>176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 x14ac:dyDescent="0.15">
      <c r="A86" s="242">
        <v>5</v>
      </c>
      <c r="B86" s="242" t="s">
        <v>194</v>
      </c>
      <c r="C86" s="242" t="s">
        <v>552</v>
      </c>
      <c r="D86" s="242" t="s">
        <v>534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 x14ac:dyDescent="0.15">
      <c r="A87" s="242">
        <v>6</v>
      </c>
      <c r="B87" s="242" t="s">
        <v>195</v>
      </c>
      <c r="C87" s="242" t="s">
        <v>158</v>
      </c>
      <c r="D87" s="242" t="s">
        <v>1199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 x14ac:dyDescent="0.15">
      <c r="A88" s="242">
        <v>7</v>
      </c>
      <c r="B88" s="242" t="s">
        <v>196</v>
      </c>
      <c r="C88" s="242" t="s">
        <v>158</v>
      </c>
      <c r="D88" s="242" t="s">
        <v>1199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 x14ac:dyDescent="0.15">
      <c r="A89" s="242">
        <v>8</v>
      </c>
      <c r="B89" s="242" t="s">
        <v>198</v>
      </c>
      <c r="C89" s="242" t="s">
        <v>70</v>
      </c>
      <c r="D89" s="242" t="s">
        <v>137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 x14ac:dyDescent="0.15">
      <c r="A90" s="242">
        <v>9</v>
      </c>
      <c r="B90" s="242" t="s">
        <v>199</v>
      </c>
      <c r="C90" s="242" t="s">
        <v>70</v>
      </c>
      <c r="D90" s="242" t="s">
        <v>137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 x14ac:dyDescent="0.15">
      <c r="A91" s="242">
        <v>10</v>
      </c>
      <c r="B91" s="242" t="s">
        <v>202</v>
      </c>
      <c r="C91" s="242" t="s">
        <v>203</v>
      </c>
      <c r="D91" s="242" t="s">
        <v>73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 x14ac:dyDescent="0.15">
      <c r="A92" s="242">
        <v>11</v>
      </c>
      <c r="B92" s="242" t="s">
        <v>204</v>
      </c>
      <c r="C92" s="242" t="s">
        <v>205</v>
      </c>
      <c r="D92" s="242" t="s">
        <v>105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 x14ac:dyDescent="0.15">
      <c r="A93" s="242"/>
      <c r="B93" s="246" t="s">
        <v>1275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 x14ac:dyDescent="0.15">
      <c r="E94" s="234"/>
      <c r="F94" s="234"/>
      <c r="G94" s="234"/>
      <c r="H94" s="234"/>
      <c r="I94" s="234"/>
    </row>
    <row r="95" spans="1:9" x14ac:dyDescent="0.15">
      <c r="B95" s="236" t="s">
        <v>207</v>
      </c>
      <c r="E95" s="234"/>
      <c r="F95" s="234"/>
      <c r="G95" s="234"/>
      <c r="H95" s="234"/>
      <c r="I95" s="234"/>
    </row>
    <row r="96" spans="1:9" x14ac:dyDescent="0.15">
      <c r="A96" s="242">
        <v>1</v>
      </c>
      <c r="B96" s="242" t="s">
        <v>530</v>
      </c>
      <c r="C96" s="242" t="s">
        <v>531</v>
      </c>
      <c r="D96" s="242" t="s">
        <v>35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 x14ac:dyDescent="0.15">
      <c r="A97" s="242">
        <v>2</v>
      </c>
      <c r="B97" s="242" t="s">
        <v>36</v>
      </c>
      <c r="C97" s="242" t="s">
        <v>212</v>
      </c>
      <c r="D97" s="242" t="s">
        <v>176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 x14ac:dyDescent="0.15">
      <c r="A98" s="242">
        <v>3</v>
      </c>
      <c r="B98" s="242" t="s">
        <v>217</v>
      </c>
      <c r="C98" s="242" t="s">
        <v>218</v>
      </c>
      <c r="D98" s="242" t="s">
        <v>68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 x14ac:dyDescent="0.15">
      <c r="A99" s="242">
        <v>4</v>
      </c>
      <c r="B99" s="242" t="s">
        <v>219</v>
      </c>
      <c r="C99" s="242" t="s">
        <v>1215</v>
      </c>
      <c r="D99" s="242" t="s">
        <v>206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 x14ac:dyDescent="0.15">
      <c r="A100" s="242"/>
      <c r="B100" s="246" t="s">
        <v>1276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 x14ac:dyDescent="0.15">
      <c r="E101" s="234"/>
      <c r="F101" s="234"/>
      <c r="G101" s="234"/>
      <c r="H101" s="234"/>
      <c r="I101" s="234"/>
    </row>
    <row r="102" spans="1:9" x14ac:dyDescent="0.15">
      <c r="B102" s="236" t="s">
        <v>221</v>
      </c>
      <c r="E102" s="234"/>
      <c r="F102" s="234"/>
      <c r="G102" s="234"/>
      <c r="H102" s="234"/>
      <c r="I102" s="234"/>
    </row>
    <row r="103" spans="1:9" x14ac:dyDescent="0.15">
      <c r="A103" s="242">
        <v>1</v>
      </c>
      <c r="B103" s="242" t="s">
        <v>222</v>
      </c>
      <c r="C103" s="242" t="s">
        <v>223</v>
      </c>
      <c r="D103" s="242" t="s">
        <v>115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 x14ac:dyDescent="0.15">
      <c r="A104" s="242">
        <v>2</v>
      </c>
      <c r="B104" s="242" t="s">
        <v>224</v>
      </c>
      <c r="C104" s="242" t="s">
        <v>225</v>
      </c>
      <c r="D104" s="242" t="s">
        <v>35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 x14ac:dyDescent="0.15">
      <c r="A105" s="242">
        <v>3</v>
      </c>
      <c r="B105" s="242" t="s">
        <v>226</v>
      </c>
      <c r="C105" s="242" t="s">
        <v>227</v>
      </c>
      <c r="D105" s="242" t="s">
        <v>52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 x14ac:dyDescent="0.15">
      <c r="A106" s="242">
        <v>4</v>
      </c>
      <c r="B106" s="242" t="s">
        <v>228</v>
      </c>
      <c r="C106" s="242" t="s">
        <v>227</v>
      </c>
      <c r="D106" s="242" t="s">
        <v>52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 x14ac:dyDescent="0.15">
      <c r="A107" s="242">
        <v>5</v>
      </c>
      <c r="B107" s="242" t="s">
        <v>230</v>
      </c>
      <c r="C107" s="242" t="s">
        <v>231</v>
      </c>
      <c r="D107" s="242" t="s">
        <v>554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 x14ac:dyDescent="0.15">
      <c r="A108" s="242">
        <v>6</v>
      </c>
      <c r="B108" s="242" t="s">
        <v>233</v>
      </c>
      <c r="C108" s="242" t="s">
        <v>231</v>
      </c>
      <c r="D108" s="242" t="s">
        <v>206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 x14ac:dyDescent="0.15">
      <c r="A109" s="242">
        <v>7</v>
      </c>
      <c r="B109" s="242" t="s">
        <v>234</v>
      </c>
      <c r="C109" s="242" t="s">
        <v>231</v>
      </c>
      <c r="D109" s="242" t="s">
        <v>105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 x14ac:dyDescent="0.15">
      <c r="A110" s="242"/>
      <c r="B110" s="246" t="s">
        <v>1277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 x14ac:dyDescent="0.15">
      <c r="I111" s="249"/>
    </row>
    <row r="112" spans="1:9" x14ac:dyDescent="0.15">
      <c r="B112" s="236" t="s">
        <v>235</v>
      </c>
      <c r="E112" s="234"/>
      <c r="F112" s="234"/>
      <c r="G112" s="234"/>
      <c r="H112" s="234"/>
      <c r="I112" s="234"/>
    </row>
    <row r="113" spans="1:9" x14ac:dyDescent="0.15">
      <c r="A113" s="242">
        <v>1</v>
      </c>
      <c r="B113" s="242" t="s">
        <v>1278</v>
      </c>
      <c r="C113" s="242" t="s">
        <v>70</v>
      </c>
      <c r="D113" s="242" t="s">
        <v>162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 x14ac:dyDescent="0.15">
      <c r="A114" s="242">
        <v>2</v>
      </c>
      <c r="B114" s="242" t="s">
        <v>236</v>
      </c>
      <c r="C114" s="242" t="s">
        <v>237</v>
      </c>
      <c r="D114" s="242" t="s">
        <v>68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 x14ac:dyDescent="0.15">
      <c r="A115" s="242">
        <v>3</v>
      </c>
      <c r="B115" s="242" t="s">
        <v>177</v>
      </c>
      <c r="C115" s="242" t="s">
        <v>555</v>
      </c>
      <c r="D115" s="242" t="s">
        <v>162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 x14ac:dyDescent="0.15">
      <c r="A116" s="242"/>
      <c r="B116" s="246" t="s">
        <v>1279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 x14ac:dyDescent="0.15">
      <c r="E117" s="235"/>
      <c r="F117" s="235"/>
      <c r="G117" s="235"/>
      <c r="H117" s="235"/>
      <c r="I117" s="235"/>
    </row>
    <row r="118" spans="1:9" x14ac:dyDescent="0.15">
      <c r="B118" s="236" t="s">
        <v>250</v>
      </c>
      <c r="E118" s="234"/>
      <c r="F118" s="234"/>
      <c r="G118" s="234"/>
      <c r="H118" s="234"/>
      <c r="I118" s="234"/>
    </row>
    <row r="119" spans="1:9" x14ac:dyDescent="0.15">
      <c r="A119" s="242">
        <v>1</v>
      </c>
      <c r="B119" s="242" t="s">
        <v>251</v>
      </c>
      <c r="C119" s="242" t="s">
        <v>252</v>
      </c>
      <c r="D119" s="242" t="s">
        <v>115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 x14ac:dyDescent="0.15">
      <c r="A120" s="242">
        <v>2</v>
      </c>
      <c r="B120" s="242" t="s">
        <v>253</v>
      </c>
      <c r="C120" s="242" t="s">
        <v>256</v>
      </c>
      <c r="D120" s="242" t="s">
        <v>131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 x14ac:dyDescent="0.15">
      <c r="A121" s="242">
        <v>3</v>
      </c>
      <c r="B121" s="242" t="s">
        <v>255</v>
      </c>
      <c r="C121" s="242" t="s">
        <v>256</v>
      </c>
      <c r="D121" s="242" t="s">
        <v>131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 x14ac:dyDescent="0.15">
      <c r="A122" s="242">
        <v>5</v>
      </c>
      <c r="B122" s="242" t="s">
        <v>257</v>
      </c>
      <c r="C122" s="242" t="s">
        <v>258</v>
      </c>
      <c r="D122" s="242" t="s">
        <v>46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 x14ac:dyDescent="0.15">
      <c r="A123" s="242">
        <v>6</v>
      </c>
      <c r="B123" s="242" t="s">
        <v>259</v>
      </c>
      <c r="C123" s="242" t="s">
        <v>489</v>
      </c>
      <c r="D123" s="242" t="s">
        <v>534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 x14ac:dyDescent="0.15">
      <c r="A124" s="242">
        <v>7</v>
      </c>
      <c r="B124" s="242" t="s">
        <v>260</v>
      </c>
      <c r="C124" s="242" t="s">
        <v>1216</v>
      </c>
      <c r="D124" s="242" t="s">
        <v>534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 x14ac:dyDescent="0.15">
      <c r="A125" s="242">
        <v>8</v>
      </c>
      <c r="B125" s="242" t="s">
        <v>263</v>
      </c>
      <c r="C125" s="242" t="s">
        <v>264</v>
      </c>
      <c r="D125" s="242" t="s">
        <v>87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 x14ac:dyDescent="0.15">
      <c r="A126" s="242">
        <v>9</v>
      </c>
      <c r="B126" s="242" t="s">
        <v>265</v>
      </c>
      <c r="C126" s="242" t="s">
        <v>266</v>
      </c>
      <c r="D126" s="242" t="s">
        <v>108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 x14ac:dyDescent="0.15">
      <c r="A127" s="242">
        <v>10</v>
      </c>
      <c r="B127" s="242" t="s">
        <v>267</v>
      </c>
      <c r="C127" s="242" t="s">
        <v>262</v>
      </c>
      <c r="D127" s="242" t="s">
        <v>108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 x14ac:dyDescent="0.15">
      <c r="A128" s="242"/>
      <c r="B128" s="246" t="s">
        <v>1280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 x14ac:dyDescent="0.15">
      <c r="E129" s="234"/>
      <c r="F129" s="234"/>
      <c r="G129" s="234"/>
      <c r="H129" s="234"/>
      <c r="I129" s="234"/>
    </row>
    <row r="130" spans="1:9" x14ac:dyDescent="0.15">
      <c r="B130" s="236" t="s">
        <v>270</v>
      </c>
      <c r="E130" s="234"/>
      <c r="F130" s="234"/>
      <c r="G130" s="234"/>
      <c r="H130" s="234"/>
      <c r="I130" s="234"/>
    </row>
    <row r="131" spans="1:9" x14ac:dyDescent="0.15">
      <c r="A131" s="242">
        <v>1</v>
      </c>
      <c r="B131" s="242" t="s">
        <v>557</v>
      </c>
      <c r="C131" s="242" t="s">
        <v>558</v>
      </c>
      <c r="D131" s="242" t="s">
        <v>115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 x14ac:dyDescent="0.15">
      <c r="A132" s="242">
        <v>3</v>
      </c>
      <c r="B132" s="242" t="s">
        <v>274</v>
      </c>
      <c r="C132" s="242" t="s">
        <v>275</v>
      </c>
      <c r="D132" s="242" t="s">
        <v>35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 x14ac:dyDescent="0.15">
      <c r="A133" s="242">
        <v>4</v>
      </c>
      <c r="B133" s="242" t="s">
        <v>276</v>
      </c>
      <c r="C133" s="242" t="s">
        <v>561</v>
      </c>
      <c r="D133" s="242" t="s">
        <v>176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 x14ac:dyDescent="0.15">
      <c r="A134" s="242">
        <v>5</v>
      </c>
      <c r="B134" s="242" t="s">
        <v>278</v>
      </c>
      <c r="C134" s="242" t="s">
        <v>562</v>
      </c>
      <c r="D134" s="242" t="s">
        <v>176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 x14ac:dyDescent="0.15">
      <c r="A135" s="242">
        <v>6</v>
      </c>
      <c r="B135" s="242" t="s">
        <v>280</v>
      </c>
      <c r="C135" s="242" t="s">
        <v>562</v>
      </c>
      <c r="D135" s="242" t="s">
        <v>176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 x14ac:dyDescent="0.15">
      <c r="A136" s="242">
        <v>7</v>
      </c>
      <c r="B136" s="242" t="s">
        <v>211</v>
      </c>
      <c r="C136" s="242" t="s">
        <v>564</v>
      </c>
      <c r="D136" s="242" t="s">
        <v>534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 x14ac:dyDescent="0.15">
      <c r="A137" s="242">
        <v>8</v>
      </c>
      <c r="B137" s="242" t="s">
        <v>213</v>
      </c>
      <c r="C137" s="242" t="s">
        <v>563</v>
      </c>
      <c r="D137" s="242" t="s">
        <v>162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 x14ac:dyDescent="0.15">
      <c r="A138" s="242">
        <v>9</v>
      </c>
      <c r="B138" s="242" t="s">
        <v>281</v>
      </c>
      <c r="C138" s="242" t="s">
        <v>563</v>
      </c>
      <c r="D138" s="242" t="s">
        <v>162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 x14ac:dyDescent="0.15">
      <c r="A139" s="242">
        <v>10</v>
      </c>
      <c r="B139" s="242" t="s">
        <v>282</v>
      </c>
      <c r="C139" s="242" t="s">
        <v>564</v>
      </c>
      <c r="D139" s="242" t="s">
        <v>162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 x14ac:dyDescent="0.15">
      <c r="A140" s="242">
        <v>11</v>
      </c>
      <c r="B140" s="242" t="s">
        <v>284</v>
      </c>
      <c r="C140" s="242" t="s">
        <v>285</v>
      </c>
      <c r="D140" s="242" t="s">
        <v>68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 x14ac:dyDescent="0.15">
      <c r="A141" s="242">
        <v>12</v>
      </c>
      <c r="B141" s="242" t="s">
        <v>286</v>
      </c>
      <c r="C141" s="242" t="s">
        <v>1218</v>
      </c>
      <c r="D141" s="242" t="s">
        <v>300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 x14ac:dyDescent="0.15">
      <c r="A142" s="242">
        <v>13</v>
      </c>
      <c r="B142" s="242" t="s">
        <v>60</v>
      </c>
      <c r="C142" s="242" t="s">
        <v>565</v>
      </c>
      <c r="D142" s="242" t="s">
        <v>162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 x14ac:dyDescent="0.15">
      <c r="A143" s="242">
        <v>14</v>
      </c>
      <c r="B143" s="242" t="s">
        <v>288</v>
      </c>
      <c r="C143" s="242" t="s">
        <v>297</v>
      </c>
      <c r="D143" s="242" t="s">
        <v>300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 x14ac:dyDescent="0.15">
      <c r="A144" s="242">
        <v>15</v>
      </c>
      <c r="B144" s="242" t="s">
        <v>290</v>
      </c>
      <c r="C144" s="242" t="s">
        <v>566</v>
      </c>
      <c r="D144" s="242" t="s">
        <v>76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 x14ac:dyDescent="0.15">
      <c r="A145" s="242">
        <v>16</v>
      </c>
      <c r="B145" s="242" t="s">
        <v>291</v>
      </c>
      <c r="C145" s="242" t="s">
        <v>566</v>
      </c>
      <c r="D145" s="242" t="s">
        <v>119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 x14ac:dyDescent="0.15">
      <c r="A146" s="242">
        <v>17</v>
      </c>
      <c r="B146" s="242" t="s">
        <v>293</v>
      </c>
      <c r="C146" s="242" t="s">
        <v>566</v>
      </c>
      <c r="D146" s="242" t="s">
        <v>119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 x14ac:dyDescent="0.15">
      <c r="A147" s="242">
        <v>18</v>
      </c>
      <c r="B147" s="242" t="s">
        <v>294</v>
      </c>
      <c r="C147" s="242" t="s">
        <v>295</v>
      </c>
      <c r="D147" s="242" t="s">
        <v>73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 x14ac:dyDescent="0.15">
      <c r="A148" s="242">
        <v>19</v>
      </c>
      <c r="B148" s="242" t="s">
        <v>1201</v>
      </c>
      <c r="C148" s="242" t="s">
        <v>297</v>
      </c>
      <c r="D148" s="242" t="s">
        <v>96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 x14ac:dyDescent="0.15">
      <c r="A149" s="242">
        <v>20</v>
      </c>
      <c r="B149" s="242" t="s">
        <v>298</v>
      </c>
      <c r="C149" s="242" t="s">
        <v>299</v>
      </c>
      <c r="D149" s="242" t="s">
        <v>76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 x14ac:dyDescent="0.15">
      <c r="A150" s="242">
        <v>21</v>
      </c>
      <c r="B150" s="242" t="s">
        <v>301</v>
      </c>
      <c r="C150" s="242" t="s">
        <v>302</v>
      </c>
      <c r="D150" s="242" t="s">
        <v>87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 x14ac:dyDescent="0.15">
      <c r="A151" s="242">
        <v>22</v>
      </c>
      <c r="B151" s="242" t="s">
        <v>303</v>
      </c>
      <c r="C151" s="242" t="s">
        <v>304</v>
      </c>
      <c r="D151" s="242" t="s">
        <v>76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 x14ac:dyDescent="0.15">
      <c r="A152" s="242">
        <v>23</v>
      </c>
      <c r="B152" s="242" t="s">
        <v>305</v>
      </c>
      <c r="C152" s="242" t="s">
        <v>306</v>
      </c>
      <c r="D152" s="242" t="s">
        <v>87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 x14ac:dyDescent="0.15">
      <c r="A153" s="242">
        <v>24</v>
      </c>
      <c r="B153" s="242" t="s">
        <v>307</v>
      </c>
      <c r="C153" s="242" t="s">
        <v>315</v>
      </c>
      <c r="D153" s="242" t="s">
        <v>206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 x14ac:dyDescent="0.15">
      <c r="A154" s="242">
        <v>25</v>
      </c>
      <c r="B154" s="242" t="s">
        <v>312</v>
      </c>
      <c r="C154" s="242" t="s">
        <v>313</v>
      </c>
      <c r="D154" s="242" t="s">
        <v>108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 x14ac:dyDescent="0.15">
      <c r="A155" s="242">
        <v>26</v>
      </c>
      <c r="B155" s="242" t="s">
        <v>314</v>
      </c>
      <c r="C155" s="242" t="s">
        <v>315</v>
      </c>
      <c r="D155" s="242" t="s">
        <v>108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 x14ac:dyDescent="0.15">
      <c r="A156" s="242">
        <v>27</v>
      </c>
      <c r="B156" s="242" t="s">
        <v>316</v>
      </c>
      <c r="C156" s="242" t="s">
        <v>317</v>
      </c>
      <c r="D156" s="242" t="s">
        <v>108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 x14ac:dyDescent="0.15">
      <c r="A157" s="242">
        <v>28</v>
      </c>
      <c r="B157" s="242" t="s">
        <v>318</v>
      </c>
      <c r="C157" s="242" t="s">
        <v>319</v>
      </c>
      <c r="D157" s="242" t="s">
        <v>105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 x14ac:dyDescent="0.15">
      <c r="A158" s="242">
        <v>29</v>
      </c>
      <c r="B158" s="242" t="s">
        <v>320</v>
      </c>
      <c r="C158" s="242" t="s">
        <v>315</v>
      </c>
      <c r="D158" s="242" t="s">
        <v>108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 x14ac:dyDescent="0.15">
      <c r="A159" s="242">
        <v>30</v>
      </c>
      <c r="B159" s="242" t="s">
        <v>329</v>
      </c>
      <c r="C159" s="242" t="s">
        <v>330</v>
      </c>
      <c r="D159" s="242" t="s">
        <v>348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 x14ac:dyDescent="0.15">
      <c r="A160" s="242">
        <v>31</v>
      </c>
      <c r="B160" s="242" t="s">
        <v>332</v>
      </c>
      <c r="C160" s="242" t="s">
        <v>330</v>
      </c>
      <c r="D160" s="242" t="s">
        <v>348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 x14ac:dyDescent="0.15">
      <c r="A161" s="242">
        <v>32</v>
      </c>
      <c r="B161" s="242" t="s">
        <v>333</v>
      </c>
      <c r="C161" s="242" t="s">
        <v>330</v>
      </c>
      <c r="D161" s="242" t="s">
        <v>348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 x14ac:dyDescent="0.15">
      <c r="A162" s="242">
        <v>33</v>
      </c>
      <c r="B162" s="242" t="s">
        <v>334</v>
      </c>
      <c r="C162" s="242" t="s">
        <v>330</v>
      </c>
      <c r="D162" s="242" t="s">
        <v>348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 x14ac:dyDescent="0.15">
      <c r="A163" s="242">
        <v>34</v>
      </c>
      <c r="B163" s="242" t="s">
        <v>335</v>
      </c>
      <c r="C163" s="242" t="s">
        <v>330</v>
      </c>
      <c r="D163" s="242" t="s">
        <v>348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 x14ac:dyDescent="0.15">
      <c r="A164" s="242">
        <v>35</v>
      </c>
      <c r="B164" s="242" t="s">
        <v>336</v>
      </c>
      <c r="C164" s="242" t="s">
        <v>330</v>
      </c>
      <c r="D164" s="242" t="s">
        <v>345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 x14ac:dyDescent="0.15">
      <c r="A165" s="242">
        <v>36</v>
      </c>
      <c r="B165" s="242" t="s">
        <v>338</v>
      </c>
      <c r="C165" s="242" t="s">
        <v>330</v>
      </c>
      <c r="D165" s="242" t="s">
        <v>345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 x14ac:dyDescent="0.15">
      <c r="A166" s="242">
        <v>37</v>
      </c>
      <c r="B166" s="242" t="s">
        <v>339</v>
      </c>
      <c r="C166" s="242" t="s">
        <v>330</v>
      </c>
      <c r="D166" s="242" t="s">
        <v>345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 x14ac:dyDescent="0.15">
      <c r="A167" s="242">
        <v>38</v>
      </c>
      <c r="B167" s="242" t="s">
        <v>340</v>
      </c>
      <c r="C167" s="242" t="s">
        <v>330</v>
      </c>
      <c r="D167" s="242" t="s">
        <v>345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 x14ac:dyDescent="0.15">
      <c r="A168" s="242">
        <v>39</v>
      </c>
      <c r="B168" s="242" t="s">
        <v>341</v>
      </c>
      <c r="C168" s="242" t="s">
        <v>330</v>
      </c>
      <c r="D168" s="242" t="s">
        <v>345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 x14ac:dyDescent="0.15">
      <c r="A169" s="242">
        <v>40</v>
      </c>
      <c r="B169" s="242" t="s">
        <v>342</v>
      </c>
      <c r="C169" s="242" t="s">
        <v>330</v>
      </c>
      <c r="D169" s="242" t="s">
        <v>345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 x14ac:dyDescent="0.15">
      <c r="A170" s="242">
        <v>41</v>
      </c>
      <c r="B170" s="242" t="s">
        <v>343</v>
      </c>
      <c r="C170" s="242" t="s">
        <v>350</v>
      </c>
      <c r="D170" s="242" t="s">
        <v>354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 x14ac:dyDescent="0.15">
      <c r="A171" s="242">
        <v>42</v>
      </c>
      <c r="B171" s="242" t="s">
        <v>346</v>
      </c>
      <c r="C171" s="242" t="s">
        <v>350</v>
      </c>
      <c r="D171" s="242" t="s">
        <v>354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 x14ac:dyDescent="0.15">
      <c r="A172" s="242">
        <v>43</v>
      </c>
      <c r="B172" s="242" t="s">
        <v>347</v>
      </c>
      <c r="C172" s="242" t="s">
        <v>350</v>
      </c>
      <c r="D172" s="242" t="s">
        <v>1197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 x14ac:dyDescent="0.15">
      <c r="A173" s="242">
        <v>44</v>
      </c>
      <c r="B173" s="242" t="s">
        <v>349</v>
      </c>
      <c r="C173" s="242" t="s">
        <v>350</v>
      </c>
      <c r="D173" s="242" t="s">
        <v>1202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 x14ac:dyDescent="0.15">
      <c r="A174" s="242">
        <v>45</v>
      </c>
      <c r="B174" s="242" t="s">
        <v>352</v>
      </c>
      <c r="C174" s="242" t="s">
        <v>353</v>
      </c>
      <c r="D174" s="242" t="s">
        <v>1203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 x14ac:dyDescent="0.15">
      <c r="A175" s="242">
        <v>46</v>
      </c>
      <c r="B175" s="242" t="s">
        <v>355</v>
      </c>
      <c r="C175" s="242" t="s">
        <v>353</v>
      </c>
      <c r="D175" s="242" t="s">
        <v>1203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 x14ac:dyDescent="0.15">
      <c r="A176" s="242">
        <v>47</v>
      </c>
      <c r="B176" s="242" t="s">
        <v>356</v>
      </c>
      <c r="C176" s="242" t="s">
        <v>353</v>
      </c>
      <c r="D176" s="242" t="s">
        <v>1203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 x14ac:dyDescent="0.15">
      <c r="A177" s="242">
        <v>48</v>
      </c>
      <c r="B177" s="242" t="s">
        <v>357</v>
      </c>
      <c r="C177" s="242" t="s">
        <v>353</v>
      </c>
      <c r="D177" s="242" t="s">
        <v>1203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 x14ac:dyDescent="0.15">
      <c r="A178" s="242">
        <v>49</v>
      </c>
      <c r="B178" s="242" t="s">
        <v>358</v>
      </c>
      <c r="C178" s="242" t="s">
        <v>353</v>
      </c>
      <c r="D178" s="242" t="s">
        <v>1203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 x14ac:dyDescent="0.15">
      <c r="A179" s="242">
        <v>50</v>
      </c>
      <c r="B179" s="242" t="s">
        <v>359</v>
      </c>
      <c r="C179" s="242" t="s">
        <v>353</v>
      </c>
      <c r="D179" s="242" t="s">
        <v>1203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 x14ac:dyDescent="0.15">
      <c r="A180" s="242">
        <v>51</v>
      </c>
      <c r="B180" s="242" t="s">
        <v>360</v>
      </c>
      <c r="C180" s="242" t="s">
        <v>353</v>
      </c>
      <c r="D180" s="242" t="s">
        <v>1203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 x14ac:dyDescent="0.15">
      <c r="A181" s="242">
        <v>52</v>
      </c>
      <c r="B181" s="242" t="s">
        <v>493</v>
      </c>
      <c r="C181" s="242" t="s">
        <v>350</v>
      </c>
      <c r="D181" s="242" t="s">
        <v>1203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 x14ac:dyDescent="0.15">
      <c r="A182" s="242">
        <v>53</v>
      </c>
      <c r="B182" s="242" t="s">
        <v>361</v>
      </c>
      <c r="C182" s="242" t="s">
        <v>350</v>
      </c>
      <c r="D182" s="242" t="s">
        <v>1203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 x14ac:dyDescent="0.15">
      <c r="A183" s="242">
        <v>54</v>
      </c>
      <c r="B183" s="242" t="s">
        <v>362</v>
      </c>
      <c r="C183" s="242" t="s">
        <v>353</v>
      </c>
      <c r="D183" s="242" t="s">
        <v>1219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 x14ac:dyDescent="0.15">
      <c r="A184" s="242">
        <v>55</v>
      </c>
      <c r="B184" s="242" t="s">
        <v>367</v>
      </c>
      <c r="C184" s="242" t="s">
        <v>353</v>
      </c>
      <c r="D184" s="242" t="s">
        <v>371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 x14ac:dyDescent="0.15">
      <c r="A185" s="242">
        <v>56</v>
      </c>
      <c r="B185" s="242" t="s">
        <v>369</v>
      </c>
      <c r="C185" s="242" t="s">
        <v>370</v>
      </c>
      <c r="D185" s="242" t="s">
        <v>1204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 x14ac:dyDescent="0.15">
      <c r="A186" s="242">
        <v>57</v>
      </c>
      <c r="B186" s="242" t="s">
        <v>372</v>
      </c>
      <c r="C186" s="242" t="s">
        <v>370</v>
      </c>
      <c r="D186" s="242" t="s">
        <v>1204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 x14ac:dyDescent="0.15">
      <c r="A187" s="242">
        <v>58</v>
      </c>
      <c r="B187" s="242" t="s">
        <v>373</v>
      </c>
      <c r="C187" s="242" t="s">
        <v>370</v>
      </c>
      <c r="D187" s="242" t="s">
        <v>1204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 x14ac:dyDescent="0.15">
      <c r="A188" s="242">
        <v>59</v>
      </c>
      <c r="B188" s="242" t="s">
        <v>374</v>
      </c>
      <c r="C188" s="242" t="s">
        <v>375</v>
      </c>
      <c r="D188" s="242" t="s">
        <v>368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 x14ac:dyDescent="0.15">
      <c r="A189" s="242">
        <v>60</v>
      </c>
      <c r="B189" s="242" t="s">
        <v>377</v>
      </c>
      <c r="C189" s="242" t="s">
        <v>375</v>
      </c>
      <c r="D189" s="242" t="s">
        <v>368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 x14ac:dyDescent="0.15">
      <c r="A190" s="242"/>
      <c r="B190" s="246" t="s">
        <v>1281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 x14ac:dyDescent="0.15">
      <c r="E191" s="234"/>
      <c r="F191" s="234"/>
      <c r="G191" s="234"/>
      <c r="H191" s="234"/>
      <c r="I191" s="235"/>
    </row>
    <row r="192" spans="1:9" ht="24" customHeight="1" x14ac:dyDescent="0.15">
      <c r="A192" s="242"/>
      <c r="B192" s="975" t="s">
        <v>1282</v>
      </c>
      <c r="C192" s="975"/>
      <c r="D192" s="975"/>
      <c r="E192" s="975"/>
      <c r="F192" s="975"/>
      <c r="G192" s="975"/>
      <c r="H192" s="975"/>
      <c r="I192" s="251">
        <f>I190+I116+I110+I100+I93+I79+I69+I54+I49+I33+I28</f>
        <v>19740000</v>
      </c>
    </row>
    <row r="193" spans="5:8" x14ac:dyDescent="0.15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63"/>
  <sheetViews>
    <sheetView workbookViewId="0">
      <selection activeCell="L13" sqref="L13"/>
    </sheetView>
  </sheetViews>
  <sheetFormatPr defaultColWidth="9.16796875" defaultRowHeight="13.5" x14ac:dyDescent="0.15"/>
  <cols>
    <col min="1" max="1" width="4.04296875" style="229" customWidth="1"/>
    <col min="2" max="2" width="28.31640625" style="229" customWidth="1"/>
    <col min="3" max="3" width="20.08984375" style="229" customWidth="1"/>
    <col min="4" max="4" width="15.5078125" style="229" customWidth="1"/>
    <col min="5" max="5" width="12.9453125" style="229" customWidth="1"/>
    <col min="6" max="6" width="14.83203125" style="229" customWidth="1"/>
    <col min="7" max="7" width="14.5625" style="229" customWidth="1"/>
    <col min="8" max="8" width="12.9453125" style="229" customWidth="1"/>
    <col min="9" max="16384" width="9.16796875" style="229"/>
  </cols>
  <sheetData>
    <row r="1" spans="1:10" ht="21" x14ac:dyDescent="0.25">
      <c r="A1" s="966" t="s">
        <v>0</v>
      </c>
      <c r="B1" s="966"/>
      <c r="C1" s="966"/>
      <c r="D1" s="966"/>
      <c r="E1" s="966"/>
      <c r="F1" s="966"/>
      <c r="G1" s="966"/>
      <c r="H1" s="966"/>
      <c r="I1" s="238"/>
      <c r="J1" s="238"/>
    </row>
    <row r="2" spans="1:10" ht="18" x14ac:dyDescent="0.2">
      <c r="A2" s="976" t="s">
        <v>526</v>
      </c>
      <c r="B2" s="976"/>
      <c r="C2" s="976"/>
      <c r="D2" s="976"/>
      <c r="E2" s="976"/>
      <c r="F2" s="976"/>
      <c r="G2" s="976"/>
      <c r="H2" s="976"/>
      <c r="I2" s="239"/>
      <c r="J2" s="239"/>
    </row>
    <row r="3" spans="1:10" ht="37.5" customHeight="1" x14ac:dyDescent="0.25">
      <c r="A3" s="977" t="s">
        <v>1255</v>
      </c>
      <c r="B3" s="977"/>
      <c r="C3" s="977"/>
      <c r="D3" s="977"/>
      <c r="E3" s="977"/>
      <c r="F3" s="977"/>
      <c r="G3" s="977"/>
      <c r="H3" s="977"/>
    </row>
    <row r="5" spans="1:10" ht="42.75" customHeight="1" x14ac:dyDescent="0.2">
      <c r="A5" s="230" t="s">
        <v>21</v>
      </c>
      <c r="B5" s="48" t="s">
        <v>2</v>
      </c>
      <c r="C5" s="48" t="s">
        <v>3</v>
      </c>
      <c r="D5" s="231" t="s">
        <v>1283</v>
      </c>
      <c r="E5" s="231" t="s">
        <v>1206</v>
      </c>
      <c r="F5" s="231" t="s">
        <v>1207</v>
      </c>
      <c r="G5" s="231" t="s">
        <v>1284</v>
      </c>
      <c r="H5" s="232" t="s">
        <v>1260</v>
      </c>
      <c r="I5" s="44"/>
    </row>
    <row r="6" spans="1:10" ht="18" x14ac:dyDescent="0.2">
      <c r="A6" s="41">
        <v>1</v>
      </c>
      <c r="B6" s="41" t="s">
        <v>1285</v>
      </c>
      <c r="C6" s="41" t="s">
        <v>1286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" x14ac:dyDescent="0.2">
      <c r="A7" s="41">
        <v>2</v>
      </c>
      <c r="B7" s="41" t="s">
        <v>1287</v>
      </c>
      <c r="C7" s="41" t="s">
        <v>1286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" x14ac:dyDescent="0.2">
      <c r="A8" s="41">
        <v>3</v>
      </c>
      <c r="B8" s="41" t="s">
        <v>1288</v>
      </c>
      <c r="C8" s="41" t="s">
        <v>1289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" x14ac:dyDescent="0.2">
      <c r="A9" s="41">
        <v>4</v>
      </c>
      <c r="B9" s="41" t="s">
        <v>1287</v>
      </c>
      <c r="C9" s="41" t="s">
        <v>1286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" x14ac:dyDescent="0.2">
      <c r="A10" s="41">
        <v>5</v>
      </c>
      <c r="B10" s="41" t="s">
        <v>1290</v>
      </c>
      <c r="C10" s="41" t="s">
        <v>1291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" x14ac:dyDescent="0.2">
      <c r="A11" s="41">
        <v>6</v>
      </c>
      <c r="B11" s="41" t="s">
        <v>1292</v>
      </c>
      <c r="C11" s="41" t="s">
        <v>1293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" x14ac:dyDescent="0.2">
      <c r="A12" s="41">
        <v>7</v>
      </c>
      <c r="B12" s="41" t="s">
        <v>1294</v>
      </c>
      <c r="C12" s="41" t="s">
        <v>1295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" x14ac:dyDescent="0.2">
      <c r="A13" s="41">
        <v>8</v>
      </c>
      <c r="B13" s="41" t="s">
        <v>1296</v>
      </c>
      <c r="C13" s="41" t="s">
        <v>1297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" x14ac:dyDescent="0.2">
      <c r="A14" s="41">
        <v>9</v>
      </c>
      <c r="B14" s="41" t="s">
        <v>1298</v>
      </c>
      <c r="C14" s="41" t="s">
        <v>1297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" x14ac:dyDescent="0.2">
      <c r="A15" s="41">
        <v>10</v>
      </c>
      <c r="B15" s="41" t="s">
        <v>1299</v>
      </c>
      <c r="C15" s="41" t="s">
        <v>1295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" x14ac:dyDescent="0.2">
      <c r="A16" s="41">
        <v>11</v>
      </c>
      <c r="B16" s="41" t="s">
        <v>1300</v>
      </c>
      <c r="C16" s="41" t="s">
        <v>1301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" x14ac:dyDescent="0.2">
      <c r="A17" s="41">
        <v>12</v>
      </c>
      <c r="B17" s="41" t="s">
        <v>1302</v>
      </c>
      <c r="C17" s="41" t="s">
        <v>1289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" x14ac:dyDescent="0.2">
      <c r="A18" s="41">
        <v>13</v>
      </c>
      <c r="B18" s="41" t="s">
        <v>1303</v>
      </c>
      <c r="C18" s="41" t="s">
        <v>1304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" x14ac:dyDescent="0.2">
      <c r="A19" s="41">
        <v>14</v>
      </c>
      <c r="B19" s="41" t="s">
        <v>1305</v>
      </c>
      <c r="C19" s="41" t="s">
        <v>1291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" x14ac:dyDescent="0.2">
      <c r="A20" s="41">
        <v>15</v>
      </c>
      <c r="B20" s="41" t="s">
        <v>1306</v>
      </c>
      <c r="C20" s="41" t="s">
        <v>607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" x14ac:dyDescent="0.2">
      <c r="A21" s="41">
        <v>16</v>
      </c>
      <c r="B21" s="41" t="s">
        <v>1307</v>
      </c>
      <c r="C21" s="41" t="s">
        <v>1308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" x14ac:dyDescent="0.2">
      <c r="A22" s="41">
        <v>17</v>
      </c>
      <c r="B22" s="41" t="s">
        <v>1309</v>
      </c>
      <c r="C22" s="41" t="s">
        <v>1291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" x14ac:dyDescent="0.2">
      <c r="A23" s="41">
        <v>18</v>
      </c>
      <c r="B23" s="41" t="s">
        <v>1310</v>
      </c>
      <c r="C23" s="41" t="s">
        <v>642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" x14ac:dyDescent="0.2">
      <c r="A24" s="41">
        <v>19</v>
      </c>
      <c r="B24" s="41" t="s">
        <v>1311</v>
      </c>
      <c r="C24" s="41" t="s">
        <v>642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" x14ac:dyDescent="0.2">
      <c r="A25" s="41">
        <v>20</v>
      </c>
      <c r="B25" s="41" t="s">
        <v>1312</v>
      </c>
      <c r="C25" s="41" t="s">
        <v>642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" x14ac:dyDescent="0.2">
      <c r="A26" s="41">
        <v>21</v>
      </c>
      <c r="B26" s="41" t="s">
        <v>1313</v>
      </c>
      <c r="C26" s="41" t="s">
        <v>642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" x14ac:dyDescent="0.2">
      <c r="A27" s="41">
        <v>22</v>
      </c>
      <c r="B27" s="41" t="s">
        <v>1314</v>
      </c>
      <c r="C27" s="41" t="s">
        <v>1315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" x14ac:dyDescent="0.2">
      <c r="A28" s="41">
        <v>23</v>
      </c>
      <c r="B28" s="41" t="s">
        <v>1316</v>
      </c>
      <c r="C28" s="41" t="s">
        <v>1317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" x14ac:dyDescent="0.2">
      <c r="A29" s="41">
        <v>24</v>
      </c>
      <c r="B29" s="41" t="s">
        <v>1318</v>
      </c>
      <c r="C29" s="41" t="s">
        <v>1319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" x14ac:dyDescent="0.2">
      <c r="A30" s="41">
        <v>25</v>
      </c>
      <c r="B30" s="41" t="s">
        <v>1320</v>
      </c>
      <c r="C30" s="41" t="s">
        <v>1301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" x14ac:dyDescent="0.2">
      <c r="A31" s="41">
        <v>26</v>
      </c>
      <c r="B31" s="41" t="s">
        <v>765</v>
      </c>
      <c r="C31" s="41" t="s">
        <v>642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" x14ac:dyDescent="0.2">
      <c r="A32" s="41">
        <v>27</v>
      </c>
      <c r="B32" s="41" t="s">
        <v>1321</v>
      </c>
      <c r="C32" s="41" t="s">
        <v>1289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" x14ac:dyDescent="0.2">
      <c r="A33" s="41">
        <v>28</v>
      </c>
      <c r="B33" s="41" t="s">
        <v>1322</v>
      </c>
      <c r="C33" s="41" t="s">
        <v>1289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" x14ac:dyDescent="0.2">
      <c r="A34" s="41">
        <v>29</v>
      </c>
      <c r="B34" s="41" t="s">
        <v>739</v>
      </c>
      <c r="C34" s="41" t="s">
        <v>642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" x14ac:dyDescent="0.2">
      <c r="A35" s="41">
        <v>30</v>
      </c>
      <c r="B35" s="41" t="s">
        <v>766</v>
      </c>
      <c r="C35" s="41" t="s">
        <v>642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" x14ac:dyDescent="0.2">
      <c r="A36" s="41">
        <v>31</v>
      </c>
      <c r="B36" s="41" t="s">
        <v>1323</v>
      </c>
      <c r="C36" s="41" t="s">
        <v>1324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" x14ac:dyDescent="0.2">
      <c r="A37" s="41">
        <v>32</v>
      </c>
      <c r="B37" s="41" t="s">
        <v>767</v>
      </c>
      <c r="C37" s="41" t="s">
        <v>642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" x14ac:dyDescent="0.2">
      <c r="A38" s="41">
        <v>33</v>
      </c>
      <c r="B38" s="41" t="s">
        <v>768</v>
      </c>
      <c r="C38" s="41" t="s">
        <v>1325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" x14ac:dyDescent="0.2">
      <c r="A39" s="41">
        <v>34</v>
      </c>
      <c r="B39" s="41" t="s">
        <v>1326</v>
      </c>
      <c r="C39" s="41" t="s">
        <v>642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" x14ac:dyDescent="0.2">
      <c r="A40" s="41">
        <v>35</v>
      </c>
      <c r="B40" s="41" t="s">
        <v>769</v>
      </c>
      <c r="C40" s="41" t="s">
        <v>642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" x14ac:dyDescent="0.2">
      <c r="A41" s="41">
        <v>36</v>
      </c>
      <c r="B41" s="41" t="s">
        <v>1327</v>
      </c>
      <c r="C41" s="41" t="s">
        <v>1291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" x14ac:dyDescent="0.2">
      <c r="A42" s="41">
        <v>37</v>
      </c>
      <c r="B42" s="41" t="s">
        <v>1328</v>
      </c>
      <c r="C42" s="41" t="s">
        <v>1291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" x14ac:dyDescent="0.2">
      <c r="A43" s="41">
        <v>38</v>
      </c>
      <c r="B43" s="41" t="s">
        <v>1329</v>
      </c>
      <c r="C43" s="41" t="s">
        <v>1291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" x14ac:dyDescent="0.2">
      <c r="A44" s="41">
        <v>39</v>
      </c>
      <c r="B44" s="41" t="s">
        <v>1330</v>
      </c>
      <c r="C44" s="41" t="s">
        <v>1291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" x14ac:dyDescent="0.2">
      <c r="A45" s="41">
        <v>40</v>
      </c>
      <c r="B45" s="41" t="s">
        <v>1331</v>
      </c>
      <c r="C45" s="41" t="s">
        <v>1291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" x14ac:dyDescent="0.2">
      <c r="A46" s="41">
        <v>41</v>
      </c>
      <c r="B46" s="41" t="s">
        <v>1332</v>
      </c>
      <c r="C46" s="41" t="s">
        <v>1291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" x14ac:dyDescent="0.2">
      <c r="A47" s="41">
        <v>42</v>
      </c>
      <c r="B47" s="41" t="s">
        <v>1333</v>
      </c>
      <c r="C47" s="41" t="s">
        <v>642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" x14ac:dyDescent="0.2">
      <c r="A48" s="41">
        <v>43</v>
      </c>
      <c r="B48" s="41" t="s">
        <v>1334</v>
      </c>
      <c r="C48" s="41" t="s">
        <v>1291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" x14ac:dyDescent="0.2">
      <c r="A49" s="41">
        <v>44</v>
      </c>
      <c r="B49" s="41" t="s">
        <v>1335</v>
      </c>
      <c r="C49" s="41" t="s">
        <v>1291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" x14ac:dyDescent="0.2">
      <c r="A50" s="41">
        <v>45</v>
      </c>
      <c r="B50" s="41" t="s">
        <v>1336</v>
      </c>
      <c r="C50" s="41" t="s">
        <v>642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" x14ac:dyDescent="0.2">
      <c r="A51" s="41">
        <v>46</v>
      </c>
      <c r="B51" s="41" t="s">
        <v>1337</v>
      </c>
      <c r="C51" s="41" t="s">
        <v>1291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" x14ac:dyDescent="0.2">
      <c r="A52" s="41">
        <v>47</v>
      </c>
      <c r="B52" s="41" t="s">
        <v>1338</v>
      </c>
      <c r="C52" s="41" t="s">
        <v>1291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" x14ac:dyDescent="0.2">
      <c r="A53" s="41">
        <v>48</v>
      </c>
      <c r="B53" s="41" t="s">
        <v>1339</v>
      </c>
      <c r="C53" s="41" t="s">
        <v>642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" x14ac:dyDescent="0.2">
      <c r="A54" s="41">
        <v>49</v>
      </c>
      <c r="B54" s="41" t="s">
        <v>1340</v>
      </c>
      <c r="C54" s="41" t="s">
        <v>642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" x14ac:dyDescent="0.2">
      <c r="A55" s="41">
        <v>50</v>
      </c>
      <c r="B55" s="41" t="s">
        <v>1341</v>
      </c>
      <c r="C55" s="41" t="s">
        <v>642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" x14ac:dyDescent="0.2">
      <c r="A56" s="41">
        <v>51</v>
      </c>
      <c r="B56" s="41" t="s">
        <v>1342</v>
      </c>
      <c r="C56" s="41" t="s">
        <v>642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" x14ac:dyDescent="0.2">
      <c r="A57" s="41">
        <v>52</v>
      </c>
      <c r="B57" s="41" t="s">
        <v>1343</v>
      </c>
      <c r="C57" s="41" t="s">
        <v>1291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" x14ac:dyDescent="0.2">
      <c r="A58" s="41">
        <v>53</v>
      </c>
      <c r="B58" s="41" t="s">
        <v>1344</v>
      </c>
      <c r="C58" s="41" t="s">
        <v>1291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" x14ac:dyDescent="0.2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 x14ac:dyDescent="0.15">
      <c r="D60" s="234"/>
      <c r="E60" s="234"/>
      <c r="F60" s="234"/>
      <c r="G60" s="234"/>
      <c r="H60" s="234"/>
    </row>
    <row r="61" spans="1:9" x14ac:dyDescent="0.15">
      <c r="D61" s="234"/>
      <c r="E61" s="234"/>
      <c r="F61" s="234"/>
      <c r="G61" s="234"/>
      <c r="H61" s="235"/>
    </row>
    <row r="62" spans="1:9" x14ac:dyDescent="0.15">
      <c r="A62" s="236"/>
      <c r="B62" s="236"/>
      <c r="C62" s="236"/>
      <c r="D62" s="235"/>
      <c r="E62" s="235"/>
      <c r="F62" s="235"/>
      <c r="G62" s="235"/>
      <c r="H62" s="237"/>
    </row>
    <row r="63" spans="1:9" x14ac:dyDescent="0.15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160"/>
  <sheetViews>
    <sheetView workbookViewId="0">
      <selection activeCell="C10" sqref="C10"/>
    </sheetView>
  </sheetViews>
  <sheetFormatPr defaultColWidth="9.03515625" defaultRowHeight="12.75" x14ac:dyDescent="0.15"/>
  <cols>
    <col min="2" max="2" width="34.38671875" customWidth="1"/>
    <col min="3" max="3" width="42.34375" customWidth="1"/>
    <col min="4" max="4" width="16.5859375" customWidth="1"/>
    <col min="5" max="5" width="14.5625" customWidth="1"/>
    <col min="6" max="6" width="14.6953125" customWidth="1"/>
  </cols>
  <sheetData>
    <row r="1" spans="1:10" ht="45" customHeight="1" x14ac:dyDescent="0.2">
      <c r="A1" s="224" t="s">
        <v>734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 x14ac:dyDescent="0.2">
      <c r="A2" s="55" t="s">
        <v>21</v>
      </c>
      <c r="B2" s="40" t="s">
        <v>501</v>
      </c>
      <c r="C2" s="40" t="s">
        <v>3</v>
      </c>
      <c r="D2" s="225" t="s">
        <v>1345</v>
      </c>
      <c r="E2" s="225" t="s">
        <v>15</v>
      </c>
      <c r="F2" s="225" t="s">
        <v>1346</v>
      </c>
      <c r="G2" s="44"/>
      <c r="H2" s="44"/>
      <c r="I2" s="44"/>
      <c r="J2" s="44"/>
    </row>
    <row r="3" spans="1:10" ht="35.1" customHeight="1" x14ac:dyDescent="0.2">
      <c r="A3" s="45">
        <v>1</v>
      </c>
      <c r="B3" s="41" t="s">
        <v>168</v>
      </c>
      <c r="C3" s="41" t="s">
        <v>139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 x14ac:dyDescent="0.2">
      <c r="A4" s="45">
        <v>2</v>
      </c>
      <c r="B4" s="164" t="s">
        <v>1347</v>
      </c>
      <c r="C4" s="41" t="s">
        <v>1348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 x14ac:dyDescent="0.2">
      <c r="A5" s="41"/>
      <c r="B5" s="40" t="s">
        <v>111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" x14ac:dyDescent="0.2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" x14ac:dyDescent="0.2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" x14ac:dyDescent="0.2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" x14ac:dyDescent="0.2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" x14ac:dyDescent="0.2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" x14ac:dyDescent="0.2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" x14ac:dyDescent="0.2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" x14ac:dyDescent="0.2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" x14ac:dyDescent="0.2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" x14ac:dyDescent="0.2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" x14ac:dyDescent="0.2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" x14ac:dyDescent="0.2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" x14ac:dyDescent="0.2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" x14ac:dyDescent="0.2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" x14ac:dyDescent="0.2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" x14ac:dyDescent="0.2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" x14ac:dyDescent="0.2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" x14ac:dyDescent="0.2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" x14ac:dyDescent="0.2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" x14ac:dyDescent="0.2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" x14ac:dyDescent="0.2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" x14ac:dyDescent="0.2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" x14ac:dyDescent="0.2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" x14ac:dyDescent="0.2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" x14ac:dyDescent="0.2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" x14ac:dyDescent="0.2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" x14ac:dyDescent="0.2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" x14ac:dyDescent="0.2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" x14ac:dyDescent="0.2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" x14ac:dyDescent="0.2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" x14ac:dyDescent="0.2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" x14ac:dyDescent="0.2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" x14ac:dyDescent="0.2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" x14ac:dyDescent="0.2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" x14ac:dyDescent="0.2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" x14ac:dyDescent="0.2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" x14ac:dyDescent="0.2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" x14ac:dyDescent="0.2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" x14ac:dyDescent="0.2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" x14ac:dyDescent="0.2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" x14ac:dyDescent="0.2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" x14ac:dyDescent="0.2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" x14ac:dyDescent="0.2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" x14ac:dyDescent="0.2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" x14ac:dyDescent="0.2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" x14ac:dyDescent="0.2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" x14ac:dyDescent="0.2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" x14ac:dyDescent="0.2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" x14ac:dyDescent="0.2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" x14ac:dyDescent="0.2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" x14ac:dyDescent="0.2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" x14ac:dyDescent="0.2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" x14ac:dyDescent="0.2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" x14ac:dyDescent="0.2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" x14ac:dyDescent="0.2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" x14ac:dyDescent="0.2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" x14ac:dyDescent="0.2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" x14ac:dyDescent="0.2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" x14ac:dyDescent="0.2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" x14ac:dyDescent="0.2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" x14ac:dyDescent="0.2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" x14ac:dyDescent="0.2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" x14ac:dyDescent="0.2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" x14ac:dyDescent="0.2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" x14ac:dyDescent="0.2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" x14ac:dyDescent="0.2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" x14ac:dyDescent="0.2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" x14ac:dyDescent="0.2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" x14ac:dyDescent="0.2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" x14ac:dyDescent="0.2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" x14ac:dyDescent="0.2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" x14ac:dyDescent="0.2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" x14ac:dyDescent="0.2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" x14ac:dyDescent="0.2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" x14ac:dyDescent="0.2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" x14ac:dyDescent="0.2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" x14ac:dyDescent="0.2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" x14ac:dyDescent="0.2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" x14ac:dyDescent="0.2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" x14ac:dyDescent="0.2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" x14ac:dyDescent="0.2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" x14ac:dyDescent="0.2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" x14ac:dyDescent="0.2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" x14ac:dyDescent="0.2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" x14ac:dyDescent="0.2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" x14ac:dyDescent="0.2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" x14ac:dyDescent="0.2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" x14ac:dyDescent="0.2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" x14ac:dyDescent="0.2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" x14ac:dyDescent="0.2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" x14ac:dyDescent="0.2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" x14ac:dyDescent="0.2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" x14ac:dyDescent="0.2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" x14ac:dyDescent="0.2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" x14ac:dyDescent="0.2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" x14ac:dyDescent="0.2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" x14ac:dyDescent="0.2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" x14ac:dyDescent="0.2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" x14ac:dyDescent="0.2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" x14ac:dyDescent="0.2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" x14ac:dyDescent="0.2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" x14ac:dyDescent="0.2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" x14ac:dyDescent="0.2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" x14ac:dyDescent="0.2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" x14ac:dyDescent="0.2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" x14ac:dyDescent="0.2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" x14ac:dyDescent="0.2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" x14ac:dyDescent="0.2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" x14ac:dyDescent="0.2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" x14ac:dyDescent="0.2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" x14ac:dyDescent="0.2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" x14ac:dyDescent="0.2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" x14ac:dyDescent="0.2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" x14ac:dyDescent="0.2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" x14ac:dyDescent="0.2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" x14ac:dyDescent="0.2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" x14ac:dyDescent="0.2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" x14ac:dyDescent="0.2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" x14ac:dyDescent="0.2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" x14ac:dyDescent="0.2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" x14ac:dyDescent="0.2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" x14ac:dyDescent="0.2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" x14ac:dyDescent="0.2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" x14ac:dyDescent="0.2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" x14ac:dyDescent="0.2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" x14ac:dyDescent="0.2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" x14ac:dyDescent="0.2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" x14ac:dyDescent="0.2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" x14ac:dyDescent="0.2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" x14ac:dyDescent="0.2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" x14ac:dyDescent="0.2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" x14ac:dyDescent="0.2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" x14ac:dyDescent="0.2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" x14ac:dyDescent="0.2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" x14ac:dyDescent="0.2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" x14ac:dyDescent="0.2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" x14ac:dyDescent="0.2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" x14ac:dyDescent="0.2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" x14ac:dyDescent="0.2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" x14ac:dyDescent="0.2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" x14ac:dyDescent="0.2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" x14ac:dyDescent="0.2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" x14ac:dyDescent="0.2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" x14ac:dyDescent="0.2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" x14ac:dyDescent="0.2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" x14ac:dyDescent="0.2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" x14ac:dyDescent="0.2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190"/>
  <sheetViews>
    <sheetView workbookViewId="0">
      <pane xSplit="3" ySplit="7" topLeftCell="D8" activePane="bottomRight" state="frozen"/>
      <selection pane="bottomLeft"/>
      <selection pane="topRight"/>
      <selection pane="bottomRight" activeCell="F42" sqref="F42"/>
    </sheetView>
  </sheetViews>
  <sheetFormatPr defaultColWidth="9.16796875" defaultRowHeight="20.100000000000001" customHeight="1" x14ac:dyDescent="0.2"/>
  <cols>
    <col min="1" max="1" width="5.390625" style="1" customWidth="1"/>
    <col min="2" max="2" width="42.8828125" style="1" customWidth="1"/>
    <col min="3" max="3" width="38.02734375" style="1" customWidth="1"/>
    <col min="4" max="4" width="12.40625" style="1" customWidth="1"/>
    <col min="5" max="5" width="21.84375" style="1" customWidth="1"/>
    <col min="6" max="6" width="21.7109375" style="1" customWidth="1"/>
    <col min="7" max="16384" width="9.16796875" style="1"/>
  </cols>
  <sheetData>
    <row r="1" spans="1:6" ht="27" customHeight="1" x14ac:dyDescent="0.25">
      <c r="A1" s="202" t="s">
        <v>0</v>
      </c>
      <c r="B1" s="202"/>
      <c r="C1" s="202"/>
      <c r="D1" s="202"/>
      <c r="E1" s="223"/>
    </row>
    <row r="2" spans="1:6" ht="33.75" customHeight="1" x14ac:dyDescent="0.3">
      <c r="A2" s="202" t="s">
        <v>1349</v>
      </c>
      <c r="B2" s="62"/>
      <c r="C2" s="61"/>
      <c r="D2" s="61"/>
      <c r="E2" s="63"/>
    </row>
    <row r="3" spans="1:6" ht="9.75" customHeight="1" x14ac:dyDescent="0.2"/>
    <row r="4" spans="1:6" ht="49.5" customHeight="1" x14ac:dyDescent="0.25">
      <c r="A4" s="203"/>
      <c r="B4" s="204" t="s">
        <v>2</v>
      </c>
      <c r="C4" s="205" t="s">
        <v>3</v>
      </c>
      <c r="D4" s="206" t="s">
        <v>4</v>
      </c>
      <c r="E4" s="207" t="s">
        <v>638</v>
      </c>
    </row>
    <row r="5" spans="1:6" ht="17.25" customHeight="1" x14ac:dyDescent="0.2">
      <c r="C5" s="6"/>
      <c r="D5" s="6"/>
      <c r="E5" s="196" t="s">
        <v>20</v>
      </c>
    </row>
    <row r="6" spans="1:6" ht="20.100000000000001" customHeight="1" x14ac:dyDescent="0.2">
      <c r="A6" s="7" t="s">
        <v>21</v>
      </c>
      <c r="B6" s="6" t="s">
        <v>22</v>
      </c>
      <c r="C6" s="6"/>
      <c r="D6" s="6"/>
      <c r="E6" s="196"/>
    </row>
    <row r="7" spans="1:6" ht="20.100000000000001" customHeight="1" x14ac:dyDescent="0.25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 x14ac:dyDescent="0.25">
      <c r="A8" s="8">
        <v>2</v>
      </c>
      <c r="B8" s="9" t="s">
        <v>1261</v>
      </c>
      <c r="C8" s="2" t="s">
        <v>1350</v>
      </c>
      <c r="D8" s="8" t="s">
        <v>154</v>
      </c>
      <c r="E8" s="208">
        <v>150000</v>
      </c>
      <c r="F8" s="11"/>
    </row>
    <row r="9" spans="1:6" ht="20.100000000000001" customHeight="1" x14ac:dyDescent="0.25">
      <c r="A9" s="8">
        <v>3</v>
      </c>
      <c r="B9" s="12" t="s">
        <v>1351</v>
      </c>
      <c r="C9" s="2" t="s">
        <v>1352</v>
      </c>
      <c r="D9" s="8" t="s">
        <v>154</v>
      </c>
      <c r="E9" s="208">
        <v>150000</v>
      </c>
      <c r="F9" s="11"/>
    </row>
    <row r="10" spans="1:6" ht="20.100000000000001" customHeight="1" x14ac:dyDescent="0.25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 x14ac:dyDescent="0.25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 x14ac:dyDescent="0.25">
      <c r="A12" s="8">
        <v>6</v>
      </c>
      <c r="B12" s="12" t="s">
        <v>208</v>
      </c>
      <c r="C12" s="2" t="s">
        <v>1263</v>
      </c>
      <c r="D12" s="14" t="s">
        <v>35</v>
      </c>
      <c r="E12" s="208">
        <v>150000</v>
      </c>
      <c r="F12" s="11"/>
    </row>
    <row r="13" spans="1:6" ht="20.100000000000001" customHeight="1" x14ac:dyDescent="0.25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 x14ac:dyDescent="0.25">
      <c r="A14" s="8">
        <v>8</v>
      </c>
      <c r="B14" s="12" t="s">
        <v>271</v>
      </c>
      <c r="C14" s="2" t="s">
        <v>529</v>
      </c>
      <c r="D14" s="14" t="s">
        <v>35</v>
      </c>
      <c r="E14" s="208">
        <v>150000</v>
      </c>
      <c r="F14" s="11"/>
    </row>
    <row r="15" spans="1:6" ht="20.100000000000001" customHeight="1" x14ac:dyDescent="0.25">
      <c r="A15" s="8">
        <v>9</v>
      </c>
      <c r="B15" s="9" t="s">
        <v>33</v>
      </c>
      <c r="C15" s="10" t="s">
        <v>532</v>
      </c>
      <c r="D15" s="13" t="s">
        <v>131</v>
      </c>
      <c r="E15" s="208">
        <v>105000</v>
      </c>
      <c r="F15" s="11"/>
    </row>
    <row r="16" spans="1:6" ht="20.100000000000001" customHeight="1" x14ac:dyDescent="0.25">
      <c r="A16" s="8">
        <v>10</v>
      </c>
      <c r="B16" s="16" t="s">
        <v>550</v>
      </c>
      <c r="C16" s="10" t="s">
        <v>551</v>
      </c>
      <c r="D16" s="8" t="s">
        <v>549</v>
      </c>
      <c r="E16" s="208">
        <v>105000</v>
      </c>
      <c r="F16" s="11"/>
    </row>
    <row r="17" spans="1:6" ht="20.100000000000001" customHeight="1" x14ac:dyDescent="0.25">
      <c r="A17" s="8">
        <v>11</v>
      </c>
      <c r="B17" s="17" t="s">
        <v>1353</v>
      </c>
      <c r="C17" s="2" t="s">
        <v>1354</v>
      </c>
      <c r="D17" s="14" t="s">
        <v>176</v>
      </c>
      <c r="E17" s="208">
        <v>75000</v>
      </c>
      <c r="F17" s="11"/>
    </row>
    <row r="18" spans="1:6" ht="19.5" customHeight="1" x14ac:dyDescent="0.25">
      <c r="A18" s="8">
        <v>12</v>
      </c>
      <c r="B18" s="12" t="s">
        <v>1264</v>
      </c>
      <c r="C18" s="2" t="s">
        <v>40</v>
      </c>
      <c r="D18" s="8" t="s">
        <v>176</v>
      </c>
      <c r="E18" s="208">
        <v>75000</v>
      </c>
      <c r="F18" s="11"/>
    </row>
    <row r="19" spans="1:6" ht="19.5" customHeight="1" x14ac:dyDescent="0.25">
      <c r="A19" s="8">
        <v>13</v>
      </c>
      <c r="B19" s="12" t="s">
        <v>1355</v>
      </c>
      <c r="C19" s="2" t="s">
        <v>1356</v>
      </c>
      <c r="D19" s="8" t="s">
        <v>176</v>
      </c>
      <c r="E19" s="208">
        <v>75000</v>
      </c>
      <c r="F19" s="11"/>
    </row>
    <row r="20" spans="1:6" ht="20.100000000000001" customHeight="1" x14ac:dyDescent="0.25">
      <c r="A20" s="8">
        <v>14</v>
      </c>
      <c r="B20" s="9" t="s">
        <v>39</v>
      </c>
      <c r="C20" s="2" t="s">
        <v>40</v>
      </c>
      <c r="D20" s="13" t="s">
        <v>176</v>
      </c>
      <c r="E20" s="208">
        <v>75000</v>
      </c>
      <c r="F20" s="11"/>
    </row>
    <row r="21" spans="1:6" ht="20.100000000000001" customHeight="1" x14ac:dyDescent="0.25">
      <c r="A21" s="8">
        <v>15</v>
      </c>
      <c r="B21" s="9" t="s">
        <v>50</v>
      </c>
      <c r="C21" s="10" t="s">
        <v>51</v>
      </c>
      <c r="D21" s="13" t="s">
        <v>1199</v>
      </c>
      <c r="E21" s="208">
        <v>75000</v>
      </c>
      <c r="F21" s="11"/>
    </row>
    <row r="22" spans="1:6" ht="20.100000000000001" customHeight="1" x14ac:dyDescent="0.25">
      <c r="A22" s="8">
        <v>16</v>
      </c>
      <c r="B22" s="16" t="s">
        <v>53</v>
      </c>
      <c r="C22" s="2" t="s">
        <v>54</v>
      </c>
      <c r="D22" s="13" t="s">
        <v>58</v>
      </c>
      <c r="E22" s="208">
        <v>75000</v>
      </c>
      <c r="F22" s="11"/>
    </row>
    <row r="23" spans="1:6" ht="20.100000000000001" customHeight="1" x14ac:dyDescent="0.25">
      <c r="A23" s="8">
        <v>17</v>
      </c>
      <c r="B23" s="9" t="s">
        <v>177</v>
      </c>
      <c r="C23" s="10" t="s">
        <v>555</v>
      </c>
      <c r="D23" s="13" t="s">
        <v>162</v>
      </c>
      <c r="E23" s="208">
        <v>45000</v>
      </c>
      <c r="F23" s="11"/>
    </row>
    <row r="24" spans="1:6" ht="18.75" customHeight="1" x14ac:dyDescent="0.25">
      <c r="A24" s="8">
        <v>18</v>
      </c>
      <c r="B24" s="9" t="s">
        <v>63</v>
      </c>
      <c r="C24" s="10" t="s">
        <v>64</v>
      </c>
      <c r="D24" s="13" t="s">
        <v>68</v>
      </c>
      <c r="E24" s="208">
        <v>45000</v>
      </c>
      <c r="F24" s="11"/>
    </row>
    <row r="25" spans="1:6" ht="18.75" customHeight="1" x14ac:dyDescent="0.25">
      <c r="A25" s="8">
        <v>19</v>
      </c>
      <c r="B25" s="9" t="s">
        <v>236</v>
      </c>
      <c r="C25" s="2" t="s">
        <v>237</v>
      </c>
      <c r="D25" s="13" t="s">
        <v>68</v>
      </c>
      <c r="E25" s="208">
        <v>45000</v>
      </c>
      <c r="F25" s="11"/>
    </row>
    <row r="26" spans="1:6" ht="18.75" customHeight="1" x14ac:dyDescent="0.25">
      <c r="A26" s="8">
        <v>20</v>
      </c>
      <c r="B26" s="16" t="s">
        <v>1357</v>
      </c>
      <c r="C26" s="10" t="s">
        <v>101</v>
      </c>
      <c r="D26" s="13" t="s">
        <v>119</v>
      </c>
      <c r="E26" s="208">
        <v>45000</v>
      </c>
      <c r="F26" s="11"/>
    </row>
    <row r="27" spans="1:6" ht="18.75" customHeight="1" x14ac:dyDescent="0.25">
      <c r="A27" s="8">
        <v>21</v>
      </c>
      <c r="B27" s="2" t="s">
        <v>77</v>
      </c>
      <c r="C27" s="2" t="s">
        <v>78</v>
      </c>
      <c r="D27" s="8" t="s">
        <v>87</v>
      </c>
      <c r="E27" s="208">
        <v>45000</v>
      </c>
      <c r="F27" s="11"/>
    </row>
    <row r="28" spans="1:6" ht="18.75" customHeight="1" x14ac:dyDescent="0.25">
      <c r="A28" s="8">
        <v>22</v>
      </c>
      <c r="B28" s="16" t="s">
        <v>80</v>
      </c>
      <c r="C28" s="10" t="s">
        <v>78</v>
      </c>
      <c r="D28" s="13" t="s">
        <v>87</v>
      </c>
      <c r="E28" s="208">
        <v>45000</v>
      </c>
      <c r="F28" s="11"/>
    </row>
    <row r="29" spans="1:6" ht="18.75" customHeight="1" x14ac:dyDescent="0.25">
      <c r="A29" s="8">
        <v>23</v>
      </c>
      <c r="B29" s="9" t="s">
        <v>1265</v>
      </c>
      <c r="C29" s="10" t="s">
        <v>1266</v>
      </c>
      <c r="D29" s="13" t="s">
        <v>87</v>
      </c>
      <c r="E29" s="208">
        <v>45000</v>
      </c>
      <c r="F29" s="11"/>
    </row>
    <row r="30" spans="1:6" ht="18.75" customHeight="1" x14ac:dyDescent="0.25">
      <c r="A30" s="8">
        <v>24</v>
      </c>
      <c r="B30" s="16" t="s">
        <v>82</v>
      </c>
      <c r="C30" s="10" t="s">
        <v>1213</v>
      </c>
      <c r="D30" s="13" t="s">
        <v>206</v>
      </c>
      <c r="E30" s="208">
        <v>45000</v>
      </c>
      <c r="F30" s="11"/>
    </row>
    <row r="31" spans="1:6" ht="18.75" customHeight="1" x14ac:dyDescent="0.25">
      <c r="A31" s="8">
        <v>25</v>
      </c>
      <c r="B31" s="16" t="s">
        <v>85</v>
      </c>
      <c r="C31" s="2" t="s">
        <v>1267</v>
      </c>
      <c r="D31" s="8" t="s">
        <v>206</v>
      </c>
      <c r="E31" s="208">
        <v>45000</v>
      </c>
      <c r="F31" s="11"/>
    </row>
    <row r="32" spans="1:6" ht="18.75" customHeight="1" x14ac:dyDescent="0.25">
      <c r="A32" s="8">
        <v>26</v>
      </c>
      <c r="B32" s="16" t="s">
        <v>89</v>
      </c>
      <c r="C32" s="15" t="s">
        <v>90</v>
      </c>
      <c r="D32" s="13" t="s">
        <v>87</v>
      </c>
      <c r="E32" s="208">
        <v>45000</v>
      </c>
      <c r="F32" s="11"/>
    </row>
    <row r="33" spans="1:6" ht="18.75" customHeight="1" x14ac:dyDescent="0.25">
      <c r="A33" s="8">
        <v>27</v>
      </c>
      <c r="B33" s="16" t="s">
        <v>92</v>
      </c>
      <c r="C33" s="2" t="s">
        <v>93</v>
      </c>
      <c r="D33" s="8" t="s">
        <v>105</v>
      </c>
      <c r="E33" s="208">
        <v>45000</v>
      </c>
      <c r="F33" s="11"/>
    </row>
    <row r="34" spans="1:6" ht="18.75" customHeight="1" x14ac:dyDescent="0.25">
      <c r="A34" s="8">
        <v>28</v>
      </c>
      <c r="B34" s="16" t="s">
        <v>1191</v>
      </c>
      <c r="C34" s="10" t="s">
        <v>101</v>
      </c>
      <c r="D34" s="13" t="s">
        <v>105</v>
      </c>
      <c r="E34" s="208">
        <v>45000</v>
      </c>
      <c r="F34" s="11"/>
    </row>
    <row r="35" spans="1:6" ht="18.75" customHeight="1" x14ac:dyDescent="0.25">
      <c r="A35" s="8">
        <v>29</v>
      </c>
      <c r="B35" s="16" t="s">
        <v>1358</v>
      </c>
      <c r="C35" s="10" t="s">
        <v>101</v>
      </c>
      <c r="D35" s="13" t="s">
        <v>105</v>
      </c>
      <c r="E35" s="208">
        <v>45000</v>
      </c>
      <c r="F35" s="11"/>
    </row>
    <row r="36" spans="1:6" ht="18.75" customHeight="1" x14ac:dyDescent="0.25">
      <c r="A36" s="8">
        <v>30</v>
      </c>
      <c r="B36" s="16" t="s">
        <v>267</v>
      </c>
      <c r="C36" s="10" t="s">
        <v>262</v>
      </c>
      <c r="D36" s="13" t="s">
        <v>108</v>
      </c>
      <c r="E36" s="208">
        <v>45000</v>
      </c>
      <c r="F36" s="11"/>
    </row>
    <row r="37" spans="1:6" ht="26.25" customHeight="1" x14ac:dyDescent="0.25">
      <c r="A37" s="8"/>
      <c r="B37" s="18" t="s">
        <v>111</v>
      </c>
      <c r="C37" s="19">
        <v>30</v>
      </c>
      <c r="D37" s="13"/>
      <c r="E37" s="209">
        <f>SUM(E7:E36)</f>
        <v>2790000</v>
      </c>
      <c r="F37" s="11"/>
    </row>
    <row r="38" spans="1:6" ht="18.75" customHeight="1" x14ac:dyDescent="0.25">
      <c r="A38" s="8"/>
      <c r="B38" s="20"/>
      <c r="C38" s="2"/>
      <c r="D38" s="13"/>
      <c r="E38" s="210"/>
      <c r="F38" s="11"/>
    </row>
    <row r="39" spans="1:6" ht="18.75" customHeight="1" x14ac:dyDescent="0.25">
      <c r="A39" s="8"/>
      <c r="B39" s="18" t="s">
        <v>112</v>
      </c>
      <c r="C39" s="2"/>
      <c r="D39" s="13"/>
      <c r="E39" s="208"/>
      <c r="F39" s="11"/>
    </row>
    <row r="40" spans="1:6" ht="18.75" customHeight="1" x14ac:dyDescent="0.25">
      <c r="A40" s="8">
        <v>1</v>
      </c>
      <c r="B40" s="16" t="s">
        <v>113</v>
      </c>
      <c r="C40" s="2" t="s">
        <v>114</v>
      </c>
      <c r="D40" s="8" t="s">
        <v>115</v>
      </c>
      <c r="E40" s="208">
        <v>225000</v>
      </c>
      <c r="F40" s="11"/>
    </row>
    <row r="41" spans="1:6" ht="18.75" customHeight="1" x14ac:dyDescent="0.25">
      <c r="A41" s="8">
        <v>2</v>
      </c>
      <c r="B41" s="16" t="s">
        <v>116</v>
      </c>
      <c r="C41" s="2" t="s">
        <v>799</v>
      </c>
      <c r="D41" s="8" t="s">
        <v>108</v>
      </c>
      <c r="E41" s="208">
        <v>45000</v>
      </c>
      <c r="F41" s="11"/>
    </row>
    <row r="42" spans="1:6" ht="19.5" customHeight="1" x14ac:dyDescent="0.25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 x14ac:dyDescent="0.25">
      <c r="A43" s="8"/>
      <c r="B43" s="12"/>
      <c r="C43" s="2"/>
      <c r="D43" s="8"/>
      <c r="E43" s="208"/>
      <c r="F43" s="11"/>
    </row>
    <row r="44" spans="1:6" ht="20.100000000000001" customHeight="1" x14ac:dyDescent="0.25">
      <c r="A44" s="8"/>
      <c r="B44" s="21" t="s">
        <v>125</v>
      </c>
      <c r="C44" s="3"/>
      <c r="D44" s="22"/>
      <c r="E44" s="208"/>
      <c r="F44" s="11"/>
    </row>
    <row r="45" spans="1:6" ht="20.100000000000001" customHeight="1" x14ac:dyDescent="0.25">
      <c r="A45" s="8">
        <v>1</v>
      </c>
      <c r="B45" s="9" t="s">
        <v>536</v>
      </c>
      <c r="C45" s="2" t="s">
        <v>537</v>
      </c>
      <c r="D45" s="8" t="s">
        <v>115</v>
      </c>
      <c r="E45" s="208">
        <v>225000</v>
      </c>
      <c r="F45" s="11"/>
    </row>
    <row r="46" spans="1:6" ht="20.100000000000001" customHeight="1" x14ac:dyDescent="0.25">
      <c r="A46" s="8">
        <v>2</v>
      </c>
      <c r="B46" s="9" t="s">
        <v>538</v>
      </c>
      <c r="C46" s="2" t="s">
        <v>43</v>
      </c>
      <c r="D46" s="8" t="s">
        <v>131</v>
      </c>
      <c r="E46" s="208">
        <v>105000</v>
      </c>
      <c r="F46" s="11"/>
    </row>
    <row r="47" spans="1:6" ht="20.100000000000001" customHeight="1" x14ac:dyDescent="0.25">
      <c r="A47" s="8">
        <v>3</v>
      </c>
      <c r="B47" s="9" t="s">
        <v>126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 x14ac:dyDescent="0.25">
      <c r="A48" s="8">
        <v>4</v>
      </c>
      <c r="B48" s="9" t="s">
        <v>129</v>
      </c>
      <c r="C48" s="2" t="s">
        <v>130</v>
      </c>
      <c r="D48" s="8" t="s">
        <v>131</v>
      </c>
      <c r="E48" s="208">
        <v>105000</v>
      </c>
      <c r="F48" s="11"/>
    </row>
    <row r="49" spans="1:6" ht="20.100000000000001" customHeight="1" x14ac:dyDescent="0.25">
      <c r="A49" s="8">
        <v>5</v>
      </c>
      <c r="B49" s="9" t="s">
        <v>132</v>
      </c>
      <c r="C49" s="2" t="s">
        <v>130</v>
      </c>
      <c r="D49" s="8" t="s">
        <v>38</v>
      </c>
      <c r="E49" s="208">
        <v>105000</v>
      </c>
      <c r="F49" s="11"/>
    </row>
    <row r="50" spans="1:6" ht="20.100000000000001" customHeight="1" x14ac:dyDescent="0.25">
      <c r="A50" s="8">
        <v>6</v>
      </c>
      <c r="B50" s="9" t="s">
        <v>133</v>
      </c>
      <c r="C50" s="2" t="s">
        <v>45</v>
      </c>
      <c r="D50" s="8" t="s">
        <v>176</v>
      </c>
      <c r="E50" s="208">
        <v>75000</v>
      </c>
      <c r="F50" s="11"/>
    </row>
    <row r="51" spans="1:6" ht="20.100000000000001" customHeight="1" x14ac:dyDescent="0.25">
      <c r="A51" s="8">
        <v>7</v>
      </c>
      <c r="B51" s="12" t="s">
        <v>134</v>
      </c>
      <c r="C51" s="2" t="s">
        <v>156</v>
      </c>
      <c r="D51" s="14" t="s">
        <v>176</v>
      </c>
      <c r="E51" s="208">
        <v>75000</v>
      </c>
      <c r="F51" s="11"/>
    </row>
    <row r="52" spans="1:6" ht="20.100000000000001" customHeight="1" x14ac:dyDescent="0.25">
      <c r="A52" s="8">
        <v>8</v>
      </c>
      <c r="B52" s="9" t="s">
        <v>1270</v>
      </c>
      <c r="C52" s="2" t="s">
        <v>156</v>
      </c>
      <c r="D52" s="8" t="s">
        <v>46</v>
      </c>
      <c r="E52" s="208">
        <v>75000</v>
      </c>
      <c r="F52" s="11"/>
    </row>
    <row r="53" spans="1:6" ht="20.100000000000001" customHeight="1" x14ac:dyDescent="0.25">
      <c r="A53" s="8">
        <v>9</v>
      </c>
      <c r="B53" s="9" t="s">
        <v>44</v>
      </c>
      <c r="C53" s="2" t="s">
        <v>552</v>
      </c>
      <c r="D53" s="8" t="s">
        <v>534</v>
      </c>
      <c r="E53" s="208">
        <v>75000</v>
      </c>
      <c r="F53" s="11"/>
    </row>
    <row r="54" spans="1:6" ht="20.100000000000001" customHeight="1" x14ac:dyDescent="0.25">
      <c r="A54" s="8">
        <v>10</v>
      </c>
      <c r="B54" s="9" t="s">
        <v>142</v>
      </c>
      <c r="C54" s="2" t="s">
        <v>139</v>
      </c>
      <c r="D54" s="8" t="s">
        <v>96</v>
      </c>
      <c r="E54" s="208">
        <v>45000</v>
      </c>
      <c r="F54" s="11"/>
    </row>
    <row r="55" spans="1:6" ht="20.100000000000001" customHeight="1" x14ac:dyDescent="0.25">
      <c r="A55" s="8">
        <v>11</v>
      </c>
      <c r="B55" s="9" t="s">
        <v>539</v>
      </c>
      <c r="C55" s="2" t="s">
        <v>139</v>
      </c>
      <c r="D55" s="8" t="s">
        <v>96</v>
      </c>
      <c r="E55" s="208">
        <v>45000</v>
      </c>
      <c r="F55" s="11"/>
    </row>
    <row r="56" spans="1:6" ht="20.100000000000001" customHeight="1" x14ac:dyDescent="0.25">
      <c r="A56" s="8">
        <v>12</v>
      </c>
      <c r="B56" s="9" t="s">
        <v>143</v>
      </c>
      <c r="C56" s="2" t="s">
        <v>139</v>
      </c>
      <c r="D56" s="8" t="s">
        <v>96</v>
      </c>
      <c r="E56" s="208">
        <v>45000</v>
      </c>
      <c r="F56" s="11"/>
    </row>
    <row r="57" spans="1:6" ht="25.5" customHeight="1" x14ac:dyDescent="0.55000000000000004">
      <c r="A57" s="8"/>
      <c r="B57" s="18" t="s">
        <v>111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 x14ac:dyDescent="0.25">
      <c r="A58" s="8"/>
      <c r="B58" s="20"/>
      <c r="C58" s="19"/>
      <c r="D58" s="19"/>
      <c r="E58" s="212"/>
      <c r="F58" s="11"/>
    </row>
    <row r="59" spans="1:6" ht="20.100000000000001" customHeight="1" x14ac:dyDescent="0.25">
      <c r="A59" s="8"/>
      <c r="B59" s="18" t="s">
        <v>145</v>
      </c>
      <c r="C59" s="19"/>
      <c r="D59" s="19"/>
      <c r="E59" s="212"/>
      <c r="F59" s="11"/>
    </row>
    <row r="60" spans="1:6" ht="20.100000000000001" customHeight="1" x14ac:dyDescent="0.25">
      <c r="A60" s="8">
        <v>1</v>
      </c>
      <c r="B60" s="9" t="s">
        <v>540</v>
      </c>
      <c r="C60" s="10" t="s">
        <v>147</v>
      </c>
      <c r="D60" s="13" t="s">
        <v>115</v>
      </c>
      <c r="E60" s="208">
        <v>225000</v>
      </c>
      <c r="F60" s="11"/>
    </row>
    <row r="61" spans="1:6" ht="20.100000000000001" customHeight="1" x14ac:dyDescent="0.25">
      <c r="A61" s="8">
        <v>2</v>
      </c>
      <c r="B61" s="9" t="s">
        <v>148</v>
      </c>
      <c r="C61" s="10" t="s">
        <v>149</v>
      </c>
      <c r="D61" s="13" t="s">
        <v>549</v>
      </c>
      <c r="E61" s="208">
        <v>105000</v>
      </c>
      <c r="F61" s="11"/>
    </row>
    <row r="62" spans="1:6" ht="20.100000000000001" customHeight="1" x14ac:dyDescent="0.55000000000000004">
      <c r="A62" s="8"/>
      <c r="B62" s="18" t="s">
        <v>111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 x14ac:dyDescent="0.25">
      <c r="A63" s="8"/>
      <c r="B63" s="18"/>
      <c r="C63" s="19"/>
      <c r="D63" s="19"/>
      <c r="E63" s="212"/>
      <c r="F63" s="11"/>
    </row>
    <row r="64" spans="1:6" ht="20.100000000000001" customHeight="1" x14ac:dyDescent="0.25">
      <c r="A64" s="8"/>
      <c r="B64" s="18" t="s">
        <v>151</v>
      </c>
      <c r="C64" s="19"/>
      <c r="D64" s="19"/>
      <c r="E64" s="212"/>
      <c r="F64" s="11"/>
    </row>
    <row r="65" spans="1:6" ht="20.100000000000001" customHeight="1" x14ac:dyDescent="0.25">
      <c r="A65" s="8">
        <v>1</v>
      </c>
      <c r="B65" s="9" t="s">
        <v>541</v>
      </c>
      <c r="C65" s="15" t="s">
        <v>542</v>
      </c>
      <c r="D65" s="8" t="s">
        <v>115</v>
      </c>
      <c r="E65" s="208">
        <v>225000</v>
      </c>
      <c r="F65" s="11"/>
    </row>
    <row r="66" spans="1:6" ht="20.100000000000001" customHeight="1" x14ac:dyDescent="0.25">
      <c r="A66" s="8">
        <v>2</v>
      </c>
      <c r="B66" s="16" t="s">
        <v>543</v>
      </c>
      <c r="C66" s="15" t="s">
        <v>544</v>
      </c>
      <c r="D66" s="13" t="s">
        <v>1200</v>
      </c>
      <c r="E66" s="208">
        <v>105000</v>
      </c>
      <c r="F66" s="11"/>
    </row>
    <row r="67" spans="1:6" ht="20.100000000000001" customHeight="1" x14ac:dyDescent="0.25">
      <c r="A67" s="8">
        <v>3</v>
      </c>
      <c r="B67" s="9" t="s">
        <v>155</v>
      </c>
      <c r="C67" s="2" t="s">
        <v>158</v>
      </c>
      <c r="D67" s="8" t="s">
        <v>534</v>
      </c>
      <c r="E67" s="208">
        <v>75000</v>
      </c>
      <c r="F67" s="11"/>
    </row>
    <row r="68" spans="1:6" ht="20.100000000000001" customHeight="1" x14ac:dyDescent="0.25">
      <c r="A68" s="8">
        <v>4</v>
      </c>
      <c r="B68" s="16" t="s">
        <v>545</v>
      </c>
      <c r="C68" s="15" t="s">
        <v>158</v>
      </c>
      <c r="D68" s="13" t="s">
        <v>1199</v>
      </c>
      <c r="E68" s="208">
        <v>75000</v>
      </c>
      <c r="F68" s="11"/>
    </row>
    <row r="69" spans="1:6" ht="20.100000000000001" customHeight="1" x14ac:dyDescent="0.25">
      <c r="A69" s="8">
        <v>5</v>
      </c>
      <c r="B69" s="12" t="s">
        <v>546</v>
      </c>
      <c r="C69" s="15" t="s">
        <v>156</v>
      </c>
      <c r="D69" s="13" t="s">
        <v>176</v>
      </c>
      <c r="E69" s="208">
        <v>75000</v>
      </c>
      <c r="F69" s="11"/>
    </row>
    <row r="70" spans="1:6" ht="20.100000000000001" customHeight="1" x14ac:dyDescent="0.25">
      <c r="A70" s="8">
        <v>6</v>
      </c>
      <c r="B70" s="12" t="s">
        <v>42</v>
      </c>
      <c r="C70" s="15" t="s">
        <v>156</v>
      </c>
      <c r="D70" s="13" t="s">
        <v>46</v>
      </c>
      <c r="E70" s="208">
        <v>75000</v>
      </c>
      <c r="F70" s="11"/>
    </row>
    <row r="71" spans="1:6" ht="20.100000000000001" customHeight="1" x14ac:dyDescent="0.25">
      <c r="A71" s="8">
        <v>7</v>
      </c>
      <c r="B71" s="9" t="s">
        <v>161</v>
      </c>
      <c r="C71" s="2" t="s">
        <v>139</v>
      </c>
      <c r="D71" s="8" t="s">
        <v>137</v>
      </c>
      <c r="E71" s="208">
        <v>45000</v>
      </c>
      <c r="F71" s="11"/>
    </row>
    <row r="72" spans="1:6" ht="20.100000000000001" customHeight="1" x14ac:dyDescent="0.25">
      <c r="A72" s="8">
        <v>8</v>
      </c>
      <c r="B72" s="9" t="s">
        <v>1278</v>
      </c>
      <c r="C72" s="15" t="s">
        <v>70</v>
      </c>
      <c r="D72" s="13" t="s">
        <v>162</v>
      </c>
      <c r="E72" s="208">
        <v>45000</v>
      </c>
      <c r="F72" s="11"/>
    </row>
    <row r="73" spans="1:6" ht="20.100000000000001" customHeight="1" x14ac:dyDescent="0.25">
      <c r="A73" s="8">
        <v>9</v>
      </c>
      <c r="B73" s="9" t="s">
        <v>163</v>
      </c>
      <c r="C73" s="15" t="s">
        <v>70</v>
      </c>
      <c r="D73" s="13" t="s">
        <v>137</v>
      </c>
      <c r="E73" s="208">
        <v>45000</v>
      </c>
      <c r="F73" s="11"/>
    </row>
    <row r="74" spans="1:6" ht="20.100000000000001" customHeight="1" x14ac:dyDescent="0.25">
      <c r="A74" s="8">
        <v>10</v>
      </c>
      <c r="B74" s="9" t="s">
        <v>164</v>
      </c>
      <c r="C74" s="15" t="s">
        <v>70</v>
      </c>
      <c r="D74" s="13" t="s">
        <v>137</v>
      </c>
      <c r="E74" s="208">
        <v>45000</v>
      </c>
      <c r="F74" s="11"/>
    </row>
    <row r="75" spans="1:6" ht="20.100000000000001" customHeight="1" x14ac:dyDescent="0.25">
      <c r="A75" s="8">
        <v>11</v>
      </c>
      <c r="B75" s="9" t="s">
        <v>165</v>
      </c>
      <c r="C75" s="2" t="s">
        <v>166</v>
      </c>
      <c r="D75" s="8" t="s">
        <v>68</v>
      </c>
      <c r="E75" s="208">
        <v>45000</v>
      </c>
      <c r="F75" s="11"/>
    </row>
    <row r="76" spans="1:6" ht="20.100000000000001" customHeight="1" x14ac:dyDescent="0.25">
      <c r="A76" s="8">
        <v>12</v>
      </c>
      <c r="B76" s="9" t="s">
        <v>1359</v>
      </c>
      <c r="C76" s="15" t="s">
        <v>139</v>
      </c>
      <c r="D76" s="8" t="s">
        <v>76</v>
      </c>
      <c r="E76" s="208">
        <v>45000</v>
      </c>
      <c r="F76" s="11"/>
    </row>
    <row r="77" spans="1:6" ht="20.100000000000001" customHeight="1" x14ac:dyDescent="0.25">
      <c r="A77" s="8">
        <v>13</v>
      </c>
      <c r="B77" s="9" t="s">
        <v>81</v>
      </c>
      <c r="C77" s="15" t="s">
        <v>67</v>
      </c>
      <c r="D77" s="8" t="s">
        <v>87</v>
      </c>
      <c r="E77" s="208">
        <v>45000</v>
      </c>
      <c r="F77" s="11"/>
    </row>
    <row r="78" spans="1:6" ht="20.100000000000001" customHeight="1" x14ac:dyDescent="0.25">
      <c r="A78" s="8">
        <v>14</v>
      </c>
      <c r="B78" s="12" t="s">
        <v>66</v>
      </c>
      <c r="C78" s="15" t="s">
        <v>67</v>
      </c>
      <c r="D78" s="8" t="s">
        <v>105</v>
      </c>
      <c r="E78" s="208">
        <v>45000</v>
      </c>
      <c r="F78" s="11"/>
    </row>
    <row r="79" spans="1:6" ht="20.100000000000001" customHeight="1" x14ac:dyDescent="0.55000000000000004">
      <c r="A79" s="8"/>
      <c r="B79" s="18" t="s">
        <v>111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 x14ac:dyDescent="0.25">
      <c r="A80" s="8"/>
      <c r="B80" s="20"/>
      <c r="C80" s="19"/>
      <c r="D80" s="19"/>
      <c r="E80" s="212"/>
      <c r="F80" s="11"/>
    </row>
    <row r="81" spans="1:6" ht="20.100000000000001" customHeight="1" x14ac:dyDescent="0.25">
      <c r="A81" s="8"/>
      <c r="B81" s="18" t="s">
        <v>169</v>
      </c>
      <c r="C81" s="19"/>
      <c r="D81" s="19"/>
      <c r="E81" s="212"/>
      <c r="F81" s="11"/>
    </row>
    <row r="82" spans="1:6" ht="20.100000000000001" customHeight="1" x14ac:dyDescent="0.25">
      <c r="A82" s="8">
        <v>1</v>
      </c>
      <c r="B82" s="9" t="s">
        <v>170</v>
      </c>
      <c r="C82" s="2" t="s">
        <v>171</v>
      </c>
      <c r="D82" s="8" t="s">
        <v>115</v>
      </c>
      <c r="E82" s="208">
        <v>225000</v>
      </c>
      <c r="F82" s="11"/>
    </row>
    <row r="83" spans="1:6" ht="20.100000000000001" customHeight="1" x14ac:dyDescent="0.25">
      <c r="A83" s="8">
        <v>2</v>
      </c>
      <c r="B83" s="12" t="s">
        <v>547</v>
      </c>
      <c r="C83" s="2" t="s">
        <v>548</v>
      </c>
      <c r="D83" s="13" t="s">
        <v>1200</v>
      </c>
      <c r="E83" s="208">
        <v>105000</v>
      </c>
      <c r="F83" s="11"/>
    </row>
    <row r="84" spans="1:6" ht="20.100000000000001" customHeight="1" x14ac:dyDescent="0.25">
      <c r="A84" s="8">
        <v>3</v>
      </c>
      <c r="B84" s="12" t="s">
        <v>1360</v>
      </c>
      <c r="C84" s="2" t="s">
        <v>1361</v>
      </c>
      <c r="D84" s="13" t="s">
        <v>1200</v>
      </c>
      <c r="E84" s="208">
        <v>105000</v>
      </c>
      <c r="F84" s="11"/>
    </row>
    <row r="85" spans="1:6" ht="20.100000000000001" customHeight="1" x14ac:dyDescent="0.25">
      <c r="A85" s="8">
        <v>4</v>
      </c>
      <c r="B85" s="9" t="s">
        <v>174</v>
      </c>
      <c r="C85" s="2" t="s">
        <v>1214</v>
      </c>
      <c r="D85" s="13" t="s">
        <v>534</v>
      </c>
      <c r="E85" s="208">
        <v>75000</v>
      </c>
      <c r="F85" s="11"/>
    </row>
    <row r="86" spans="1:6" ht="20.100000000000001" customHeight="1" x14ac:dyDescent="0.25">
      <c r="A86" s="8">
        <v>5</v>
      </c>
      <c r="B86" s="9" t="s">
        <v>181</v>
      </c>
      <c r="C86" s="2" t="s">
        <v>184</v>
      </c>
      <c r="D86" s="8" t="s">
        <v>76</v>
      </c>
      <c r="E86" s="208">
        <v>45000</v>
      </c>
      <c r="F86" s="11"/>
    </row>
    <row r="87" spans="1:6" ht="20.100000000000001" customHeight="1" x14ac:dyDescent="0.55000000000000004">
      <c r="A87" s="8"/>
      <c r="B87" s="18" t="s">
        <v>111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 x14ac:dyDescent="0.25">
      <c r="A88" s="8"/>
      <c r="B88" s="18"/>
      <c r="C88" s="19"/>
      <c r="D88" s="19"/>
      <c r="E88" s="208"/>
      <c r="F88" s="11"/>
    </row>
    <row r="89" spans="1:6" ht="20.100000000000001" customHeight="1" x14ac:dyDescent="0.25">
      <c r="A89" s="8"/>
      <c r="B89" s="18" t="s">
        <v>187</v>
      </c>
      <c r="C89" s="23"/>
      <c r="D89" s="19"/>
      <c r="E89" s="208"/>
      <c r="F89" s="11"/>
    </row>
    <row r="90" spans="1:6" ht="20.100000000000001" customHeight="1" x14ac:dyDescent="0.25">
      <c r="A90" s="8">
        <v>1</v>
      </c>
      <c r="B90" s="9" t="s">
        <v>190</v>
      </c>
      <c r="C90" s="2" t="s">
        <v>130</v>
      </c>
      <c r="D90" s="8" t="s">
        <v>131</v>
      </c>
      <c r="E90" s="208">
        <v>105000</v>
      </c>
      <c r="F90" s="11"/>
    </row>
    <row r="91" spans="1:6" ht="20.100000000000001" customHeight="1" x14ac:dyDescent="0.25">
      <c r="A91" s="8">
        <v>2</v>
      </c>
      <c r="B91" s="9" t="s">
        <v>188</v>
      </c>
      <c r="C91" s="2" t="s">
        <v>130</v>
      </c>
      <c r="D91" s="8" t="s">
        <v>131</v>
      </c>
      <c r="E91" s="208">
        <v>105000</v>
      </c>
      <c r="F91" s="11"/>
    </row>
    <row r="92" spans="1:6" ht="20.100000000000001" customHeight="1" x14ac:dyDescent="0.25">
      <c r="A92" s="8">
        <v>3</v>
      </c>
      <c r="B92" s="12" t="s">
        <v>152</v>
      </c>
      <c r="C92" s="2" t="s">
        <v>156</v>
      </c>
      <c r="D92" s="8" t="s">
        <v>41</v>
      </c>
      <c r="E92" s="208">
        <v>75000</v>
      </c>
      <c r="F92" s="11"/>
    </row>
    <row r="93" spans="1:6" ht="20.100000000000001" customHeight="1" x14ac:dyDescent="0.25">
      <c r="A93" s="8">
        <v>4</v>
      </c>
      <c r="B93" s="9" t="s">
        <v>193</v>
      </c>
      <c r="C93" s="2" t="s">
        <v>45</v>
      </c>
      <c r="D93" s="8" t="s">
        <v>176</v>
      </c>
      <c r="E93" s="208">
        <v>75000</v>
      </c>
      <c r="F93" s="11"/>
    </row>
    <row r="94" spans="1:6" ht="21.6" customHeight="1" x14ac:dyDescent="0.25">
      <c r="A94" s="8">
        <v>5</v>
      </c>
      <c r="B94" s="9" t="s">
        <v>194</v>
      </c>
      <c r="C94" s="2" t="s">
        <v>552</v>
      </c>
      <c r="D94" s="13" t="s">
        <v>534</v>
      </c>
      <c r="E94" s="208">
        <v>75000</v>
      </c>
      <c r="F94" s="11"/>
    </row>
    <row r="95" spans="1:6" ht="21.6" customHeight="1" x14ac:dyDescent="0.25">
      <c r="A95" s="8">
        <v>6</v>
      </c>
      <c r="B95" s="9" t="s">
        <v>195</v>
      </c>
      <c r="C95" s="10" t="s">
        <v>158</v>
      </c>
      <c r="D95" s="13" t="s">
        <v>1199</v>
      </c>
      <c r="E95" s="208">
        <v>75000</v>
      </c>
      <c r="F95" s="11"/>
    </row>
    <row r="96" spans="1:6" ht="21.6" customHeight="1" x14ac:dyDescent="0.25">
      <c r="A96" s="8">
        <v>7</v>
      </c>
      <c r="B96" s="9" t="s">
        <v>196</v>
      </c>
      <c r="C96" s="10" t="s">
        <v>158</v>
      </c>
      <c r="D96" s="13" t="s">
        <v>1199</v>
      </c>
      <c r="E96" s="208">
        <v>75000</v>
      </c>
      <c r="F96" s="11"/>
    </row>
    <row r="97" spans="1:6" ht="21.6" customHeight="1" x14ac:dyDescent="0.25">
      <c r="A97" s="8">
        <v>8</v>
      </c>
      <c r="B97" s="9" t="s">
        <v>198</v>
      </c>
      <c r="C97" s="15" t="s">
        <v>70</v>
      </c>
      <c r="D97" s="13" t="s">
        <v>137</v>
      </c>
      <c r="E97" s="208">
        <v>45000</v>
      </c>
      <c r="F97" s="11"/>
    </row>
    <row r="98" spans="1:6" ht="21.6" customHeight="1" x14ac:dyDescent="0.25">
      <c r="A98" s="8">
        <v>9</v>
      </c>
      <c r="B98" s="9" t="s">
        <v>202</v>
      </c>
      <c r="C98" s="2" t="s">
        <v>203</v>
      </c>
      <c r="D98" s="8" t="s">
        <v>73</v>
      </c>
      <c r="E98" s="208">
        <v>45000</v>
      </c>
      <c r="F98" s="11"/>
    </row>
    <row r="99" spans="1:6" ht="21.6" customHeight="1" x14ac:dyDescent="0.25">
      <c r="A99" s="8">
        <v>10</v>
      </c>
      <c r="B99" s="9" t="s">
        <v>204</v>
      </c>
      <c r="C99" s="15" t="s">
        <v>205</v>
      </c>
      <c r="D99" s="13" t="s">
        <v>105</v>
      </c>
      <c r="E99" s="208">
        <v>45000</v>
      </c>
      <c r="F99" s="11"/>
    </row>
    <row r="100" spans="1:6" ht="20.100000000000001" customHeight="1" x14ac:dyDescent="0.55000000000000004">
      <c r="A100" s="8"/>
      <c r="B100" s="18" t="s">
        <v>111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 x14ac:dyDescent="0.25">
      <c r="A101" s="8"/>
      <c r="B101" s="20"/>
      <c r="C101" s="19"/>
      <c r="D101" s="19"/>
      <c r="E101" s="212"/>
      <c r="F101" s="11"/>
    </row>
    <row r="102" spans="1:6" ht="20.100000000000001" customHeight="1" x14ac:dyDescent="0.25">
      <c r="A102" s="8"/>
      <c r="B102" s="18" t="s">
        <v>207</v>
      </c>
      <c r="C102" s="19"/>
      <c r="D102" s="19"/>
      <c r="E102" s="212"/>
      <c r="F102" s="11"/>
    </row>
    <row r="103" spans="1:6" ht="20.100000000000001" customHeight="1" x14ac:dyDescent="0.25">
      <c r="A103" s="8">
        <v>1</v>
      </c>
      <c r="B103" s="16" t="s">
        <v>530</v>
      </c>
      <c r="C103" s="8" t="s">
        <v>531</v>
      </c>
      <c r="D103" s="13" t="s">
        <v>35</v>
      </c>
      <c r="E103" s="208">
        <v>150000</v>
      </c>
      <c r="F103" s="11"/>
    </row>
    <row r="104" spans="1:6" ht="20.100000000000001" customHeight="1" x14ac:dyDescent="0.25">
      <c r="A104" s="8">
        <v>2</v>
      </c>
      <c r="B104" s="9" t="s">
        <v>36</v>
      </c>
      <c r="C104" s="2" t="s">
        <v>212</v>
      </c>
      <c r="D104" s="8" t="s">
        <v>176</v>
      </c>
      <c r="E104" s="208">
        <v>75000</v>
      </c>
      <c r="F104" s="11"/>
    </row>
    <row r="105" spans="1:6" ht="20.100000000000001" customHeight="1" x14ac:dyDescent="0.25">
      <c r="A105" s="8">
        <v>3</v>
      </c>
      <c r="B105" s="9" t="s">
        <v>217</v>
      </c>
      <c r="C105" s="2" t="s">
        <v>218</v>
      </c>
      <c r="D105" s="13" t="s">
        <v>68</v>
      </c>
      <c r="E105" s="208">
        <v>45000</v>
      </c>
      <c r="F105" s="11"/>
    </row>
    <row r="106" spans="1:6" ht="20.100000000000001" customHeight="1" x14ac:dyDescent="0.25">
      <c r="A106" s="8">
        <v>4</v>
      </c>
      <c r="B106" s="9" t="s">
        <v>1362</v>
      </c>
      <c r="C106" s="2" t="s">
        <v>1363</v>
      </c>
      <c r="D106" s="13" t="s">
        <v>206</v>
      </c>
      <c r="E106" s="208">
        <v>45000</v>
      </c>
      <c r="F106" s="11"/>
    </row>
    <row r="107" spans="1:6" ht="20.100000000000001" customHeight="1" x14ac:dyDescent="0.55000000000000004">
      <c r="A107" s="2"/>
      <c r="B107" s="18" t="s">
        <v>111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 x14ac:dyDescent="0.25">
      <c r="A108" s="2"/>
      <c r="B108" s="20"/>
      <c r="C108" s="19"/>
      <c r="D108" s="24"/>
      <c r="E108" s="212"/>
      <c r="F108" s="11"/>
    </row>
    <row r="109" spans="1:6" ht="20.100000000000001" customHeight="1" x14ac:dyDescent="0.25">
      <c r="A109" s="2"/>
      <c r="B109" s="18" t="s">
        <v>221</v>
      </c>
      <c r="C109" s="2"/>
      <c r="D109" s="2"/>
      <c r="E109" s="213"/>
      <c r="F109" s="11"/>
    </row>
    <row r="110" spans="1:6" ht="20.100000000000001" customHeight="1" x14ac:dyDescent="0.25">
      <c r="A110" s="2">
        <v>1</v>
      </c>
      <c r="B110" s="9" t="s">
        <v>222</v>
      </c>
      <c r="C110" s="10" t="s">
        <v>223</v>
      </c>
      <c r="D110" s="13" t="s">
        <v>115</v>
      </c>
      <c r="E110" s="208">
        <v>225000</v>
      </c>
      <c r="F110" s="11"/>
    </row>
    <row r="111" spans="1:6" ht="20.100000000000001" customHeight="1" x14ac:dyDescent="0.25">
      <c r="A111" s="2">
        <v>2</v>
      </c>
      <c r="B111" s="9" t="s">
        <v>224</v>
      </c>
      <c r="C111" s="2" t="s">
        <v>225</v>
      </c>
      <c r="D111" s="14" t="s">
        <v>35</v>
      </c>
      <c r="E111" s="208">
        <v>150000</v>
      </c>
      <c r="F111" s="11"/>
    </row>
    <row r="112" spans="1:6" ht="20.100000000000001" customHeight="1" x14ac:dyDescent="0.25">
      <c r="A112" s="2">
        <v>3</v>
      </c>
      <c r="B112" s="9" t="s">
        <v>226</v>
      </c>
      <c r="C112" s="2" t="s">
        <v>227</v>
      </c>
      <c r="D112" s="8" t="s">
        <v>52</v>
      </c>
      <c r="E112" s="208">
        <v>75000</v>
      </c>
      <c r="F112" s="11"/>
    </row>
    <row r="113" spans="1:6" ht="20.100000000000001" customHeight="1" x14ac:dyDescent="0.25">
      <c r="A113" s="2">
        <v>4</v>
      </c>
      <c r="B113" s="9" t="s">
        <v>228</v>
      </c>
      <c r="C113" s="2" t="s">
        <v>227</v>
      </c>
      <c r="D113" s="8" t="s">
        <v>52</v>
      </c>
      <c r="E113" s="208">
        <v>75000</v>
      </c>
      <c r="F113" s="11"/>
    </row>
    <row r="114" spans="1:6" ht="20.100000000000001" customHeight="1" x14ac:dyDescent="0.25">
      <c r="A114" s="2">
        <v>5</v>
      </c>
      <c r="B114" s="9" t="s">
        <v>230</v>
      </c>
      <c r="C114" s="2" t="s">
        <v>231</v>
      </c>
      <c r="D114" s="13" t="s">
        <v>554</v>
      </c>
      <c r="E114" s="208">
        <v>45000</v>
      </c>
      <c r="F114" s="11"/>
    </row>
    <row r="115" spans="1:6" ht="20.100000000000001" customHeight="1" x14ac:dyDescent="0.25">
      <c r="A115" s="2">
        <v>6</v>
      </c>
      <c r="B115" s="16" t="s">
        <v>233</v>
      </c>
      <c r="C115" s="2" t="s">
        <v>231</v>
      </c>
      <c r="D115" s="8" t="s">
        <v>206</v>
      </c>
      <c r="E115" s="208">
        <v>45000</v>
      </c>
      <c r="F115" s="11"/>
    </row>
    <row r="116" spans="1:6" ht="20.100000000000001" customHeight="1" x14ac:dyDescent="0.25">
      <c r="A116" s="2">
        <v>7</v>
      </c>
      <c r="B116" s="16" t="s">
        <v>234</v>
      </c>
      <c r="C116" s="2" t="s">
        <v>231</v>
      </c>
      <c r="D116" s="13" t="s">
        <v>105</v>
      </c>
      <c r="E116" s="208">
        <v>45000</v>
      </c>
      <c r="F116" s="11"/>
    </row>
    <row r="117" spans="1:6" ht="20.100000000000001" customHeight="1" x14ac:dyDescent="0.55000000000000004">
      <c r="A117" s="2"/>
      <c r="B117" s="18" t="s">
        <v>111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 x14ac:dyDescent="0.25">
      <c r="A118" s="2"/>
      <c r="B118" s="20"/>
      <c r="C118" s="8"/>
      <c r="D118" s="2"/>
      <c r="E118" s="215"/>
      <c r="F118" s="11"/>
    </row>
    <row r="119" spans="1:6" ht="20.100000000000001" customHeight="1" x14ac:dyDescent="0.25">
      <c r="A119" s="2"/>
      <c r="B119" s="18" t="s">
        <v>250</v>
      </c>
      <c r="C119" s="19"/>
      <c r="D119" s="19"/>
      <c r="E119" s="208"/>
      <c r="F119" s="11"/>
    </row>
    <row r="120" spans="1:6" ht="20.100000000000001" customHeight="1" x14ac:dyDescent="0.25">
      <c r="A120" s="2">
        <v>1</v>
      </c>
      <c r="B120" s="9" t="s">
        <v>251</v>
      </c>
      <c r="C120" s="10" t="s">
        <v>252</v>
      </c>
      <c r="D120" s="13" t="s">
        <v>115</v>
      </c>
      <c r="E120" s="208">
        <v>225000</v>
      </c>
      <c r="F120" s="11"/>
    </row>
    <row r="121" spans="1:6" ht="20.100000000000001" customHeight="1" x14ac:dyDescent="0.25">
      <c r="A121" s="2">
        <v>2</v>
      </c>
      <c r="B121" s="9" t="s">
        <v>253</v>
      </c>
      <c r="C121" s="10" t="s">
        <v>256</v>
      </c>
      <c r="D121" s="13" t="s">
        <v>131</v>
      </c>
      <c r="E121" s="208">
        <v>105000</v>
      </c>
      <c r="F121" s="11"/>
    </row>
    <row r="122" spans="1:6" ht="20.100000000000001" customHeight="1" x14ac:dyDescent="0.25">
      <c r="A122" s="2">
        <v>3</v>
      </c>
      <c r="B122" s="12" t="s">
        <v>255</v>
      </c>
      <c r="C122" s="10" t="s">
        <v>256</v>
      </c>
      <c r="D122" s="13" t="s">
        <v>131</v>
      </c>
      <c r="E122" s="208">
        <v>105000</v>
      </c>
      <c r="F122" s="11"/>
    </row>
    <row r="123" spans="1:6" ht="20.100000000000001" customHeight="1" x14ac:dyDescent="0.25">
      <c r="A123" s="2">
        <v>4</v>
      </c>
      <c r="B123" s="12" t="s">
        <v>556</v>
      </c>
      <c r="C123" s="10" t="s">
        <v>256</v>
      </c>
      <c r="D123" s="13" t="s">
        <v>49</v>
      </c>
      <c r="E123" s="208">
        <v>105000</v>
      </c>
      <c r="F123" s="11"/>
    </row>
    <row r="124" spans="1:6" ht="20.100000000000001" customHeight="1" x14ac:dyDescent="0.25">
      <c r="A124" s="2">
        <v>5</v>
      </c>
      <c r="B124" s="9" t="s">
        <v>257</v>
      </c>
      <c r="C124" s="10" t="s">
        <v>258</v>
      </c>
      <c r="D124" s="13" t="s">
        <v>46</v>
      </c>
      <c r="E124" s="208">
        <v>75000</v>
      </c>
      <c r="F124" s="11"/>
    </row>
    <row r="125" spans="1:6" ht="20.100000000000001" customHeight="1" x14ac:dyDescent="0.25">
      <c r="A125" s="2">
        <v>6</v>
      </c>
      <c r="B125" s="9" t="s">
        <v>259</v>
      </c>
      <c r="C125" s="10" t="s">
        <v>489</v>
      </c>
      <c r="D125" s="13" t="s">
        <v>534</v>
      </c>
      <c r="E125" s="208">
        <v>75000</v>
      </c>
      <c r="F125" s="11"/>
    </row>
    <row r="126" spans="1:6" ht="20.100000000000001" customHeight="1" x14ac:dyDescent="0.25">
      <c r="A126" s="2">
        <v>7</v>
      </c>
      <c r="B126" s="9" t="s">
        <v>260</v>
      </c>
      <c r="C126" s="10" t="s">
        <v>1216</v>
      </c>
      <c r="D126" s="13" t="s">
        <v>534</v>
      </c>
      <c r="E126" s="208">
        <v>75000</v>
      </c>
      <c r="F126" s="11"/>
    </row>
    <row r="127" spans="1:6" ht="20.100000000000001" customHeight="1" x14ac:dyDescent="0.25">
      <c r="A127" s="2">
        <v>8</v>
      </c>
      <c r="B127" s="9" t="s">
        <v>263</v>
      </c>
      <c r="C127" s="10" t="s">
        <v>264</v>
      </c>
      <c r="D127" s="8" t="s">
        <v>87</v>
      </c>
      <c r="E127" s="208">
        <v>45000</v>
      </c>
      <c r="F127" s="11"/>
    </row>
    <row r="128" spans="1:6" ht="20.100000000000001" customHeight="1" x14ac:dyDescent="0.25">
      <c r="A128" s="2">
        <v>9</v>
      </c>
      <c r="B128" s="16" t="s">
        <v>265</v>
      </c>
      <c r="C128" s="10" t="s">
        <v>266</v>
      </c>
      <c r="D128" s="13" t="s">
        <v>105</v>
      </c>
      <c r="E128" s="208">
        <v>45000</v>
      </c>
      <c r="F128" s="11"/>
    </row>
    <row r="129" spans="1:6" ht="20.100000000000001" customHeight="1" x14ac:dyDescent="0.55000000000000004">
      <c r="A129" s="2"/>
      <c r="B129" s="18" t="s">
        <v>111</v>
      </c>
      <c r="C129" s="24" t="s">
        <v>1364</v>
      </c>
      <c r="D129" s="13"/>
      <c r="E129" s="216">
        <f>SUM(E120:E128)</f>
        <v>855000</v>
      </c>
      <c r="F129" s="11"/>
    </row>
    <row r="130" spans="1:6" ht="20.100000000000001" customHeight="1" x14ac:dyDescent="0.25">
      <c r="A130" s="2"/>
      <c r="B130" s="20"/>
      <c r="C130" s="24"/>
      <c r="D130" s="13"/>
      <c r="E130" s="212"/>
      <c r="F130" s="11"/>
    </row>
    <row r="131" spans="1:6" ht="20.100000000000001" customHeight="1" x14ac:dyDescent="0.25">
      <c r="A131" s="2"/>
      <c r="B131" s="18" t="s">
        <v>270</v>
      </c>
      <c r="C131" s="10"/>
      <c r="D131" s="13"/>
      <c r="E131" s="208"/>
      <c r="F131" s="11"/>
    </row>
    <row r="132" spans="1:6" ht="20.100000000000001" customHeight="1" x14ac:dyDescent="0.25">
      <c r="A132" s="25">
        <v>1</v>
      </c>
      <c r="B132" s="9" t="s">
        <v>557</v>
      </c>
      <c r="C132" s="10" t="s">
        <v>558</v>
      </c>
      <c r="D132" s="13" t="s">
        <v>115</v>
      </c>
      <c r="E132" s="208">
        <v>225000</v>
      </c>
      <c r="F132" s="11"/>
    </row>
    <row r="133" spans="1:6" ht="20.100000000000001" customHeight="1" x14ac:dyDescent="0.25">
      <c r="A133" s="25">
        <v>2</v>
      </c>
      <c r="B133" s="9" t="s">
        <v>559</v>
      </c>
      <c r="C133" s="10" t="s">
        <v>560</v>
      </c>
      <c r="D133" s="13" t="s">
        <v>154</v>
      </c>
      <c r="E133" s="208">
        <v>150000</v>
      </c>
      <c r="F133" s="11"/>
    </row>
    <row r="134" spans="1:6" ht="20.100000000000001" customHeight="1" x14ac:dyDescent="0.25">
      <c r="A134" s="25">
        <v>3</v>
      </c>
      <c r="B134" s="12" t="s">
        <v>274</v>
      </c>
      <c r="C134" s="2" t="s">
        <v>275</v>
      </c>
      <c r="D134" s="14" t="s">
        <v>35</v>
      </c>
      <c r="E134" s="208">
        <v>150000</v>
      </c>
      <c r="F134" s="11"/>
    </row>
    <row r="135" spans="1:6" ht="20.100000000000001" customHeight="1" x14ac:dyDescent="0.25">
      <c r="A135" s="25">
        <v>4</v>
      </c>
      <c r="B135" s="9" t="s">
        <v>276</v>
      </c>
      <c r="C135" s="10" t="s">
        <v>561</v>
      </c>
      <c r="D135" s="13" t="s">
        <v>176</v>
      </c>
      <c r="E135" s="208">
        <v>75000</v>
      </c>
      <c r="F135" s="11"/>
    </row>
    <row r="136" spans="1:6" ht="20.100000000000001" customHeight="1" x14ac:dyDescent="0.25">
      <c r="A136" s="25">
        <v>5</v>
      </c>
      <c r="B136" s="9" t="s">
        <v>278</v>
      </c>
      <c r="C136" s="2" t="s">
        <v>562</v>
      </c>
      <c r="D136" s="13" t="s">
        <v>176</v>
      </c>
      <c r="E136" s="208">
        <v>75000</v>
      </c>
      <c r="F136" s="11"/>
    </row>
    <row r="137" spans="1:6" ht="20.100000000000001" customHeight="1" x14ac:dyDescent="0.25">
      <c r="A137" s="25">
        <v>6</v>
      </c>
      <c r="B137" s="9" t="s">
        <v>211</v>
      </c>
      <c r="C137" s="2" t="s">
        <v>564</v>
      </c>
      <c r="D137" s="13" t="s">
        <v>534</v>
      </c>
      <c r="E137" s="208">
        <v>75000</v>
      </c>
      <c r="F137" s="11"/>
    </row>
    <row r="138" spans="1:6" ht="20.100000000000001" customHeight="1" x14ac:dyDescent="0.25">
      <c r="A138" s="25">
        <v>7</v>
      </c>
      <c r="B138" s="9" t="s">
        <v>213</v>
      </c>
      <c r="C138" s="10" t="s">
        <v>563</v>
      </c>
      <c r="D138" s="13" t="s">
        <v>162</v>
      </c>
      <c r="E138" s="208">
        <v>45000</v>
      </c>
      <c r="F138" s="11"/>
    </row>
    <row r="139" spans="1:6" ht="20.100000000000001" customHeight="1" x14ac:dyDescent="0.25">
      <c r="A139" s="25">
        <v>8</v>
      </c>
      <c r="B139" s="9" t="s">
        <v>281</v>
      </c>
      <c r="C139" s="10" t="s">
        <v>563</v>
      </c>
      <c r="D139" s="13" t="s">
        <v>162</v>
      </c>
      <c r="E139" s="208">
        <v>45000</v>
      </c>
      <c r="F139" s="11"/>
    </row>
    <row r="140" spans="1:6" ht="20.100000000000001" customHeight="1" x14ac:dyDescent="0.25">
      <c r="A140" s="25">
        <v>9</v>
      </c>
      <c r="B140" s="9" t="s">
        <v>282</v>
      </c>
      <c r="C140" s="2" t="s">
        <v>564</v>
      </c>
      <c r="D140" s="13" t="s">
        <v>162</v>
      </c>
      <c r="E140" s="208">
        <v>45000</v>
      </c>
      <c r="F140" s="11"/>
    </row>
    <row r="141" spans="1:6" ht="20.100000000000001" customHeight="1" x14ac:dyDescent="0.25">
      <c r="A141" s="25">
        <v>10</v>
      </c>
      <c r="B141" s="9" t="s">
        <v>284</v>
      </c>
      <c r="C141" s="10" t="s">
        <v>565</v>
      </c>
      <c r="D141" s="13" t="s">
        <v>68</v>
      </c>
      <c r="E141" s="208">
        <v>45000</v>
      </c>
      <c r="F141" s="11"/>
    </row>
    <row r="142" spans="1:6" ht="20.100000000000001" customHeight="1" x14ac:dyDescent="0.25">
      <c r="A142" s="25">
        <v>11</v>
      </c>
      <c r="B142" s="9" t="s">
        <v>286</v>
      </c>
      <c r="C142" s="10" t="s">
        <v>1218</v>
      </c>
      <c r="D142" s="13" t="s">
        <v>300</v>
      </c>
      <c r="E142" s="208">
        <v>45000</v>
      </c>
      <c r="F142" s="11"/>
    </row>
    <row r="143" spans="1:6" ht="20.100000000000001" customHeight="1" x14ac:dyDescent="0.25">
      <c r="A143" s="25">
        <v>12</v>
      </c>
      <c r="B143" s="9" t="s">
        <v>60</v>
      </c>
      <c r="C143" s="10" t="s">
        <v>565</v>
      </c>
      <c r="D143" s="13" t="s">
        <v>162</v>
      </c>
      <c r="E143" s="208">
        <v>45000</v>
      </c>
      <c r="F143" s="11"/>
    </row>
    <row r="144" spans="1:6" ht="20.100000000000001" customHeight="1" x14ac:dyDescent="0.25">
      <c r="A144" s="25">
        <v>13</v>
      </c>
      <c r="B144" s="16" t="s">
        <v>288</v>
      </c>
      <c r="C144" s="2" t="s">
        <v>297</v>
      </c>
      <c r="D144" s="13" t="s">
        <v>300</v>
      </c>
      <c r="E144" s="208">
        <v>45000</v>
      </c>
      <c r="F144" s="11"/>
    </row>
    <row r="145" spans="1:6" ht="20.100000000000001" customHeight="1" x14ac:dyDescent="0.25">
      <c r="A145" s="25">
        <v>14</v>
      </c>
      <c r="B145" s="9" t="s">
        <v>290</v>
      </c>
      <c r="C145" s="2" t="s">
        <v>566</v>
      </c>
      <c r="D145" s="13" t="s">
        <v>76</v>
      </c>
      <c r="E145" s="208">
        <v>45000</v>
      </c>
      <c r="F145" s="11"/>
    </row>
    <row r="146" spans="1:6" ht="20.100000000000001" customHeight="1" x14ac:dyDescent="0.25">
      <c r="A146" s="25">
        <v>15</v>
      </c>
      <c r="B146" s="9" t="s">
        <v>291</v>
      </c>
      <c r="C146" s="2" t="s">
        <v>566</v>
      </c>
      <c r="D146" s="13" t="s">
        <v>119</v>
      </c>
      <c r="E146" s="208">
        <v>45000</v>
      </c>
      <c r="F146" s="11"/>
    </row>
    <row r="147" spans="1:6" ht="20.100000000000001" customHeight="1" x14ac:dyDescent="0.25">
      <c r="A147" s="25">
        <v>16</v>
      </c>
      <c r="B147" s="9" t="s">
        <v>293</v>
      </c>
      <c r="C147" s="2" t="s">
        <v>566</v>
      </c>
      <c r="D147" s="13" t="s">
        <v>119</v>
      </c>
      <c r="E147" s="208">
        <v>45000</v>
      </c>
      <c r="F147" s="11"/>
    </row>
    <row r="148" spans="1:6" ht="20.100000000000001" customHeight="1" x14ac:dyDescent="0.25">
      <c r="A148" s="25">
        <v>17</v>
      </c>
      <c r="B148" s="9" t="s">
        <v>294</v>
      </c>
      <c r="C148" s="10" t="s">
        <v>295</v>
      </c>
      <c r="D148" s="13" t="s">
        <v>73</v>
      </c>
      <c r="E148" s="208">
        <v>45000</v>
      </c>
      <c r="F148" s="11"/>
    </row>
    <row r="149" spans="1:6" ht="20.100000000000001" customHeight="1" x14ac:dyDescent="0.25">
      <c r="A149" s="25">
        <v>18</v>
      </c>
      <c r="B149" s="9" t="s">
        <v>1201</v>
      </c>
      <c r="C149" s="10" t="s">
        <v>297</v>
      </c>
      <c r="D149" s="8" t="s">
        <v>96</v>
      </c>
      <c r="E149" s="208">
        <v>45000</v>
      </c>
      <c r="F149" s="11"/>
    </row>
    <row r="150" spans="1:6" ht="20.100000000000001" customHeight="1" x14ac:dyDescent="0.25">
      <c r="A150" s="25">
        <v>19</v>
      </c>
      <c r="B150" s="9" t="s">
        <v>298</v>
      </c>
      <c r="C150" s="10" t="s">
        <v>299</v>
      </c>
      <c r="D150" s="13" t="s">
        <v>76</v>
      </c>
      <c r="E150" s="208">
        <v>45000</v>
      </c>
      <c r="F150" s="11"/>
    </row>
    <row r="151" spans="1:6" ht="20.100000000000001" customHeight="1" x14ac:dyDescent="0.25">
      <c r="A151" s="25">
        <v>20</v>
      </c>
      <c r="B151" s="9" t="s">
        <v>301</v>
      </c>
      <c r="C151" s="10" t="s">
        <v>302</v>
      </c>
      <c r="D151" s="13" t="s">
        <v>87</v>
      </c>
      <c r="E151" s="208">
        <v>45000</v>
      </c>
      <c r="F151" s="11"/>
    </row>
    <row r="152" spans="1:6" ht="20.100000000000001" customHeight="1" x14ac:dyDescent="0.25">
      <c r="A152" s="25">
        <v>21</v>
      </c>
      <c r="B152" s="9" t="s">
        <v>303</v>
      </c>
      <c r="C152" s="10" t="s">
        <v>304</v>
      </c>
      <c r="D152" s="13" t="s">
        <v>76</v>
      </c>
      <c r="E152" s="208">
        <v>45000</v>
      </c>
      <c r="F152" s="11"/>
    </row>
    <row r="153" spans="1:6" ht="20.100000000000001" customHeight="1" x14ac:dyDescent="0.25">
      <c r="A153" s="25">
        <v>22</v>
      </c>
      <c r="B153" s="9" t="s">
        <v>305</v>
      </c>
      <c r="C153" s="10" t="s">
        <v>306</v>
      </c>
      <c r="D153" s="13" t="s">
        <v>87</v>
      </c>
      <c r="E153" s="208">
        <v>45000</v>
      </c>
      <c r="F153" s="11"/>
    </row>
    <row r="154" spans="1:6" ht="20.100000000000001" customHeight="1" x14ac:dyDescent="0.25">
      <c r="A154" s="25">
        <v>23</v>
      </c>
      <c r="B154" s="16" t="s">
        <v>307</v>
      </c>
      <c r="C154" s="10" t="s">
        <v>315</v>
      </c>
      <c r="D154" s="13" t="s">
        <v>206</v>
      </c>
      <c r="E154" s="208">
        <v>45000</v>
      </c>
      <c r="F154" s="11"/>
    </row>
    <row r="155" spans="1:6" ht="20.100000000000001" customHeight="1" x14ac:dyDescent="0.25">
      <c r="A155" s="25">
        <v>24</v>
      </c>
      <c r="B155" s="16" t="s">
        <v>312</v>
      </c>
      <c r="C155" s="10" t="s">
        <v>313</v>
      </c>
      <c r="D155" s="13" t="s">
        <v>108</v>
      </c>
      <c r="E155" s="208">
        <v>45000</v>
      </c>
      <c r="F155" s="11"/>
    </row>
    <row r="156" spans="1:6" ht="20.100000000000001" customHeight="1" x14ac:dyDescent="0.25">
      <c r="A156" s="25">
        <v>25</v>
      </c>
      <c r="B156" s="16" t="s">
        <v>314</v>
      </c>
      <c r="C156" s="10" t="s">
        <v>315</v>
      </c>
      <c r="D156" s="13" t="s">
        <v>108</v>
      </c>
      <c r="E156" s="208">
        <v>45000</v>
      </c>
      <c r="F156" s="11"/>
    </row>
    <row r="157" spans="1:6" ht="20.100000000000001" customHeight="1" x14ac:dyDescent="0.25">
      <c r="A157" s="25">
        <v>26</v>
      </c>
      <c r="B157" s="16" t="s">
        <v>316</v>
      </c>
      <c r="C157" s="10" t="s">
        <v>317</v>
      </c>
      <c r="D157" s="13" t="s">
        <v>105</v>
      </c>
      <c r="E157" s="208">
        <v>45000</v>
      </c>
      <c r="F157" s="11"/>
    </row>
    <row r="158" spans="1:6" ht="20.100000000000001" customHeight="1" x14ac:dyDescent="0.25">
      <c r="A158" s="25">
        <v>27</v>
      </c>
      <c r="B158" s="16" t="s">
        <v>318</v>
      </c>
      <c r="C158" s="10" t="s">
        <v>319</v>
      </c>
      <c r="D158" s="13" t="s">
        <v>105</v>
      </c>
      <c r="E158" s="208">
        <v>45000</v>
      </c>
      <c r="F158" s="11"/>
    </row>
    <row r="159" spans="1:6" ht="20.100000000000001" customHeight="1" x14ac:dyDescent="0.25">
      <c r="A159" s="25">
        <v>28</v>
      </c>
      <c r="B159" s="9" t="s">
        <v>329</v>
      </c>
      <c r="C159" s="10" t="s">
        <v>330</v>
      </c>
      <c r="D159" s="13" t="s">
        <v>348</v>
      </c>
      <c r="E159" s="208">
        <v>30000</v>
      </c>
      <c r="F159" s="11"/>
    </row>
    <row r="160" spans="1:6" ht="20.100000000000001" customHeight="1" x14ac:dyDescent="0.25">
      <c r="A160" s="25">
        <v>29</v>
      </c>
      <c r="B160" s="9" t="s">
        <v>332</v>
      </c>
      <c r="C160" s="10" t="s">
        <v>330</v>
      </c>
      <c r="D160" s="13" t="s">
        <v>348</v>
      </c>
      <c r="E160" s="208">
        <v>30000</v>
      </c>
      <c r="F160" s="11"/>
    </row>
    <row r="161" spans="1:6" ht="20.100000000000001" customHeight="1" x14ac:dyDescent="0.25">
      <c r="A161" s="25">
        <v>30</v>
      </c>
      <c r="B161" s="9" t="s">
        <v>333</v>
      </c>
      <c r="C161" s="10" t="s">
        <v>330</v>
      </c>
      <c r="D161" s="13" t="s">
        <v>348</v>
      </c>
      <c r="E161" s="208">
        <v>30000</v>
      </c>
      <c r="F161" s="11"/>
    </row>
    <row r="162" spans="1:6" ht="20.100000000000001" customHeight="1" x14ac:dyDescent="0.25">
      <c r="A162" s="25">
        <v>32</v>
      </c>
      <c r="B162" s="9" t="s">
        <v>334</v>
      </c>
      <c r="C162" s="10" t="s">
        <v>330</v>
      </c>
      <c r="D162" s="13" t="s">
        <v>348</v>
      </c>
      <c r="E162" s="208">
        <v>30000</v>
      </c>
      <c r="F162" s="11"/>
    </row>
    <row r="163" spans="1:6" ht="20.100000000000001" customHeight="1" x14ac:dyDescent="0.25">
      <c r="A163" s="25">
        <v>33</v>
      </c>
      <c r="B163" s="9" t="s">
        <v>335</v>
      </c>
      <c r="C163" s="10" t="s">
        <v>330</v>
      </c>
      <c r="D163" s="13" t="s">
        <v>348</v>
      </c>
      <c r="E163" s="208">
        <v>30000</v>
      </c>
      <c r="F163" s="11"/>
    </row>
    <row r="164" spans="1:6" ht="20.100000000000001" customHeight="1" x14ac:dyDescent="0.25">
      <c r="A164" s="25">
        <v>34</v>
      </c>
      <c r="B164" s="9" t="s">
        <v>336</v>
      </c>
      <c r="C164" s="10" t="s">
        <v>330</v>
      </c>
      <c r="D164" s="13" t="s">
        <v>345</v>
      </c>
      <c r="E164" s="208">
        <v>30000</v>
      </c>
      <c r="F164" s="11"/>
    </row>
    <row r="165" spans="1:6" ht="20.100000000000001" customHeight="1" x14ac:dyDescent="0.25">
      <c r="A165" s="25">
        <v>35</v>
      </c>
      <c r="B165" s="9" t="s">
        <v>338</v>
      </c>
      <c r="C165" s="10" t="s">
        <v>330</v>
      </c>
      <c r="D165" s="13" t="s">
        <v>345</v>
      </c>
      <c r="E165" s="208">
        <v>30000</v>
      </c>
      <c r="F165" s="11"/>
    </row>
    <row r="166" spans="1:6" ht="20.100000000000001" customHeight="1" x14ac:dyDescent="0.25">
      <c r="A166" s="25">
        <v>36</v>
      </c>
      <c r="B166" s="9" t="s">
        <v>1365</v>
      </c>
      <c r="C166" s="10" t="s">
        <v>330</v>
      </c>
      <c r="D166" s="13" t="s">
        <v>345</v>
      </c>
      <c r="E166" s="208">
        <v>30000</v>
      </c>
      <c r="F166" s="11"/>
    </row>
    <row r="167" spans="1:6" ht="20.100000000000001" customHeight="1" x14ac:dyDescent="0.25">
      <c r="A167" s="25">
        <v>37</v>
      </c>
      <c r="B167" s="12" t="s">
        <v>339</v>
      </c>
      <c r="C167" s="10" t="s">
        <v>330</v>
      </c>
      <c r="D167" s="13" t="s">
        <v>345</v>
      </c>
      <c r="E167" s="208">
        <v>30000</v>
      </c>
      <c r="F167" s="11"/>
    </row>
    <row r="168" spans="1:6" ht="20.100000000000001" customHeight="1" x14ac:dyDescent="0.25">
      <c r="A168" s="25">
        <v>38</v>
      </c>
      <c r="B168" s="9" t="s">
        <v>340</v>
      </c>
      <c r="C168" s="10" t="s">
        <v>330</v>
      </c>
      <c r="D168" s="13" t="s">
        <v>345</v>
      </c>
      <c r="E168" s="208">
        <v>30000</v>
      </c>
      <c r="F168" s="11"/>
    </row>
    <row r="169" spans="1:6" ht="20.100000000000001" customHeight="1" x14ac:dyDescent="0.25">
      <c r="A169" s="25">
        <v>39</v>
      </c>
      <c r="B169" s="16" t="s">
        <v>341</v>
      </c>
      <c r="C169" s="10" t="s">
        <v>330</v>
      </c>
      <c r="D169" s="13" t="s">
        <v>345</v>
      </c>
      <c r="E169" s="208">
        <v>30000</v>
      </c>
      <c r="F169" s="11"/>
    </row>
    <row r="170" spans="1:6" ht="20.100000000000001" customHeight="1" x14ac:dyDescent="0.25">
      <c r="A170" s="25">
        <v>40</v>
      </c>
      <c r="B170" s="16" t="s">
        <v>342</v>
      </c>
      <c r="C170" s="10" t="s">
        <v>330</v>
      </c>
      <c r="D170" s="13" t="s">
        <v>345</v>
      </c>
      <c r="E170" s="208">
        <v>30000</v>
      </c>
      <c r="F170" s="11"/>
    </row>
    <row r="171" spans="1:6" ht="20.100000000000001" customHeight="1" x14ac:dyDescent="0.25">
      <c r="A171" s="25">
        <v>41</v>
      </c>
      <c r="B171" s="9" t="s">
        <v>343</v>
      </c>
      <c r="C171" s="10" t="s">
        <v>350</v>
      </c>
      <c r="D171" s="13" t="s">
        <v>354</v>
      </c>
      <c r="E171" s="208">
        <v>30000</v>
      </c>
      <c r="F171" s="11"/>
    </row>
    <row r="172" spans="1:6" ht="20.100000000000001" customHeight="1" x14ac:dyDescent="0.25">
      <c r="A172" s="25">
        <v>42</v>
      </c>
      <c r="B172" s="9" t="s">
        <v>346</v>
      </c>
      <c r="C172" s="10" t="s">
        <v>350</v>
      </c>
      <c r="D172" s="13" t="s">
        <v>354</v>
      </c>
      <c r="E172" s="208">
        <v>30000</v>
      </c>
      <c r="F172" s="11"/>
    </row>
    <row r="173" spans="1:6" ht="20.100000000000001" customHeight="1" x14ac:dyDescent="0.25">
      <c r="A173" s="25">
        <v>43</v>
      </c>
      <c r="B173" s="16" t="s">
        <v>347</v>
      </c>
      <c r="C173" s="10" t="s">
        <v>350</v>
      </c>
      <c r="D173" s="13" t="s">
        <v>1197</v>
      </c>
      <c r="E173" s="208">
        <v>30000</v>
      </c>
      <c r="F173" s="11"/>
    </row>
    <row r="174" spans="1:6" ht="20.100000000000001" customHeight="1" x14ac:dyDescent="0.25">
      <c r="A174" s="25">
        <v>44</v>
      </c>
      <c r="B174" s="9" t="s">
        <v>349</v>
      </c>
      <c r="C174" s="10" t="s">
        <v>350</v>
      </c>
      <c r="D174" s="13" t="s">
        <v>1202</v>
      </c>
      <c r="E174" s="208">
        <v>30000</v>
      </c>
      <c r="F174" s="11"/>
    </row>
    <row r="175" spans="1:6" ht="20.100000000000001" customHeight="1" x14ac:dyDescent="0.25">
      <c r="A175" s="25">
        <v>45</v>
      </c>
      <c r="B175" s="9" t="s">
        <v>352</v>
      </c>
      <c r="C175" s="10" t="s">
        <v>353</v>
      </c>
      <c r="D175" s="13" t="s">
        <v>1203</v>
      </c>
      <c r="E175" s="208">
        <v>30000</v>
      </c>
      <c r="F175" s="11"/>
    </row>
    <row r="176" spans="1:6" ht="20.100000000000001" customHeight="1" x14ac:dyDescent="0.25">
      <c r="A176" s="25">
        <v>46</v>
      </c>
      <c r="B176" s="9" t="s">
        <v>355</v>
      </c>
      <c r="C176" s="10" t="s">
        <v>353</v>
      </c>
      <c r="D176" s="13" t="s">
        <v>1203</v>
      </c>
      <c r="E176" s="208">
        <v>30000</v>
      </c>
      <c r="F176" s="11"/>
    </row>
    <row r="177" spans="1:6" ht="20.100000000000001" customHeight="1" x14ac:dyDescent="0.25">
      <c r="A177" s="25">
        <v>47</v>
      </c>
      <c r="B177" s="9" t="s">
        <v>356</v>
      </c>
      <c r="C177" s="10" t="s">
        <v>353</v>
      </c>
      <c r="D177" s="13" t="s">
        <v>1203</v>
      </c>
      <c r="E177" s="208">
        <v>30000</v>
      </c>
      <c r="F177" s="11"/>
    </row>
    <row r="178" spans="1:6" ht="20.100000000000001" customHeight="1" x14ac:dyDescent="0.25">
      <c r="A178" s="25">
        <v>48</v>
      </c>
      <c r="B178" s="9" t="s">
        <v>357</v>
      </c>
      <c r="C178" s="10" t="s">
        <v>353</v>
      </c>
      <c r="D178" s="13" t="s">
        <v>1203</v>
      </c>
      <c r="E178" s="208">
        <v>30000</v>
      </c>
      <c r="F178" s="11"/>
    </row>
    <row r="179" spans="1:6" ht="20.100000000000001" customHeight="1" x14ac:dyDescent="0.25">
      <c r="A179" s="25">
        <v>49</v>
      </c>
      <c r="B179" s="9" t="s">
        <v>358</v>
      </c>
      <c r="C179" s="10" t="s">
        <v>353</v>
      </c>
      <c r="D179" s="13" t="s">
        <v>1203</v>
      </c>
      <c r="E179" s="208">
        <v>30000</v>
      </c>
      <c r="F179" s="11"/>
    </row>
    <row r="180" spans="1:6" ht="20.100000000000001" customHeight="1" x14ac:dyDescent="0.25">
      <c r="A180" s="25">
        <v>50</v>
      </c>
      <c r="B180" s="16" t="s">
        <v>359</v>
      </c>
      <c r="C180" s="10" t="s">
        <v>353</v>
      </c>
      <c r="D180" s="13" t="s">
        <v>1203</v>
      </c>
      <c r="E180" s="208">
        <v>30000</v>
      </c>
      <c r="F180" s="11"/>
    </row>
    <row r="181" spans="1:6" ht="20.100000000000001" customHeight="1" x14ac:dyDescent="0.25">
      <c r="A181" s="25">
        <v>51</v>
      </c>
      <c r="B181" s="16" t="s">
        <v>360</v>
      </c>
      <c r="C181" s="10" t="s">
        <v>353</v>
      </c>
      <c r="D181" s="13" t="s">
        <v>1203</v>
      </c>
      <c r="E181" s="208">
        <v>30000</v>
      </c>
      <c r="F181" s="11"/>
    </row>
    <row r="182" spans="1:6" ht="20.100000000000001" customHeight="1" x14ac:dyDescent="0.25">
      <c r="A182" s="25">
        <v>52</v>
      </c>
      <c r="B182" s="9" t="s">
        <v>493</v>
      </c>
      <c r="C182" s="10" t="s">
        <v>350</v>
      </c>
      <c r="D182" s="13" t="s">
        <v>1203</v>
      </c>
      <c r="E182" s="208">
        <v>30000</v>
      </c>
      <c r="F182" s="11"/>
    </row>
    <row r="183" spans="1:6" ht="20.100000000000001" customHeight="1" x14ac:dyDescent="0.25">
      <c r="A183" s="25">
        <v>53</v>
      </c>
      <c r="B183" s="9" t="s">
        <v>361</v>
      </c>
      <c r="C183" s="10" t="s">
        <v>350</v>
      </c>
      <c r="D183" s="13" t="s">
        <v>1203</v>
      </c>
      <c r="E183" s="208">
        <v>30000</v>
      </c>
      <c r="F183" s="11"/>
    </row>
    <row r="184" spans="1:6" ht="20.100000000000001" customHeight="1" x14ac:dyDescent="0.25">
      <c r="A184" s="25">
        <v>54</v>
      </c>
      <c r="B184" s="16" t="s">
        <v>362</v>
      </c>
      <c r="C184" s="10" t="s">
        <v>353</v>
      </c>
      <c r="D184" s="13" t="s">
        <v>1219</v>
      </c>
      <c r="E184" s="208">
        <v>30000</v>
      </c>
      <c r="F184" s="11"/>
    </row>
    <row r="185" spans="1:6" ht="20.100000000000001" customHeight="1" x14ac:dyDescent="0.25">
      <c r="A185" s="25">
        <v>55</v>
      </c>
      <c r="B185" s="16" t="s">
        <v>367</v>
      </c>
      <c r="C185" s="10" t="s">
        <v>353</v>
      </c>
      <c r="D185" s="13" t="s">
        <v>371</v>
      </c>
      <c r="E185" s="208">
        <v>30000</v>
      </c>
      <c r="F185" s="11"/>
    </row>
    <row r="186" spans="1:6" ht="20.100000000000001" customHeight="1" x14ac:dyDescent="0.25">
      <c r="A186" s="25"/>
      <c r="B186" s="6" t="s">
        <v>111</v>
      </c>
      <c r="C186" s="26" t="s">
        <v>1366</v>
      </c>
      <c r="D186" s="27"/>
      <c r="E186" s="217">
        <f>SUM(E132:E185)</f>
        <v>2505000</v>
      </c>
      <c r="F186" s="11"/>
    </row>
    <row r="187" spans="1:6" ht="9" customHeight="1" x14ac:dyDescent="0.25">
      <c r="A187" s="25"/>
      <c r="B187" s="6"/>
      <c r="C187" s="26"/>
      <c r="D187" s="27"/>
      <c r="E187" s="217"/>
      <c r="F187" s="11"/>
    </row>
    <row r="188" spans="1:6" ht="30" customHeight="1" x14ac:dyDescent="0.25">
      <c r="A188" s="2"/>
      <c r="B188" s="218" t="s">
        <v>379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 x14ac:dyDescent="0.2">
      <c r="B189" s="31"/>
      <c r="D189" s="32"/>
      <c r="E189" s="88"/>
      <c r="F189" s="33"/>
    </row>
    <row r="190" spans="1:6" ht="65.25" customHeight="1" x14ac:dyDescent="0.2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95"/>
  <sheetViews>
    <sheetView view="pageBreakPreview" zoomScaleNormal="100" workbookViewId="0">
      <pane xSplit="3" ySplit="7" topLeftCell="D19" activePane="bottomRight" state="frozen"/>
      <selection pane="bottomLeft"/>
      <selection pane="topRight"/>
      <selection pane="bottomRight" activeCell="I6" sqref="I6"/>
    </sheetView>
  </sheetViews>
  <sheetFormatPr defaultColWidth="9.16796875" defaultRowHeight="20.100000000000001" customHeight="1" x14ac:dyDescent="0.2"/>
  <cols>
    <col min="1" max="1" width="5.390625" style="1" customWidth="1"/>
    <col min="2" max="2" width="44.5" style="1" customWidth="1"/>
    <col min="3" max="3" width="38.02734375" style="1" customWidth="1"/>
    <col min="4" max="4" width="12.40625" style="1" customWidth="1"/>
    <col min="5" max="5" width="21.84375" style="1" customWidth="1"/>
    <col min="6" max="6" width="21.7109375" style="1" customWidth="1"/>
    <col min="7" max="16384" width="9.16796875" style="1"/>
  </cols>
  <sheetData>
    <row r="1" spans="1:6" ht="27" customHeight="1" x14ac:dyDescent="0.25">
      <c r="A1" s="202" t="s">
        <v>0</v>
      </c>
      <c r="B1" s="202"/>
      <c r="C1" s="202"/>
      <c r="D1" s="202"/>
      <c r="E1" s="223"/>
    </row>
    <row r="2" spans="1:6" ht="33.75" customHeight="1" x14ac:dyDescent="0.3">
      <c r="A2" s="202" t="s">
        <v>1349</v>
      </c>
      <c r="B2" s="62"/>
      <c r="C2" s="61"/>
      <c r="D2" s="61"/>
      <c r="E2" s="63"/>
    </row>
    <row r="3" spans="1:6" ht="9.75" customHeight="1" x14ac:dyDescent="0.2"/>
    <row r="4" spans="1:6" ht="49.5" customHeight="1" x14ac:dyDescent="0.25">
      <c r="A4" s="203"/>
      <c r="B4" s="204" t="s">
        <v>2</v>
      </c>
      <c r="C4" s="205" t="s">
        <v>3</v>
      </c>
      <c r="D4" s="206" t="s">
        <v>4</v>
      </c>
      <c r="E4" s="207" t="s">
        <v>638</v>
      </c>
    </row>
    <row r="5" spans="1:6" ht="17.25" customHeight="1" x14ac:dyDescent="0.2">
      <c r="C5" s="6"/>
      <c r="D5" s="6"/>
      <c r="E5" s="196" t="s">
        <v>20</v>
      </c>
    </row>
    <row r="6" spans="1:6" ht="20.100000000000001" customHeight="1" x14ac:dyDescent="0.2">
      <c r="A6" s="7" t="s">
        <v>21</v>
      </c>
      <c r="B6" s="6" t="s">
        <v>22</v>
      </c>
      <c r="C6" s="6"/>
      <c r="D6" s="6"/>
      <c r="E6" s="196"/>
    </row>
    <row r="7" spans="1:6" ht="20.100000000000001" customHeight="1" x14ac:dyDescent="0.25">
      <c r="A7" s="8">
        <v>1</v>
      </c>
      <c r="B7" s="9" t="s">
        <v>23</v>
      </c>
      <c r="C7" s="10" t="s">
        <v>24</v>
      </c>
      <c r="D7" s="10" t="s">
        <v>25</v>
      </c>
      <c r="E7" s="208">
        <v>450000</v>
      </c>
      <c r="F7" s="11"/>
    </row>
    <row r="8" spans="1:6" ht="20.100000000000001" customHeight="1" x14ac:dyDescent="0.25">
      <c r="A8" s="8">
        <v>2</v>
      </c>
      <c r="B8" s="9" t="s">
        <v>1261</v>
      </c>
      <c r="C8" s="2" t="s">
        <v>1350</v>
      </c>
      <c r="D8" s="8" t="s">
        <v>154</v>
      </c>
      <c r="E8" s="208">
        <v>150000</v>
      </c>
      <c r="F8" s="11"/>
    </row>
    <row r="9" spans="1:6" ht="20.100000000000001" customHeight="1" x14ac:dyDescent="0.25">
      <c r="A9" s="8">
        <v>3</v>
      </c>
      <c r="B9" s="12" t="s">
        <v>1351</v>
      </c>
      <c r="C9" s="2" t="s">
        <v>1352</v>
      </c>
      <c r="D9" s="8" t="s">
        <v>154</v>
      </c>
      <c r="E9" s="208">
        <v>150000</v>
      </c>
      <c r="F9" s="11"/>
    </row>
    <row r="10" spans="1:6" ht="20.100000000000001" customHeight="1" x14ac:dyDescent="0.25">
      <c r="A10" s="8">
        <v>4</v>
      </c>
      <c r="B10" s="9" t="s">
        <v>26</v>
      </c>
      <c r="C10" s="10" t="s">
        <v>27</v>
      </c>
      <c r="D10" s="8" t="s">
        <v>28</v>
      </c>
      <c r="E10" s="208">
        <v>150000</v>
      </c>
      <c r="F10" s="11"/>
    </row>
    <row r="11" spans="1:6" ht="20.100000000000001" customHeight="1" x14ac:dyDescent="0.25">
      <c r="A11" s="8">
        <v>5</v>
      </c>
      <c r="B11" s="12" t="s">
        <v>29</v>
      </c>
      <c r="C11" s="2" t="s">
        <v>30</v>
      </c>
      <c r="D11" s="13" t="s">
        <v>35</v>
      </c>
      <c r="E11" s="208">
        <v>150000</v>
      </c>
      <c r="F11" s="11"/>
    </row>
    <row r="12" spans="1:6" ht="20.100000000000001" customHeight="1" x14ac:dyDescent="0.25">
      <c r="A12" s="8">
        <v>6</v>
      </c>
      <c r="B12" s="12" t="s">
        <v>208</v>
      </c>
      <c r="C12" s="2" t="s">
        <v>1263</v>
      </c>
      <c r="D12" s="14" t="s">
        <v>35</v>
      </c>
      <c r="E12" s="208">
        <v>150000</v>
      </c>
      <c r="F12" s="11"/>
    </row>
    <row r="13" spans="1:6" ht="20.100000000000001" customHeight="1" x14ac:dyDescent="0.25">
      <c r="A13" s="8">
        <v>7</v>
      </c>
      <c r="B13" s="9" t="s">
        <v>31</v>
      </c>
      <c r="C13" s="15" t="s">
        <v>32</v>
      </c>
      <c r="D13" s="14" t="s">
        <v>35</v>
      </c>
      <c r="E13" s="208">
        <v>150000</v>
      </c>
      <c r="F13" s="11"/>
    </row>
    <row r="14" spans="1:6" ht="20.100000000000001" customHeight="1" x14ac:dyDescent="0.25">
      <c r="A14" s="8">
        <v>8</v>
      </c>
      <c r="B14" s="12" t="s">
        <v>271</v>
      </c>
      <c r="C14" s="2" t="s">
        <v>529</v>
      </c>
      <c r="D14" s="14" t="s">
        <v>35</v>
      </c>
      <c r="E14" s="208">
        <v>150000</v>
      </c>
      <c r="F14" s="11"/>
    </row>
    <row r="15" spans="1:6" ht="20.100000000000001" customHeight="1" x14ac:dyDescent="0.25">
      <c r="A15" s="8">
        <v>9</v>
      </c>
      <c r="B15" s="9" t="s">
        <v>33</v>
      </c>
      <c r="C15" s="10" t="s">
        <v>532</v>
      </c>
      <c r="D15" s="13" t="s">
        <v>131</v>
      </c>
      <c r="E15" s="208">
        <v>105000</v>
      </c>
      <c r="F15" s="11"/>
    </row>
    <row r="16" spans="1:6" ht="20.100000000000001" customHeight="1" x14ac:dyDescent="0.25">
      <c r="A16" s="8">
        <v>10</v>
      </c>
      <c r="B16" s="16" t="s">
        <v>550</v>
      </c>
      <c r="C16" s="10" t="s">
        <v>551</v>
      </c>
      <c r="D16" s="8" t="s">
        <v>549</v>
      </c>
      <c r="E16" s="208">
        <v>105000</v>
      </c>
      <c r="F16" s="11"/>
    </row>
    <row r="17" spans="1:6" ht="20.100000000000001" customHeight="1" x14ac:dyDescent="0.25">
      <c r="A17" s="8">
        <v>11</v>
      </c>
      <c r="B17" s="17" t="s">
        <v>1353</v>
      </c>
      <c r="C17" s="2" t="s">
        <v>1354</v>
      </c>
      <c r="D17" s="14" t="s">
        <v>176</v>
      </c>
      <c r="E17" s="208">
        <v>75000</v>
      </c>
      <c r="F17" s="11"/>
    </row>
    <row r="18" spans="1:6" ht="19.5" customHeight="1" x14ac:dyDescent="0.25">
      <c r="A18" s="8">
        <v>12</v>
      </c>
      <c r="B18" s="12" t="s">
        <v>1264</v>
      </c>
      <c r="C18" s="2" t="s">
        <v>40</v>
      </c>
      <c r="D18" s="8" t="s">
        <v>176</v>
      </c>
      <c r="E18" s="208">
        <v>75000</v>
      </c>
      <c r="F18" s="11"/>
    </row>
    <row r="19" spans="1:6" ht="19.5" customHeight="1" x14ac:dyDescent="0.25">
      <c r="A19" s="8">
        <v>13</v>
      </c>
      <c r="B19" s="12" t="s">
        <v>1355</v>
      </c>
      <c r="C19" s="2" t="s">
        <v>1356</v>
      </c>
      <c r="D19" s="8" t="s">
        <v>176</v>
      </c>
      <c r="E19" s="208">
        <v>75000</v>
      </c>
      <c r="F19" s="11"/>
    </row>
    <row r="20" spans="1:6" ht="20.100000000000001" customHeight="1" x14ac:dyDescent="0.25">
      <c r="A20" s="8">
        <v>14</v>
      </c>
      <c r="B20" s="9" t="s">
        <v>39</v>
      </c>
      <c r="C20" s="2" t="s">
        <v>40</v>
      </c>
      <c r="D20" s="13" t="s">
        <v>176</v>
      </c>
      <c r="E20" s="208">
        <v>75000</v>
      </c>
      <c r="F20" s="11"/>
    </row>
    <row r="21" spans="1:6" ht="20.100000000000001" customHeight="1" x14ac:dyDescent="0.25">
      <c r="A21" s="8">
        <v>15</v>
      </c>
      <c r="B21" s="9" t="s">
        <v>50</v>
      </c>
      <c r="C21" s="10" t="s">
        <v>51</v>
      </c>
      <c r="D21" s="13" t="s">
        <v>1199</v>
      </c>
      <c r="E21" s="208">
        <v>75000</v>
      </c>
      <c r="F21" s="11"/>
    </row>
    <row r="22" spans="1:6" ht="20.100000000000001" customHeight="1" x14ac:dyDescent="0.25">
      <c r="A22" s="8">
        <v>16</v>
      </c>
      <c r="B22" s="16" t="s">
        <v>53</v>
      </c>
      <c r="C22" s="2" t="s">
        <v>54</v>
      </c>
      <c r="D22" s="13" t="s">
        <v>58</v>
      </c>
      <c r="E22" s="208">
        <v>75000</v>
      </c>
      <c r="F22" s="11"/>
    </row>
    <row r="23" spans="1:6" ht="20.100000000000001" customHeight="1" x14ac:dyDescent="0.25">
      <c r="A23" s="8">
        <v>17</v>
      </c>
      <c r="B23" s="9" t="s">
        <v>177</v>
      </c>
      <c r="C23" s="10" t="s">
        <v>555</v>
      </c>
      <c r="D23" s="13" t="s">
        <v>162</v>
      </c>
      <c r="E23" s="208">
        <v>45000</v>
      </c>
      <c r="F23" s="11"/>
    </row>
    <row r="24" spans="1:6" ht="18.75" customHeight="1" x14ac:dyDescent="0.25">
      <c r="A24" s="8">
        <v>18</v>
      </c>
      <c r="B24" s="9" t="s">
        <v>63</v>
      </c>
      <c r="C24" s="10" t="s">
        <v>64</v>
      </c>
      <c r="D24" s="13" t="s">
        <v>68</v>
      </c>
      <c r="E24" s="208">
        <v>45000</v>
      </c>
      <c r="F24" s="11"/>
    </row>
    <row r="25" spans="1:6" ht="18.75" customHeight="1" x14ac:dyDescent="0.25">
      <c r="A25" s="8">
        <v>19</v>
      </c>
      <c r="B25" s="16" t="s">
        <v>1357</v>
      </c>
      <c r="C25" s="10" t="s">
        <v>101</v>
      </c>
      <c r="D25" s="13" t="s">
        <v>119</v>
      </c>
      <c r="E25" s="208">
        <v>45000</v>
      </c>
      <c r="F25" s="11"/>
    </row>
    <row r="26" spans="1:6" ht="18.75" customHeight="1" x14ac:dyDescent="0.25">
      <c r="A26" s="8">
        <v>20</v>
      </c>
      <c r="B26" s="2" t="s">
        <v>77</v>
      </c>
      <c r="C26" s="2" t="s">
        <v>78</v>
      </c>
      <c r="D26" s="8" t="s">
        <v>87</v>
      </c>
      <c r="E26" s="208">
        <v>45000</v>
      </c>
      <c r="F26" s="11"/>
    </row>
    <row r="27" spans="1:6" ht="18.75" customHeight="1" x14ac:dyDescent="0.25">
      <c r="A27" s="8">
        <v>21</v>
      </c>
      <c r="B27" s="16" t="s">
        <v>80</v>
      </c>
      <c r="C27" s="10" t="s">
        <v>78</v>
      </c>
      <c r="D27" s="13" t="s">
        <v>87</v>
      </c>
      <c r="E27" s="208">
        <v>45000</v>
      </c>
      <c r="F27" s="11"/>
    </row>
    <row r="28" spans="1:6" ht="18.75" customHeight="1" x14ac:dyDescent="0.25">
      <c r="A28" s="8">
        <v>22</v>
      </c>
      <c r="B28" s="9" t="s">
        <v>1265</v>
      </c>
      <c r="C28" s="10" t="s">
        <v>1266</v>
      </c>
      <c r="D28" s="13" t="s">
        <v>87</v>
      </c>
      <c r="E28" s="208">
        <v>45000</v>
      </c>
      <c r="F28" s="11"/>
    </row>
    <row r="29" spans="1:6" ht="18.75" customHeight="1" x14ac:dyDescent="0.25">
      <c r="A29" s="8">
        <v>23</v>
      </c>
      <c r="B29" s="16" t="s">
        <v>82</v>
      </c>
      <c r="C29" s="10" t="s">
        <v>1213</v>
      </c>
      <c r="D29" s="13" t="s">
        <v>206</v>
      </c>
      <c r="E29" s="208">
        <v>45000</v>
      </c>
      <c r="F29" s="11"/>
    </row>
    <row r="30" spans="1:6" ht="18.75" customHeight="1" x14ac:dyDescent="0.25">
      <c r="A30" s="8">
        <v>24</v>
      </c>
      <c r="B30" s="16" t="s">
        <v>85</v>
      </c>
      <c r="C30" s="2" t="s">
        <v>1267</v>
      </c>
      <c r="D30" s="8" t="s">
        <v>206</v>
      </c>
      <c r="E30" s="208">
        <v>45000</v>
      </c>
      <c r="F30" s="11"/>
    </row>
    <row r="31" spans="1:6" ht="18.75" customHeight="1" x14ac:dyDescent="0.25">
      <c r="A31" s="8">
        <v>25</v>
      </c>
      <c r="B31" s="16" t="s">
        <v>89</v>
      </c>
      <c r="C31" s="15" t="s">
        <v>90</v>
      </c>
      <c r="D31" s="13" t="s">
        <v>87</v>
      </c>
      <c r="E31" s="208">
        <v>45000</v>
      </c>
      <c r="F31" s="11"/>
    </row>
    <row r="32" spans="1:6" ht="18.75" customHeight="1" x14ac:dyDescent="0.25">
      <c r="A32" s="8">
        <v>26</v>
      </c>
      <c r="B32" s="16" t="s">
        <v>92</v>
      </c>
      <c r="C32" s="2" t="s">
        <v>93</v>
      </c>
      <c r="D32" s="8" t="s">
        <v>105</v>
      </c>
      <c r="E32" s="208">
        <v>45000</v>
      </c>
      <c r="F32" s="11"/>
    </row>
    <row r="33" spans="1:6" ht="18.75" customHeight="1" x14ac:dyDescent="0.25">
      <c r="A33" s="8">
        <v>27</v>
      </c>
      <c r="B33" s="16" t="s">
        <v>1191</v>
      </c>
      <c r="C33" s="10" t="s">
        <v>101</v>
      </c>
      <c r="D33" s="13" t="s">
        <v>105</v>
      </c>
      <c r="E33" s="208">
        <v>45000</v>
      </c>
      <c r="F33" s="11"/>
    </row>
    <row r="34" spans="1:6" ht="18.75" customHeight="1" x14ac:dyDescent="0.25">
      <c r="A34" s="8">
        <v>28</v>
      </c>
      <c r="B34" s="16" t="s">
        <v>1358</v>
      </c>
      <c r="C34" s="10" t="s">
        <v>101</v>
      </c>
      <c r="D34" s="13" t="s">
        <v>105</v>
      </c>
      <c r="E34" s="208">
        <v>45000</v>
      </c>
      <c r="F34" s="11"/>
    </row>
    <row r="35" spans="1:6" ht="18.75" customHeight="1" x14ac:dyDescent="0.25">
      <c r="A35" s="8">
        <v>29</v>
      </c>
      <c r="B35" s="16" t="s">
        <v>267</v>
      </c>
      <c r="C35" s="10" t="s">
        <v>262</v>
      </c>
      <c r="D35" s="13" t="s">
        <v>108</v>
      </c>
      <c r="E35" s="208">
        <v>45000</v>
      </c>
      <c r="F35" s="11"/>
    </row>
    <row r="36" spans="1:6" ht="26.25" customHeight="1" x14ac:dyDescent="0.25">
      <c r="A36" s="8"/>
      <c r="B36" s="18" t="s">
        <v>111</v>
      </c>
      <c r="C36" s="19">
        <v>29</v>
      </c>
      <c r="D36" s="13"/>
      <c r="E36" s="209">
        <f>SUM(E7:E35)</f>
        <v>2745000</v>
      </c>
      <c r="F36" s="11"/>
    </row>
    <row r="37" spans="1:6" ht="18.75" customHeight="1" x14ac:dyDescent="0.25">
      <c r="A37" s="8"/>
      <c r="B37" s="20"/>
      <c r="C37" s="2"/>
      <c r="D37" s="13"/>
      <c r="E37" s="210"/>
      <c r="F37" s="11"/>
    </row>
    <row r="38" spans="1:6" ht="18.75" customHeight="1" x14ac:dyDescent="0.25">
      <c r="A38" s="8"/>
      <c r="B38" s="18" t="s">
        <v>112</v>
      </c>
      <c r="C38" s="2"/>
      <c r="D38" s="13"/>
      <c r="E38" s="208"/>
      <c r="F38" s="11"/>
    </row>
    <row r="39" spans="1:6" ht="18.75" customHeight="1" x14ac:dyDescent="0.25">
      <c r="A39" s="8">
        <v>1</v>
      </c>
      <c r="B39" s="16" t="s">
        <v>113</v>
      </c>
      <c r="C39" s="2" t="s">
        <v>114</v>
      </c>
      <c r="D39" s="8" t="s">
        <v>115</v>
      </c>
      <c r="E39" s="208">
        <v>225000</v>
      </c>
      <c r="F39" s="11"/>
    </row>
    <row r="40" spans="1:6" ht="18.75" customHeight="1" x14ac:dyDescent="0.25">
      <c r="A40" s="8">
        <v>2</v>
      </c>
      <c r="B40" s="16" t="s">
        <v>116</v>
      </c>
      <c r="C40" s="2" t="s">
        <v>799</v>
      </c>
      <c r="D40" s="8" t="s">
        <v>108</v>
      </c>
      <c r="E40" s="208">
        <v>45000</v>
      </c>
      <c r="F40" s="11"/>
    </row>
    <row r="41" spans="1:6" ht="19.5" customHeight="1" x14ac:dyDescent="0.25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 x14ac:dyDescent="0.25">
      <c r="A42" s="8"/>
      <c r="B42" s="12"/>
      <c r="C42" s="2"/>
      <c r="D42" s="8"/>
      <c r="E42" s="208"/>
      <c r="F42" s="11"/>
    </row>
    <row r="43" spans="1:6" ht="20.100000000000001" customHeight="1" x14ac:dyDescent="0.25">
      <c r="A43" s="8"/>
      <c r="B43" s="21" t="s">
        <v>125</v>
      </c>
      <c r="C43" s="3"/>
      <c r="D43" s="22"/>
      <c r="E43" s="208"/>
      <c r="F43" s="11"/>
    </row>
    <row r="44" spans="1:6" ht="20.100000000000001" customHeight="1" x14ac:dyDescent="0.25">
      <c r="A44" s="8">
        <v>1</v>
      </c>
      <c r="B44" s="9" t="s">
        <v>536</v>
      </c>
      <c r="C44" s="2" t="s">
        <v>537</v>
      </c>
      <c r="D44" s="8" t="s">
        <v>115</v>
      </c>
      <c r="E44" s="208">
        <v>225000</v>
      </c>
      <c r="F44" s="11"/>
    </row>
    <row r="45" spans="1:6" ht="20.100000000000001" customHeight="1" x14ac:dyDescent="0.25">
      <c r="A45" s="8">
        <v>2</v>
      </c>
      <c r="B45" s="9" t="s">
        <v>538</v>
      </c>
      <c r="C45" s="2" t="s">
        <v>43</v>
      </c>
      <c r="D45" s="8" t="s">
        <v>131</v>
      </c>
      <c r="E45" s="208">
        <v>105000</v>
      </c>
      <c r="F45" s="11"/>
    </row>
    <row r="46" spans="1:6" ht="20.100000000000001" customHeight="1" x14ac:dyDescent="0.25">
      <c r="A46" s="8">
        <v>3</v>
      </c>
      <c r="B46" s="9" t="s">
        <v>126</v>
      </c>
      <c r="C46" s="2" t="s">
        <v>130</v>
      </c>
      <c r="D46" s="8" t="s">
        <v>131</v>
      </c>
      <c r="E46" s="208">
        <v>105000</v>
      </c>
      <c r="F46" s="11"/>
    </row>
    <row r="47" spans="1:6" ht="20.100000000000001" customHeight="1" x14ac:dyDescent="0.25">
      <c r="A47" s="8">
        <v>4</v>
      </c>
      <c r="B47" s="9" t="s">
        <v>129</v>
      </c>
      <c r="C47" s="2" t="s">
        <v>130</v>
      </c>
      <c r="D47" s="8" t="s">
        <v>131</v>
      </c>
      <c r="E47" s="208">
        <v>105000</v>
      </c>
      <c r="F47" s="11"/>
    </row>
    <row r="48" spans="1:6" ht="20.100000000000001" customHeight="1" x14ac:dyDescent="0.25">
      <c r="A48" s="8">
        <v>5</v>
      </c>
      <c r="B48" s="9" t="s">
        <v>132</v>
      </c>
      <c r="C48" s="2" t="s">
        <v>130</v>
      </c>
      <c r="D48" s="8" t="s">
        <v>38</v>
      </c>
      <c r="E48" s="208">
        <v>105000</v>
      </c>
      <c r="F48" s="11"/>
    </row>
    <row r="49" spans="1:6" ht="20.100000000000001" customHeight="1" x14ac:dyDescent="0.25">
      <c r="A49" s="8">
        <v>6</v>
      </c>
      <c r="B49" s="9" t="s">
        <v>133</v>
      </c>
      <c r="C49" s="2" t="s">
        <v>45</v>
      </c>
      <c r="D49" s="8" t="s">
        <v>176</v>
      </c>
      <c r="E49" s="208">
        <v>75000</v>
      </c>
      <c r="F49" s="11"/>
    </row>
    <row r="50" spans="1:6" ht="20.100000000000001" customHeight="1" x14ac:dyDescent="0.25">
      <c r="A50" s="8">
        <v>7</v>
      </c>
      <c r="B50" s="12" t="s">
        <v>134</v>
      </c>
      <c r="C50" s="2" t="s">
        <v>156</v>
      </c>
      <c r="D50" s="14" t="s">
        <v>176</v>
      </c>
      <c r="E50" s="208">
        <v>75000</v>
      </c>
      <c r="F50" s="11"/>
    </row>
    <row r="51" spans="1:6" ht="20.100000000000001" customHeight="1" x14ac:dyDescent="0.25">
      <c r="A51" s="8">
        <v>8</v>
      </c>
      <c r="B51" s="9" t="s">
        <v>1270</v>
      </c>
      <c r="C51" s="2" t="s">
        <v>156</v>
      </c>
      <c r="D51" s="8" t="s">
        <v>46</v>
      </c>
      <c r="E51" s="208">
        <v>75000</v>
      </c>
      <c r="F51" s="11"/>
    </row>
    <row r="52" spans="1:6" ht="20.100000000000001" customHeight="1" x14ac:dyDescent="0.25">
      <c r="A52" s="8">
        <v>9</v>
      </c>
      <c r="B52" s="9" t="s">
        <v>44</v>
      </c>
      <c r="C52" s="2" t="s">
        <v>552</v>
      </c>
      <c r="D52" s="8" t="s">
        <v>534</v>
      </c>
      <c r="E52" s="208">
        <v>75000</v>
      </c>
      <c r="F52" s="11"/>
    </row>
    <row r="53" spans="1:6" ht="20.100000000000001" customHeight="1" x14ac:dyDescent="0.25">
      <c r="A53" s="8">
        <v>10</v>
      </c>
      <c r="B53" s="9" t="s">
        <v>142</v>
      </c>
      <c r="C53" s="2" t="s">
        <v>139</v>
      </c>
      <c r="D53" s="8" t="s">
        <v>96</v>
      </c>
      <c r="E53" s="208">
        <v>45000</v>
      </c>
      <c r="F53" s="11"/>
    </row>
    <row r="54" spans="1:6" ht="20.100000000000001" customHeight="1" x14ac:dyDescent="0.25">
      <c r="A54" s="8">
        <v>11</v>
      </c>
      <c r="B54" s="9" t="s">
        <v>539</v>
      </c>
      <c r="C54" s="2" t="s">
        <v>139</v>
      </c>
      <c r="D54" s="8" t="s">
        <v>96</v>
      </c>
      <c r="E54" s="208">
        <v>45000</v>
      </c>
      <c r="F54" s="11"/>
    </row>
    <row r="55" spans="1:6" ht="20.100000000000001" customHeight="1" x14ac:dyDescent="0.25">
      <c r="A55" s="8">
        <v>12</v>
      </c>
      <c r="B55" s="9" t="s">
        <v>143</v>
      </c>
      <c r="C55" s="2" t="s">
        <v>139</v>
      </c>
      <c r="D55" s="8" t="s">
        <v>96</v>
      </c>
      <c r="E55" s="208">
        <v>45000</v>
      </c>
      <c r="F55" s="11"/>
    </row>
    <row r="56" spans="1:6" ht="25.5" customHeight="1" x14ac:dyDescent="0.55000000000000004">
      <c r="A56" s="8"/>
      <c r="B56" s="18" t="s">
        <v>111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 x14ac:dyDescent="0.25">
      <c r="A57" s="8"/>
      <c r="B57" s="20"/>
      <c r="C57" s="19"/>
      <c r="D57" s="19"/>
      <c r="E57" s="212"/>
      <c r="F57" s="11"/>
    </row>
    <row r="58" spans="1:6" ht="20.100000000000001" customHeight="1" x14ac:dyDescent="0.25">
      <c r="A58" s="8"/>
      <c r="B58" s="18" t="s">
        <v>145</v>
      </c>
      <c r="C58" s="19"/>
      <c r="D58" s="19"/>
      <c r="E58" s="212"/>
      <c r="F58" s="11"/>
    </row>
    <row r="59" spans="1:6" ht="20.100000000000001" customHeight="1" x14ac:dyDescent="0.25">
      <c r="A59" s="8">
        <v>1</v>
      </c>
      <c r="B59" s="9" t="s">
        <v>540</v>
      </c>
      <c r="C59" s="10" t="s">
        <v>147</v>
      </c>
      <c r="D59" s="13" t="s">
        <v>115</v>
      </c>
      <c r="E59" s="208">
        <v>225000</v>
      </c>
      <c r="F59" s="11"/>
    </row>
    <row r="60" spans="1:6" ht="20.100000000000001" customHeight="1" x14ac:dyDescent="0.25">
      <c r="A60" s="8">
        <v>2</v>
      </c>
      <c r="B60" s="9" t="s">
        <v>148</v>
      </c>
      <c r="C60" s="10" t="s">
        <v>149</v>
      </c>
      <c r="D60" s="13" t="s">
        <v>549</v>
      </c>
      <c r="E60" s="208">
        <v>105000</v>
      </c>
      <c r="F60" s="11"/>
    </row>
    <row r="61" spans="1:6" ht="20.100000000000001" customHeight="1" x14ac:dyDescent="0.55000000000000004">
      <c r="A61" s="8"/>
      <c r="B61" s="18" t="s">
        <v>111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 x14ac:dyDescent="0.25">
      <c r="A62" s="8"/>
      <c r="B62" s="18"/>
      <c r="C62" s="19"/>
      <c r="D62" s="19"/>
      <c r="E62" s="212"/>
      <c r="F62" s="11"/>
    </row>
    <row r="63" spans="1:6" ht="20.100000000000001" customHeight="1" x14ac:dyDescent="0.25">
      <c r="A63" s="8"/>
      <c r="B63" s="18" t="s">
        <v>151</v>
      </c>
      <c r="C63" s="19"/>
      <c r="D63" s="19"/>
      <c r="E63" s="212"/>
      <c r="F63" s="11"/>
    </row>
    <row r="64" spans="1:6" ht="20.100000000000001" customHeight="1" x14ac:dyDescent="0.25">
      <c r="A64" s="8">
        <v>1</v>
      </c>
      <c r="B64" s="9" t="s">
        <v>541</v>
      </c>
      <c r="C64" s="15" t="s">
        <v>542</v>
      </c>
      <c r="D64" s="8" t="s">
        <v>115</v>
      </c>
      <c r="E64" s="208">
        <v>225000</v>
      </c>
      <c r="F64" s="11"/>
    </row>
    <row r="65" spans="1:6" ht="20.100000000000001" customHeight="1" x14ac:dyDescent="0.25">
      <c r="A65" s="8">
        <v>2</v>
      </c>
      <c r="B65" s="16" t="s">
        <v>543</v>
      </c>
      <c r="C65" s="15" t="s">
        <v>544</v>
      </c>
      <c r="D65" s="13" t="s">
        <v>1200</v>
      </c>
      <c r="E65" s="208">
        <v>105000</v>
      </c>
      <c r="F65" s="11"/>
    </row>
    <row r="66" spans="1:6" ht="20.100000000000001" customHeight="1" x14ac:dyDescent="0.25">
      <c r="A66" s="8">
        <v>3</v>
      </c>
      <c r="B66" s="9" t="s">
        <v>155</v>
      </c>
      <c r="C66" s="2" t="s">
        <v>158</v>
      </c>
      <c r="D66" s="8" t="s">
        <v>534</v>
      </c>
      <c r="E66" s="208">
        <v>75000</v>
      </c>
      <c r="F66" s="11"/>
    </row>
    <row r="67" spans="1:6" ht="20.100000000000001" customHeight="1" x14ac:dyDescent="0.25">
      <c r="A67" s="8">
        <v>4</v>
      </c>
      <c r="B67" s="16" t="s">
        <v>545</v>
      </c>
      <c r="C67" s="15" t="s">
        <v>158</v>
      </c>
      <c r="D67" s="13" t="s">
        <v>1199</v>
      </c>
      <c r="E67" s="208">
        <v>75000</v>
      </c>
      <c r="F67" s="11"/>
    </row>
    <row r="68" spans="1:6" ht="20.100000000000001" customHeight="1" x14ac:dyDescent="0.25">
      <c r="A68" s="8">
        <v>5</v>
      </c>
      <c r="B68" s="12" t="s">
        <v>546</v>
      </c>
      <c r="C68" s="15" t="s">
        <v>156</v>
      </c>
      <c r="D68" s="13" t="s">
        <v>176</v>
      </c>
      <c r="E68" s="208">
        <v>75000</v>
      </c>
      <c r="F68" s="11"/>
    </row>
    <row r="69" spans="1:6" ht="20.100000000000001" customHeight="1" x14ac:dyDescent="0.25">
      <c r="A69" s="8">
        <v>6</v>
      </c>
      <c r="B69" s="12" t="s">
        <v>42</v>
      </c>
      <c r="C69" s="15" t="s">
        <v>156</v>
      </c>
      <c r="D69" s="13" t="s">
        <v>46</v>
      </c>
      <c r="E69" s="208">
        <v>75000</v>
      </c>
      <c r="F69" s="11"/>
    </row>
    <row r="70" spans="1:6" ht="20.100000000000001" customHeight="1" x14ac:dyDescent="0.25">
      <c r="A70" s="8">
        <v>7</v>
      </c>
      <c r="B70" s="9" t="s">
        <v>161</v>
      </c>
      <c r="C70" s="2" t="s">
        <v>139</v>
      </c>
      <c r="D70" s="8" t="s">
        <v>137</v>
      </c>
      <c r="E70" s="208">
        <v>45000</v>
      </c>
      <c r="F70" s="11"/>
    </row>
    <row r="71" spans="1:6" ht="20.100000000000001" customHeight="1" x14ac:dyDescent="0.25">
      <c r="A71" s="8">
        <v>8</v>
      </c>
      <c r="B71" s="9" t="s">
        <v>163</v>
      </c>
      <c r="C71" s="15" t="s">
        <v>70</v>
      </c>
      <c r="D71" s="13" t="s">
        <v>137</v>
      </c>
      <c r="E71" s="208">
        <v>45000</v>
      </c>
      <c r="F71" s="11"/>
    </row>
    <row r="72" spans="1:6" ht="20.100000000000001" customHeight="1" x14ac:dyDescent="0.25">
      <c r="A72" s="8">
        <v>9</v>
      </c>
      <c r="B72" s="9" t="s">
        <v>164</v>
      </c>
      <c r="C72" s="15" t="s">
        <v>70</v>
      </c>
      <c r="D72" s="13" t="s">
        <v>137</v>
      </c>
      <c r="E72" s="208">
        <v>45000</v>
      </c>
      <c r="F72" s="11"/>
    </row>
    <row r="73" spans="1:6" ht="20.100000000000001" customHeight="1" x14ac:dyDescent="0.25">
      <c r="A73" s="8">
        <v>10</v>
      </c>
      <c r="B73" s="9" t="s">
        <v>165</v>
      </c>
      <c r="C73" s="2" t="s">
        <v>166</v>
      </c>
      <c r="D73" s="8" t="s">
        <v>68</v>
      </c>
      <c r="E73" s="208">
        <v>45000</v>
      </c>
      <c r="F73" s="11"/>
    </row>
    <row r="74" spans="1:6" ht="20.100000000000001" customHeight="1" x14ac:dyDescent="0.25">
      <c r="A74" s="8">
        <v>11</v>
      </c>
      <c r="B74" s="9" t="s">
        <v>1359</v>
      </c>
      <c r="C74" s="15" t="s">
        <v>139</v>
      </c>
      <c r="D74" s="8" t="s">
        <v>76</v>
      </c>
      <c r="E74" s="208">
        <v>45000</v>
      </c>
      <c r="F74" s="11"/>
    </row>
    <row r="75" spans="1:6" ht="20.100000000000001" customHeight="1" x14ac:dyDescent="0.25">
      <c r="A75" s="8">
        <v>12</v>
      </c>
      <c r="B75" s="9" t="s">
        <v>81</v>
      </c>
      <c r="C75" s="15" t="s">
        <v>67</v>
      </c>
      <c r="D75" s="8" t="s">
        <v>87</v>
      </c>
      <c r="E75" s="208">
        <v>45000</v>
      </c>
      <c r="F75" s="11"/>
    </row>
    <row r="76" spans="1:6" ht="20.100000000000001" customHeight="1" x14ac:dyDescent="0.25">
      <c r="A76" s="8">
        <v>13</v>
      </c>
      <c r="B76" s="12" t="s">
        <v>66</v>
      </c>
      <c r="C76" s="15" t="s">
        <v>67</v>
      </c>
      <c r="D76" s="8" t="s">
        <v>105</v>
      </c>
      <c r="E76" s="208">
        <v>45000</v>
      </c>
      <c r="F76" s="11"/>
    </row>
    <row r="77" spans="1:6" ht="20.100000000000001" customHeight="1" x14ac:dyDescent="0.55000000000000004">
      <c r="A77" s="8"/>
      <c r="B77" s="18" t="s">
        <v>111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 x14ac:dyDescent="0.25">
      <c r="A78" s="8"/>
      <c r="B78" s="20"/>
      <c r="C78" s="19"/>
      <c r="D78" s="19"/>
      <c r="E78" s="212"/>
      <c r="F78" s="11"/>
    </row>
    <row r="79" spans="1:6" ht="20.100000000000001" customHeight="1" x14ac:dyDescent="0.25">
      <c r="A79" s="8"/>
      <c r="B79" s="18" t="s">
        <v>169</v>
      </c>
      <c r="C79" s="19"/>
      <c r="D79" s="19"/>
      <c r="E79" s="212"/>
      <c r="F79" s="11"/>
    </row>
    <row r="80" spans="1:6" ht="20.100000000000001" customHeight="1" x14ac:dyDescent="0.25">
      <c r="A80" s="8">
        <v>1</v>
      </c>
      <c r="B80" s="9" t="s">
        <v>170</v>
      </c>
      <c r="C80" s="2" t="s">
        <v>171</v>
      </c>
      <c r="D80" s="8" t="s">
        <v>115</v>
      </c>
      <c r="E80" s="208">
        <v>225000</v>
      </c>
      <c r="F80" s="11"/>
    </row>
    <row r="81" spans="1:6" ht="20.100000000000001" customHeight="1" x14ac:dyDescent="0.25">
      <c r="A81" s="8">
        <v>2</v>
      </c>
      <c r="B81" s="12" t="s">
        <v>547</v>
      </c>
      <c r="C81" s="2" t="s">
        <v>548</v>
      </c>
      <c r="D81" s="13" t="s">
        <v>1200</v>
      </c>
      <c r="E81" s="208">
        <v>105000</v>
      </c>
      <c r="F81" s="11"/>
    </row>
    <row r="82" spans="1:6" ht="20.100000000000001" customHeight="1" x14ac:dyDescent="0.25">
      <c r="A82" s="8">
        <v>3</v>
      </c>
      <c r="B82" s="12" t="s">
        <v>1360</v>
      </c>
      <c r="C82" s="2" t="s">
        <v>1361</v>
      </c>
      <c r="D82" s="13" t="s">
        <v>1200</v>
      </c>
      <c r="E82" s="208">
        <v>105000</v>
      </c>
      <c r="F82" s="11"/>
    </row>
    <row r="83" spans="1:6" ht="20.100000000000001" customHeight="1" x14ac:dyDescent="0.25">
      <c r="A83" s="8">
        <v>4</v>
      </c>
      <c r="B83" s="9" t="s">
        <v>174</v>
      </c>
      <c r="C83" s="2" t="s">
        <v>1214</v>
      </c>
      <c r="D83" s="13" t="s">
        <v>534</v>
      </c>
      <c r="E83" s="208">
        <v>75000</v>
      </c>
      <c r="F83" s="11"/>
    </row>
    <row r="84" spans="1:6" ht="20.100000000000001" customHeight="1" x14ac:dyDescent="0.25">
      <c r="A84" s="8">
        <v>5</v>
      </c>
      <c r="B84" s="9" t="s">
        <v>181</v>
      </c>
      <c r="C84" s="2" t="s">
        <v>184</v>
      </c>
      <c r="D84" s="8" t="s">
        <v>76</v>
      </c>
      <c r="E84" s="208">
        <v>45000</v>
      </c>
      <c r="F84" s="11"/>
    </row>
    <row r="85" spans="1:6" ht="20.100000000000001" customHeight="1" x14ac:dyDescent="0.55000000000000004">
      <c r="A85" s="8"/>
      <c r="B85" s="18" t="s">
        <v>111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 x14ac:dyDescent="0.25">
      <c r="A86" s="8"/>
      <c r="B86" s="18"/>
      <c r="C86" s="19"/>
      <c r="D86" s="19"/>
      <c r="E86" s="208"/>
      <c r="F86" s="11"/>
    </row>
    <row r="87" spans="1:6" ht="20.100000000000001" customHeight="1" x14ac:dyDescent="0.25">
      <c r="A87" s="8"/>
      <c r="B87" s="18" t="s">
        <v>187</v>
      </c>
      <c r="C87" s="23"/>
      <c r="D87" s="19"/>
      <c r="E87" s="208"/>
      <c r="F87" s="11"/>
    </row>
    <row r="88" spans="1:6" ht="20.100000000000001" customHeight="1" x14ac:dyDescent="0.25">
      <c r="A88" s="8">
        <v>1</v>
      </c>
      <c r="B88" s="9" t="s">
        <v>190</v>
      </c>
      <c r="C88" s="2" t="s">
        <v>130</v>
      </c>
      <c r="D88" s="8" t="s">
        <v>131</v>
      </c>
      <c r="E88" s="208">
        <v>105000</v>
      </c>
      <c r="F88" s="11"/>
    </row>
    <row r="89" spans="1:6" ht="20.100000000000001" customHeight="1" x14ac:dyDescent="0.25">
      <c r="A89" s="8">
        <v>2</v>
      </c>
      <c r="B89" s="9" t="s">
        <v>188</v>
      </c>
      <c r="C89" s="2" t="s">
        <v>130</v>
      </c>
      <c r="D89" s="8" t="s">
        <v>131</v>
      </c>
      <c r="E89" s="208">
        <v>105000</v>
      </c>
      <c r="F89" s="11"/>
    </row>
    <row r="90" spans="1:6" ht="20.100000000000001" customHeight="1" x14ac:dyDescent="0.25">
      <c r="A90" s="8">
        <v>3</v>
      </c>
      <c r="B90" s="12" t="s">
        <v>152</v>
      </c>
      <c r="C90" s="2" t="s">
        <v>156</v>
      </c>
      <c r="D90" s="8" t="s">
        <v>41</v>
      </c>
      <c r="E90" s="208">
        <v>75000</v>
      </c>
      <c r="F90" s="11"/>
    </row>
    <row r="91" spans="1:6" ht="20.100000000000001" customHeight="1" x14ac:dyDescent="0.25">
      <c r="A91" s="8">
        <v>4</v>
      </c>
      <c r="B91" s="9" t="s">
        <v>193</v>
      </c>
      <c r="C91" s="2" t="s">
        <v>45</v>
      </c>
      <c r="D91" s="8" t="s">
        <v>176</v>
      </c>
      <c r="E91" s="208">
        <v>75000</v>
      </c>
      <c r="F91" s="11"/>
    </row>
    <row r="92" spans="1:6" ht="21.6" customHeight="1" x14ac:dyDescent="0.25">
      <c r="A92" s="8">
        <v>5</v>
      </c>
      <c r="B92" s="9" t="s">
        <v>194</v>
      </c>
      <c r="C92" s="2" t="s">
        <v>552</v>
      </c>
      <c r="D92" s="13" t="s">
        <v>534</v>
      </c>
      <c r="E92" s="208">
        <v>75000</v>
      </c>
      <c r="F92" s="11"/>
    </row>
    <row r="93" spans="1:6" ht="21.6" customHeight="1" x14ac:dyDescent="0.25">
      <c r="A93" s="8">
        <v>6</v>
      </c>
      <c r="B93" s="9" t="s">
        <v>195</v>
      </c>
      <c r="C93" s="10" t="s">
        <v>158</v>
      </c>
      <c r="D93" s="13" t="s">
        <v>1199</v>
      </c>
      <c r="E93" s="208">
        <v>75000</v>
      </c>
      <c r="F93" s="11"/>
    </row>
    <row r="94" spans="1:6" ht="21.6" customHeight="1" x14ac:dyDescent="0.25">
      <c r="A94" s="8">
        <v>7</v>
      </c>
      <c r="B94" s="9" t="s">
        <v>196</v>
      </c>
      <c r="C94" s="10" t="s">
        <v>158</v>
      </c>
      <c r="D94" s="13" t="s">
        <v>1199</v>
      </c>
      <c r="E94" s="208">
        <v>75000</v>
      </c>
      <c r="F94" s="11"/>
    </row>
    <row r="95" spans="1:6" ht="21.6" customHeight="1" x14ac:dyDescent="0.25">
      <c r="A95" s="8">
        <v>8</v>
      </c>
      <c r="B95" s="9" t="s">
        <v>198</v>
      </c>
      <c r="C95" s="15" t="s">
        <v>70</v>
      </c>
      <c r="D95" s="13" t="s">
        <v>137</v>
      </c>
      <c r="E95" s="208">
        <v>45000</v>
      </c>
      <c r="F95" s="11"/>
    </row>
    <row r="96" spans="1:6" ht="21.6" customHeight="1" x14ac:dyDescent="0.25">
      <c r="A96" s="8">
        <v>9</v>
      </c>
      <c r="B96" s="9" t="s">
        <v>202</v>
      </c>
      <c r="C96" s="2" t="s">
        <v>203</v>
      </c>
      <c r="D96" s="8" t="s">
        <v>73</v>
      </c>
      <c r="E96" s="208">
        <v>45000</v>
      </c>
      <c r="F96" s="11"/>
    </row>
    <row r="97" spans="1:6" ht="21.6" customHeight="1" x14ac:dyDescent="0.25">
      <c r="A97" s="8">
        <v>10</v>
      </c>
      <c r="B97" s="9" t="s">
        <v>204</v>
      </c>
      <c r="C97" s="15" t="s">
        <v>205</v>
      </c>
      <c r="D97" s="13" t="s">
        <v>105</v>
      </c>
      <c r="E97" s="208">
        <v>45000</v>
      </c>
      <c r="F97" s="11"/>
    </row>
    <row r="98" spans="1:6" ht="20.100000000000001" customHeight="1" x14ac:dyDescent="0.55000000000000004">
      <c r="A98" s="8"/>
      <c r="B98" s="18" t="s">
        <v>111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 x14ac:dyDescent="0.25">
      <c r="A99" s="8"/>
      <c r="B99" s="20"/>
      <c r="C99" s="19"/>
      <c r="D99" s="19"/>
      <c r="E99" s="212"/>
      <c r="F99" s="11"/>
    </row>
    <row r="100" spans="1:6" ht="20.100000000000001" customHeight="1" x14ac:dyDescent="0.25">
      <c r="A100" s="8"/>
      <c r="B100" s="18" t="s">
        <v>207</v>
      </c>
      <c r="C100" s="19"/>
      <c r="D100" s="19"/>
      <c r="E100" s="212"/>
      <c r="F100" s="11"/>
    </row>
    <row r="101" spans="1:6" ht="20.100000000000001" customHeight="1" x14ac:dyDescent="0.25">
      <c r="A101" s="8">
        <v>1</v>
      </c>
      <c r="B101" s="16" t="s">
        <v>530</v>
      </c>
      <c r="C101" s="8" t="s">
        <v>531</v>
      </c>
      <c r="D101" s="13" t="s">
        <v>35</v>
      </c>
      <c r="E101" s="208">
        <v>150000</v>
      </c>
      <c r="F101" s="11"/>
    </row>
    <row r="102" spans="1:6" ht="20.100000000000001" customHeight="1" x14ac:dyDescent="0.25">
      <c r="A102" s="8">
        <v>2</v>
      </c>
      <c r="B102" s="9" t="s">
        <v>36</v>
      </c>
      <c r="C102" s="2" t="s">
        <v>212</v>
      </c>
      <c r="D102" s="8" t="s">
        <v>176</v>
      </c>
      <c r="E102" s="208">
        <v>75000</v>
      </c>
      <c r="F102" s="11"/>
    </row>
    <row r="103" spans="1:6" ht="20.100000000000001" customHeight="1" x14ac:dyDescent="0.25">
      <c r="A103" s="8">
        <v>3</v>
      </c>
      <c r="B103" s="9" t="s">
        <v>217</v>
      </c>
      <c r="C103" s="2" t="s">
        <v>218</v>
      </c>
      <c r="D103" s="13" t="s">
        <v>68</v>
      </c>
      <c r="E103" s="208">
        <v>45000</v>
      </c>
      <c r="F103" s="11"/>
    </row>
    <row r="104" spans="1:6" ht="20.100000000000001" customHeight="1" x14ac:dyDescent="0.25">
      <c r="A104" s="8">
        <v>4</v>
      </c>
      <c r="B104" s="9" t="s">
        <v>1362</v>
      </c>
      <c r="C104" s="2" t="s">
        <v>1363</v>
      </c>
      <c r="D104" s="13" t="s">
        <v>206</v>
      </c>
      <c r="E104" s="208">
        <v>45000</v>
      </c>
      <c r="F104" s="11"/>
    </row>
    <row r="105" spans="1:6" ht="20.100000000000001" customHeight="1" x14ac:dyDescent="0.55000000000000004">
      <c r="A105" s="2"/>
      <c r="B105" s="18" t="s">
        <v>111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 x14ac:dyDescent="0.25">
      <c r="A106" s="2"/>
      <c r="B106" s="20"/>
      <c r="C106" s="19"/>
      <c r="D106" s="24"/>
      <c r="E106" s="212"/>
      <c r="F106" s="11"/>
    </row>
    <row r="107" spans="1:6" ht="20.100000000000001" customHeight="1" x14ac:dyDescent="0.25">
      <c r="A107" s="2"/>
      <c r="B107" s="18" t="s">
        <v>221</v>
      </c>
      <c r="C107" s="2"/>
      <c r="D107" s="2"/>
      <c r="E107" s="213"/>
      <c r="F107" s="11"/>
    </row>
    <row r="108" spans="1:6" ht="20.100000000000001" customHeight="1" x14ac:dyDescent="0.25">
      <c r="A108" s="2">
        <v>1</v>
      </c>
      <c r="B108" s="9" t="s">
        <v>222</v>
      </c>
      <c r="C108" s="10" t="s">
        <v>223</v>
      </c>
      <c r="D108" s="13" t="s">
        <v>115</v>
      </c>
      <c r="E108" s="208">
        <v>225000</v>
      </c>
      <c r="F108" s="11"/>
    </row>
    <row r="109" spans="1:6" ht="20.100000000000001" customHeight="1" x14ac:dyDescent="0.25">
      <c r="A109" s="2">
        <v>2</v>
      </c>
      <c r="B109" s="9" t="s">
        <v>224</v>
      </c>
      <c r="C109" s="2" t="s">
        <v>225</v>
      </c>
      <c r="D109" s="14" t="s">
        <v>35</v>
      </c>
      <c r="E109" s="208">
        <v>150000</v>
      </c>
      <c r="F109" s="11"/>
    </row>
    <row r="110" spans="1:6" ht="20.100000000000001" customHeight="1" x14ac:dyDescent="0.25">
      <c r="A110" s="2">
        <v>3</v>
      </c>
      <c r="B110" s="9" t="s">
        <v>226</v>
      </c>
      <c r="C110" s="2" t="s">
        <v>227</v>
      </c>
      <c r="D110" s="8" t="s">
        <v>52</v>
      </c>
      <c r="E110" s="208">
        <v>75000</v>
      </c>
      <c r="F110" s="11"/>
    </row>
    <row r="111" spans="1:6" ht="20.100000000000001" customHeight="1" x14ac:dyDescent="0.25">
      <c r="A111" s="2">
        <v>4</v>
      </c>
      <c r="B111" s="9" t="s">
        <v>228</v>
      </c>
      <c r="C111" s="2" t="s">
        <v>227</v>
      </c>
      <c r="D111" s="8" t="s">
        <v>52</v>
      </c>
      <c r="E111" s="208">
        <v>75000</v>
      </c>
      <c r="F111" s="11"/>
    </row>
    <row r="112" spans="1:6" ht="20.100000000000001" customHeight="1" x14ac:dyDescent="0.25">
      <c r="A112" s="2">
        <v>5</v>
      </c>
      <c r="B112" s="9" t="s">
        <v>230</v>
      </c>
      <c r="C112" s="2" t="s">
        <v>231</v>
      </c>
      <c r="D112" s="13" t="s">
        <v>554</v>
      </c>
      <c r="E112" s="208">
        <v>45000</v>
      </c>
      <c r="F112" s="11"/>
    </row>
    <row r="113" spans="1:6" ht="20.100000000000001" customHeight="1" x14ac:dyDescent="0.25">
      <c r="A113" s="2">
        <v>6</v>
      </c>
      <c r="B113" s="16" t="s">
        <v>233</v>
      </c>
      <c r="C113" s="2" t="s">
        <v>231</v>
      </c>
      <c r="D113" s="8" t="s">
        <v>206</v>
      </c>
      <c r="E113" s="208">
        <v>45000</v>
      </c>
      <c r="F113" s="11"/>
    </row>
    <row r="114" spans="1:6" ht="20.100000000000001" customHeight="1" x14ac:dyDescent="0.25">
      <c r="A114" s="2">
        <v>7</v>
      </c>
      <c r="B114" s="16" t="s">
        <v>234</v>
      </c>
      <c r="C114" s="2" t="s">
        <v>231</v>
      </c>
      <c r="D114" s="13" t="s">
        <v>105</v>
      </c>
      <c r="E114" s="208">
        <v>45000</v>
      </c>
      <c r="F114" s="11"/>
    </row>
    <row r="115" spans="1:6" ht="20.100000000000001" customHeight="1" x14ac:dyDescent="0.55000000000000004">
      <c r="A115" s="2"/>
      <c r="B115" s="18" t="s">
        <v>111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 x14ac:dyDescent="0.55000000000000004">
      <c r="A116" s="2"/>
      <c r="B116" s="18"/>
      <c r="C116" s="19"/>
      <c r="D116" s="2"/>
      <c r="E116" s="214"/>
      <c r="F116" s="11"/>
    </row>
    <row r="117" spans="1:6" ht="48.75" customHeight="1" x14ac:dyDescent="0.55000000000000004">
      <c r="A117" s="8"/>
      <c r="B117" s="18" t="s">
        <v>1367</v>
      </c>
      <c r="C117" s="19"/>
      <c r="D117" s="19"/>
      <c r="E117" s="214"/>
      <c r="F117" s="11"/>
    </row>
    <row r="118" spans="1:6" ht="27" customHeight="1" x14ac:dyDescent="0.25">
      <c r="A118" s="8">
        <v>1</v>
      </c>
      <c r="B118" s="9" t="s">
        <v>1278</v>
      </c>
      <c r="C118" s="15" t="s">
        <v>70</v>
      </c>
      <c r="D118" s="13" t="s">
        <v>162</v>
      </c>
      <c r="E118" s="208">
        <v>45000</v>
      </c>
      <c r="F118" s="11"/>
    </row>
    <row r="119" spans="1:6" ht="27" customHeight="1" x14ac:dyDescent="0.25">
      <c r="A119" s="8">
        <v>2</v>
      </c>
      <c r="B119" s="9" t="s">
        <v>236</v>
      </c>
      <c r="C119" s="2" t="s">
        <v>237</v>
      </c>
      <c r="D119" s="13" t="s">
        <v>68</v>
      </c>
      <c r="E119" s="208">
        <v>45000</v>
      </c>
      <c r="F119" s="11"/>
    </row>
    <row r="120" spans="1:6" ht="27" customHeight="1" x14ac:dyDescent="0.55000000000000004">
      <c r="A120" s="2"/>
      <c r="B120" s="18" t="s">
        <v>111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 x14ac:dyDescent="0.25">
      <c r="A121" s="2"/>
      <c r="B121" s="20"/>
      <c r="C121" s="8"/>
      <c r="D121" s="2"/>
      <c r="E121" s="215"/>
      <c r="F121" s="11"/>
    </row>
    <row r="122" spans="1:6" ht="20.100000000000001" customHeight="1" x14ac:dyDescent="0.25">
      <c r="A122" s="2"/>
      <c r="B122" s="18" t="s">
        <v>250</v>
      </c>
      <c r="C122" s="19"/>
      <c r="D122" s="19"/>
      <c r="E122" s="208"/>
      <c r="F122" s="11"/>
    </row>
    <row r="123" spans="1:6" ht="20.100000000000001" customHeight="1" x14ac:dyDescent="0.25">
      <c r="A123" s="2">
        <v>1</v>
      </c>
      <c r="B123" s="9" t="s">
        <v>251</v>
      </c>
      <c r="C123" s="10" t="s">
        <v>252</v>
      </c>
      <c r="D123" s="13" t="s">
        <v>115</v>
      </c>
      <c r="E123" s="208">
        <v>225000</v>
      </c>
      <c r="F123" s="11"/>
    </row>
    <row r="124" spans="1:6" ht="20.100000000000001" customHeight="1" x14ac:dyDescent="0.25">
      <c r="A124" s="2">
        <v>2</v>
      </c>
      <c r="B124" s="9" t="s">
        <v>253</v>
      </c>
      <c r="C124" s="10" t="s">
        <v>256</v>
      </c>
      <c r="D124" s="13" t="s">
        <v>131</v>
      </c>
      <c r="E124" s="208">
        <v>105000</v>
      </c>
      <c r="F124" s="11"/>
    </row>
    <row r="125" spans="1:6" ht="20.100000000000001" customHeight="1" x14ac:dyDescent="0.25">
      <c r="A125" s="2">
        <v>3</v>
      </c>
      <c r="B125" s="12" t="s">
        <v>255</v>
      </c>
      <c r="C125" s="10" t="s">
        <v>256</v>
      </c>
      <c r="D125" s="13" t="s">
        <v>131</v>
      </c>
      <c r="E125" s="208">
        <v>105000</v>
      </c>
      <c r="F125" s="11"/>
    </row>
    <row r="126" spans="1:6" ht="20.100000000000001" customHeight="1" x14ac:dyDescent="0.25">
      <c r="A126" s="2">
        <v>4</v>
      </c>
      <c r="B126" s="12" t="s">
        <v>556</v>
      </c>
      <c r="C126" s="10" t="s">
        <v>256</v>
      </c>
      <c r="D126" s="13" t="s">
        <v>49</v>
      </c>
      <c r="E126" s="208">
        <v>105000</v>
      </c>
      <c r="F126" s="11"/>
    </row>
    <row r="127" spans="1:6" ht="20.100000000000001" customHeight="1" x14ac:dyDescent="0.25">
      <c r="A127" s="2">
        <v>5</v>
      </c>
      <c r="B127" s="9" t="s">
        <v>257</v>
      </c>
      <c r="C127" s="10" t="s">
        <v>258</v>
      </c>
      <c r="D127" s="13" t="s">
        <v>46</v>
      </c>
      <c r="E127" s="208">
        <v>75000</v>
      </c>
      <c r="F127" s="11"/>
    </row>
    <row r="128" spans="1:6" ht="20.100000000000001" customHeight="1" x14ac:dyDescent="0.25">
      <c r="A128" s="2">
        <v>6</v>
      </c>
      <c r="B128" s="9" t="s">
        <v>259</v>
      </c>
      <c r="C128" s="10" t="s">
        <v>489</v>
      </c>
      <c r="D128" s="13" t="s">
        <v>534</v>
      </c>
      <c r="E128" s="208">
        <v>75000</v>
      </c>
      <c r="F128" s="11"/>
    </row>
    <row r="129" spans="1:6" ht="20.100000000000001" customHeight="1" x14ac:dyDescent="0.25">
      <c r="A129" s="2">
        <v>7</v>
      </c>
      <c r="B129" s="9" t="s">
        <v>260</v>
      </c>
      <c r="C129" s="10" t="s">
        <v>1216</v>
      </c>
      <c r="D129" s="13" t="s">
        <v>534</v>
      </c>
      <c r="E129" s="208">
        <v>75000</v>
      </c>
      <c r="F129" s="11"/>
    </row>
    <row r="130" spans="1:6" ht="20.100000000000001" customHeight="1" x14ac:dyDescent="0.25">
      <c r="A130" s="2">
        <v>8</v>
      </c>
      <c r="B130" s="9" t="s">
        <v>263</v>
      </c>
      <c r="C130" s="10" t="s">
        <v>264</v>
      </c>
      <c r="D130" s="8" t="s">
        <v>87</v>
      </c>
      <c r="E130" s="208">
        <v>45000</v>
      </c>
      <c r="F130" s="11"/>
    </row>
    <row r="131" spans="1:6" ht="20.100000000000001" customHeight="1" x14ac:dyDescent="0.25">
      <c r="A131" s="2">
        <v>9</v>
      </c>
      <c r="B131" s="16" t="s">
        <v>265</v>
      </c>
      <c r="C131" s="10" t="s">
        <v>266</v>
      </c>
      <c r="D131" s="13" t="s">
        <v>105</v>
      </c>
      <c r="E131" s="208">
        <v>45000</v>
      </c>
      <c r="F131" s="11"/>
    </row>
    <row r="132" spans="1:6" ht="20.100000000000001" customHeight="1" x14ac:dyDescent="0.55000000000000004">
      <c r="A132" s="2"/>
      <c r="B132" s="18" t="s">
        <v>111</v>
      </c>
      <c r="C132" s="24" t="s">
        <v>1364</v>
      </c>
      <c r="D132" s="13"/>
      <c r="E132" s="216">
        <f>SUM(E123:E131)</f>
        <v>855000</v>
      </c>
      <c r="F132" s="11"/>
    </row>
    <row r="133" spans="1:6" ht="20.100000000000001" customHeight="1" x14ac:dyDescent="0.25">
      <c r="A133" s="2"/>
      <c r="B133" s="20"/>
      <c r="C133" s="24"/>
      <c r="D133" s="13"/>
      <c r="E133" s="212"/>
      <c r="F133" s="11"/>
    </row>
    <row r="134" spans="1:6" ht="20.100000000000001" customHeight="1" x14ac:dyDescent="0.25">
      <c r="A134" s="2"/>
      <c r="B134" s="18" t="s">
        <v>270</v>
      </c>
      <c r="C134" s="10"/>
      <c r="D134" s="13"/>
      <c r="E134" s="208"/>
      <c r="F134" s="11"/>
    </row>
    <row r="135" spans="1:6" ht="20.100000000000001" customHeight="1" x14ac:dyDescent="0.25">
      <c r="A135" s="25">
        <v>1</v>
      </c>
      <c r="B135" s="9" t="s">
        <v>557</v>
      </c>
      <c r="C135" s="10" t="s">
        <v>558</v>
      </c>
      <c r="D135" s="13" t="s">
        <v>115</v>
      </c>
      <c r="E135" s="208">
        <v>225000</v>
      </c>
      <c r="F135" s="11"/>
    </row>
    <row r="136" spans="1:6" ht="20.100000000000001" customHeight="1" x14ac:dyDescent="0.25">
      <c r="A136" s="25">
        <v>2</v>
      </c>
      <c r="B136" s="9" t="s">
        <v>559</v>
      </c>
      <c r="C136" s="10" t="s">
        <v>560</v>
      </c>
      <c r="D136" s="13" t="s">
        <v>154</v>
      </c>
      <c r="E136" s="208">
        <v>150000</v>
      </c>
      <c r="F136" s="11"/>
    </row>
    <row r="137" spans="1:6" ht="20.100000000000001" customHeight="1" x14ac:dyDescent="0.25">
      <c r="A137" s="25">
        <v>3</v>
      </c>
      <c r="B137" s="12" t="s">
        <v>274</v>
      </c>
      <c r="C137" s="2" t="s">
        <v>275</v>
      </c>
      <c r="D137" s="14" t="s">
        <v>35</v>
      </c>
      <c r="E137" s="208">
        <v>150000</v>
      </c>
      <c r="F137" s="11"/>
    </row>
    <row r="138" spans="1:6" ht="20.100000000000001" customHeight="1" x14ac:dyDescent="0.25">
      <c r="A138" s="25">
        <v>4</v>
      </c>
      <c r="B138" s="9" t="s">
        <v>276</v>
      </c>
      <c r="C138" s="10" t="s">
        <v>561</v>
      </c>
      <c r="D138" s="13" t="s">
        <v>176</v>
      </c>
      <c r="E138" s="208">
        <v>75000</v>
      </c>
      <c r="F138" s="11"/>
    </row>
    <row r="139" spans="1:6" ht="20.100000000000001" customHeight="1" x14ac:dyDescent="0.25">
      <c r="A139" s="25">
        <v>5</v>
      </c>
      <c r="B139" s="9" t="s">
        <v>278</v>
      </c>
      <c r="C139" s="2" t="s">
        <v>562</v>
      </c>
      <c r="D139" s="13" t="s">
        <v>176</v>
      </c>
      <c r="E139" s="208">
        <v>75000</v>
      </c>
      <c r="F139" s="11"/>
    </row>
    <row r="140" spans="1:6" ht="20.100000000000001" customHeight="1" x14ac:dyDescent="0.25">
      <c r="A140" s="25">
        <v>6</v>
      </c>
      <c r="B140" s="9" t="s">
        <v>211</v>
      </c>
      <c r="C140" s="2" t="s">
        <v>564</v>
      </c>
      <c r="D140" s="13" t="s">
        <v>534</v>
      </c>
      <c r="E140" s="208">
        <v>75000</v>
      </c>
      <c r="F140" s="11"/>
    </row>
    <row r="141" spans="1:6" ht="20.100000000000001" customHeight="1" x14ac:dyDescent="0.25">
      <c r="A141" s="25">
        <v>7</v>
      </c>
      <c r="B141" s="9" t="s">
        <v>213</v>
      </c>
      <c r="C141" s="10" t="s">
        <v>563</v>
      </c>
      <c r="D141" s="13" t="s">
        <v>162</v>
      </c>
      <c r="E141" s="208">
        <v>45000</v>
      </c>
      <c r="F141" s="11"/>
    </row>
    <row r="142" spans="1:6" ht="20.100000000000001" customHeight="1" x14ac:dyDescent="0.25">
      <c r="A142" s="25">
        <v>8</v>
      </c>
      <c r="B142" s="9" t="s">
        <v>281</v>
      </c>
      <c r="C142" s="10" t="s">
        <v>563</v>
      </c>
      <c r="D142" s="13" t="s">
        <v>162</v>
      </c>
      <c r="E142" s="208">
        <v>45000</v>
      </c>
      <c r="F142" s="11"/>
    </row>
    <row r="143" spans="1:6" ht="20.100000000000001" customHeight="1" x14ac:dyDescent="0.25">
      <c r="A143" s="25">
        <v>9</v>
      </c>
      <c r="B143" s="9" t="s">
        <v>282</v>
      </c>
      <c r="C143" s="2" t="s">
        <v>564</v>
      </c>
      <c r="D143" s="13" t="s">
        <v>162</v>
      </c>
      <c r="E143" s="208">
        <v>45000</v>
      </c>
      <c r="F143" s="11"/>
    </row>
    <row r="144" spans="1:6" ht="20.100000000000001" customHeight="1" x14ac:dyDescent="0.25">
      <c r="A144" s="25">
        <v>10</v>
      </c>
      <c r="B144" s="9" t="s">
        <v>284</v>
      </c>
      <c r="C144" s="10" t="s">
        <v>565</v>
      </c>
      <c r="D144" s="13" t="s">
        <v>68</v>
      </c>
      <c r="E144" s="208">
        <v>45000</v>
      </c>
      <c r="F144" s="11"/>
    </row>
    <row r="145" spans="1:6" ht="20.100000000000001" customHeight="1" x14ac:dyDescent="0.25">
      <c r="A145" s="25">
        <v>11</v>
      </c>
      <c r="B145" s="9" t="s">
        <v>286</v>
      </c>
      <c r="C145" s="10" t="s">
        <v>1218</v>
      </c>
      <c r="D145" s="13" t="s">
        <v>300</v>
      </c>
      <c r="E145" s="208">
        <v>45000</v>
      </c>
      <c r="F145" s="11"/>
    </row>
    <row r="146" spans="1:6" ht="20.100000000000001" customHeight="1" x14ac:dyDescent="0.25">
      <c r="A146" s="25">
        <v>12</v>
      </c>
      <c r="B146" s="9" t="s">
        <v>60</v>
      </c>
      <c r="C146" s="10" t="s">
        <v>565</v>
      </c>
      <c r="D146" s="13" t="s">
        <v>162</v>
      </c>
      <c r="E146" s="208">
        <v>45000</v>
      </c>
      <c r="F146" s="11"/>
    </row>
    <row r="147" spans="1:6" ht="20.100000000000001" customHeight="1" x14ac:dyDescent="0.25">
      <c r="A147" s="25">
        <v>13</v>
      </c>
      <c r="B147" s="16" t="s">
        <v>288</v>
      </c>
      <c r="C147" s="2" t="s">
        <v>297</v>
      </c>
      <c r="D147" s="13" t="s">
        <v>300</v>
      </c>
      <c r="E147" s="208">
        <v>45000</v>
      </c>
      <c r="F147" s="11"/>
    </row>
    <row r="148" spans="1:6" ht="20.100000000000001" customHeight="1" x14ac:dyDescent="0.25">
      <c r="A148" s="25">
        <v>14</v>
      </c>
      <c r="B148" s="9" t="s">
        <v>290</v>
      </c>
      <c r="C148" s="2" t="s">
        <v>566</v>
      </c>
      <c r="D148" s="13" t="s">
        <v>76</v>
      </c>
      <c r="E148" s="208">
        <v>45000</v>
      </c>
      <c r="F148" s="11"/>
    </row>
    <row r="149" spans="1:6" ht="20.100000000000001" customHeight="1" x14ac:dyDescent="0.25">
      <c r="A149" s="25">
        <v>15</v>
      </c>
      <c r="B149" s="9" t="s">
        <v>291</v>
      </c>
      <c r="C149" s="2" t="s">
        <v>566</v>
      </c>
      <c r="D149" s="13" t="s">
        <v>119</v>
      </c>
      <c r="E149" s="208">
        <v>45000</v>
      </c>
      <c r="F149" s="11"/>
    </row>
    <row r="150" spans="1:6" ht="20.100000000000001" customHeight="1" x14ac:dyDescent="0.25">
      <c r="A150" s="25">
        <v>16</v>
      </c>
      <c r="B150" s="9" t="s">
        <v>293</v>
      </c>
      <c r="C150" s="2" t="s">
        <v>566</v>
      </c>
      <c r="D150" s="13" t="s">
        <v>119</v>
      </c>
      <c r="E150" s="208">
        <v>45000</v>
      </c>
      <c r="F150" s="11"/>
    </row>
    <row r="151" spans="1:6" ht="20.100000000000001" customHeight="1" x14ac:dyDescent="0.25">
      <c r="A151" s="25">
        <v>17</v>
      </c>
      <c r="B151" s="9" t="s">
        <v>294</v>
      </c>
      <c r="C151" s="10" t="s">
        <v>295</v>
      </c>
      <c r="D151" s="13" t="s">
        <v>73</v>
      </c>
      <c r="E151" s="208">
        <v>45000</v>
      </c>
      <c r="F151" s="11"/>
    </row>
    <row r="152" spans="1:6" ht="20.100000000000001" customHeight="1" x14ac:dyDescent="0.25">
      <c r="A152" s="25">
        <v>18</v>
      </c>
      <c r="B152" s="9" t="s">
        <v>1201</v>
      </c>
      <c r="C152" s="10" t="s">
        <v>297</v>
      </c>
      <c r="D152" s="8" t="s">
        <v>96</v>
      </c>
      <c r="E152" s="208">
        <v>45000</v>
      </c>
      <c r="F152" s="11"/>
    </row>
    <row r="153" spans="1:6" ht="20.100000000000001" customHeight="1" x14ac:dyDescent="0.25">
      <c r="A153" s="25">
        <v>19</v>
      </c>
      <c r="B153" s="9" t="s">
        <v>298</v>
      </c>
      <c r="C153" s="10" t="s">
        <v>299</v>
      </c>
      <c r="D153" s="13" t="s">
        <v>76</v>
      </c>
      <c r="E153" s="208">
        <v>45000</v>
      </c>
      <c r="F153" s="11"/>
    </row>
    <row r="154" spans="1:6" ht="20.100000000000001" customHeight="1" x14ac:dyDescent="0.25">
      <c r="A154" s="25">
        <v>20</v>
      </c>
      <c r="B154" s="9" t="s">
        <v>301</v>
      </c>
      <c r="C154" s="10" t="s">
        <v>302</v>
      </c>
      <c r="D154" s="13" t="s">
        <v>87</v>
      </c>
      <c r="E154" s="208">
        <v>45000</v>
      </c>
      <c r="F154" s="11"/>
    </row>
    <row r="155" spans="1:6" ht="20.100000000000001" customHeight="1" x14ac:dyDescent="0.25">
      <c r="A155" s="25">
        <v>21</v>
      </c>
      <c r="B155" s="9" t="s">
        <v>303</v>
      </c>
      <c r="C155" s="10" t="s">
        <v>304</v>
      </c>
      <c r="D155" s="13" t="s">
        <v>76</v>
      </c>
      <c r="E155" s="208">
        <v>45000</v>
      </c>
      <c r="F155" s="11"/>
    </row>
    <row r="156" spans="1:6" ht="20.100000000000001" customHeight="1" x14ac:dyDescent="0.25">
      <c r="A156" s="25">
        <v>22</v>
      </c>
      <c r="B156" s="9" t="s">
        <v>305</v>
      </c>
      <c r="C156" s="10" t="s">
        <v>306</v>
      </c>
      <c r="D156" s="13" t="s">
        <v>87</v>
      </c>
      <c r="E156" s="208">
        <v>45000</v>
      </c>
      <c r="F156" s="11"/>
    </row>
    <row r="157" spans="1:6" ht="20.100000000000001" customHeight="1" x14ac:dyDescent="0.25">
      <c r="A157" s="25">
        <v>23</v>
      </c>
      <c r="B157" s="16" t="s">
        <v>307</v>
      </c>
      <c r="C157" s="10" t="s">
        <v>315</v>
      </c>
      <c r="D157" s="13" t="s">
        <v>206</v>
      </c>
      <c r="E157" s="208">
        <v>45000</v>
      </c>
      <c r="F157" s="11"/>
    </row>
    <row r="158" spans="1:6" ht="20.100000000000001" customHeight="1" x14ac:dyDescent="0.25">
      <c r="A158" s="25">
        <v>24</v>
      </c>
      <c r="B158" s="16" t="s">
        <v>312</v>
      </c>
      <c r="C158" s="10" t="s">
        <v>313</v>
      </c>
      <c r="D158" s="13" t="s">
        <v>108</v>
      </c>
      <c r="E158" s="208">
        <v>45000</v>
      </c>
      <c r="F158" s="11"/>
    </row>
    <row r="159" spans="1:6" ht="20.100000000000001" customHeight="1" x14ac:dyDescent="0.25">
      <c r="A159" s="25">
        <v>25</v>
      </c>
      <c r="B159" s="16" t="s">
        <v>314</v>
      </c>
      <c r="C159" s="10" t="s">
        <v>315</v>
      </c>
      <c r="D159" s="13" t="s">
        <v>108</v>
      </c>
      <c r="E159" s="208">
        <v>45000</v>
      </c>
      <c r="F159" s="11"/>
    </row>
    <row r="160" spans="1:6" ht="20.100000000000001" customHeight="1" x14ac:dyDescent="0.25">
      <c r="A160" s="25">
        <v>26</v>
      </c>
      <c r="B160" s="16" t="s">
        <v>316</v>
      </c>
      <c r="C160" s="10" t="s">
        <v>317</v>
      </c>
      <c r="D160" s="13" t="s">
        <v>105</v>
      </c>
      <c r="E160" s="208">
        <v>45000</v>
      </c>
      <c r="F160" s="11"/>
    </row>
    <row r="161" spans="1:6" ht="20.100000000000001" customHeight="1" x14ac:dyDescent="0.25">
      <c r="A161" s="25">
        <v>27</v>
      </c>
      <c r="B161" s="16" t="s">
        <v>318</v>
      </c>
      <c r="C161" s="10" t="s">
        <v>319</v>
      </c>
      <c r="D161" s="13" t="s">
        <v>105</v>
      </c>
      <c r="E161" s="208">
        <v>45000</v>
      </c>
      <c r="F161" s="11"/>
    </row>
    <row r="162" spans="1:6" ht="20.100000000000001" customHeight="1" x14ac:dyDescent="0.25">
      <c r="A162" s="25">
        <v>28</v>
      </c>
      <c r="B162" s="9" t="s">
        <v>329</v>
      </c>
      <c r="C162" s="10" t="s">
        <v>330</v>
      </c>
      <c r="D162" s="13" t="s">
        <v>348</v>
      </c>
      <c r="E162" s="208">
        <v>30000</v>
      </c>
      <c r="F162" s="11"/>
    </row>
    <row r="163" spans="1:6" ht="20.100000000000001" customHeight="1" x14ac:dyDescent="0.25">
      <c r="A163" s="25">
        <v>29</v>
      </c>
      <c r="B163" s="9" t="s">
        <v>332</v>
      </c>
      <c r="C163" s="10" t="s">
        <v>330</v>
      </c>
      <c r="D163" s="13" t="s">
        <v>348</v>
      </c>
      <c r="E163" s="208">
        <v>30000</v>
      </c>
      <c r="F163" s="11"/>
    </row>
    <row r="164" spans="1:6" ht="20.100000000000001" customHeight="1" x14ac:dyDescent="0.25">
      <c r="A164" s="25">
        <v>30</v>
      </c>
      <c r="B164" s="9" t="s">
        <v>333</v>
      </c>
      <c r="C164" s="10" t="s">
        <v>330</v>
      </c>
      <c r="D164" s="13" t="s">
        <v>348</v>
      </c>
      <c r="E164" s="208">
        <v>30000</v>
      </c>
      <c r="F164" s="11"/>
    </row>
    <row r="165" spans="1:6" ht="20.100000000000001" customHeight="1" x14ac:dyDescent="0.25">
      <c r="A165" s="25">
        <v>32</v>
      </c>
      <c r="B165" s="9" t="s">
        <v>334</v>
      </c>
      <c r="C165" s="10" t="s">
        <v>330</v>
      </c>
      <c r="D165" s="13" t="s">
        <v>348</v>
      </c>
      <c r="E165" s="208">
        <v>30000</v>
      </c>
      <c r="F165" s="11"/>
    </row>
    <row r="166" spans="1:6" ht="20.100000000000001" customHeight="1" x14ac:dyDescent="0.25">
      <c r="A166" s="25">
        <v>33</v>
      </c>
      <c r="B166" s="9" t="s">
        <v>335</v>
      </c>
      <c r="C166" s="10" t="s">
        <v>330</v>
      </c>
      <c r="D166" s="13" t="s">
        <v>348</v>
      </c>
      <c r="E166" s="208">
        <v>30000</v>
      </c>
      <c r="F166" s="11"/>
    </row>
    <row r="167" spans="1:6" ht="20.100000000000001" customHeight="1" x14ac:dyDescent="0.25">
      <c r="A167" s="25">
        <v>34</v>
      </c>
      <c r="B167" s="9" t="s">
        <v>336</v>
      </c>
      <c r="C167" s="10" t="s">
        <v>330</v>
      </c>
      <c r="D167" s="13" t="s">
        <v>345</v>
      </c>
      <c r="E167" s="208">
        <v>30000</v>
      </c>
      <c r="F167" s="11"/>
    </row>
    <row r="168" spans="1:6" ht="20.100000000000001" customHeight="1" x14ac:dyDescent="0.25">
      <c r="A168" s="25">
        <v>35</v>
      </c>
      <c r="B168" s="9" t="s">
        <v>338</v>
      </c>
      <c r="C168" s="10" t="s">
        <v>330</v>
      </c>
      <c r="D168" s="13" t="s">
        <v>345</v>
      </c>
      <c r="E168" s="208">
        <v>30000</v>
      </c>
      <c r="F168" s="11"/>
    </row>
    <row r="169" spans="1:6" ht="20.100000000000001" customHeight="1" x14ac:dyDescent="0.25">
      <c r="A169" s="25">
        <v>36</v>
      </c>
      <c r="B169" s="12" t="s">
        <v>339</v>
      </c>
      <c r="C169" s="10" t="s">
        <v>330</v>
      </c>
      <c r="D169" s="13" t="s">
        <v>345</v>
      </c>
      <c r="E169" s="208">
        <v>30000</v>
      </c>
      <c r="F169" s="11"/>
    </row>
    <row r="170" spans="1:6" ht="20.100000000000001" customHeight="1" x14ac:dyDescent="0.25">
      <c r="A170" s="25">
        <v>37</v>
      </c>
      <c r="B170" s="9" t="s">
        <v>340</v>
      </c>
      <c r="C170" s="10" t="s">
        <v>330</v>
      </c>
      <c r="D170" s="13" t="s">
        <v>345</v>
      </c>
      <c r="E170" s="208">
        <v>30000</v>
      </c>
      <c r="F170" s="11"/>
    </row>
    <row r="171" spans="1:6" ht="20.100000000000001" customHeight="1" x14ac:dyDescent="0.25">
      <c r="A171" s="25">
        <v>38</v>
      </c>
      <c r="B171" s="16" t="s">
        <v>341</v>
      </c>
      <c r="C171" s="10" t="s">
        <v>330</v>
      </c>
      <c r="D171" s="13" t="s">
        <v>345</v>
      </c>
      <c r="E171" s="208">
        <v>30000</v>
      </c>
      <c r="F171" s="11"/>
    </row>
    <row r="172" spans="1:6" ht="20.100000000000001" customHeight="1" x14ac:dyDescent="0.25">
      <c r="A172" s="25">
        <v>39</v>
      </c>
      <c r="B172" s="16" t="s">
        <v>342</v>
      </c>
      <c r="C172" s="10" t="s">
        <v>330</v>
      </c>
      <c r="D172" s="13" t="s">
        <v>345</v>
      </c>
      <c r="E172" s="208">
        <v>30000</v>
      </c>
      <c r="F172" s="11"/>
    </row>
    <row r="173" spans="1:6" ht="20.100000000000001" customHeight="1" x14ac:dyDescent="0.25">
      <c r="A173" s="25">
        <v>40</v>
      </c>
      <c r="B173" s="9" t="s">
        <v>343</v>
      </c>
      <c r="C173" s="10" t="s">
        <v>350</v>
      </c>
      <c r="D173" s="13" t="s">
        <v>354</v>
      </c>
      <c r="E173" s="208">
        <v>30000</v>
      </c>
      <c r="F173" s="11"/>
    </row>
    <row r="174" spans="1:6" ht="20.100000000000001" customHeight="1" x14ac:dyDescent="0.25">
      <c r="A174" s="25">
        <v>41</v>
      </c>
      <c r="B174" s="9" t="s">
        <v>346</v>
      </c>
      <c r="C174" s="10" t="s">
        <v>350</v>
      </c>
      <c r="D174" s="13" t="s">
        <v>354</v>
      </c>
      <c r="E174" s="208">
        <v>30000</v>
      </c>
      <c r="F174" s="11"/>
    </row>
    <row r="175" spans="1:6" ht="20.100000000000001" customHeight="1" x14ac:dyDescent="0.25">
      <c r="A175" s="25">
        <v>42</v>
      </c>
      <c r="B175" s="16" t="s">
        <v>347</v>
      </c>
      <c r="C175" s="10" t="s">
        <v>350</v>
      </c>
      <c r="D175" s="13" t="s">
        <v>1197</v>
      </c>
      <c r="E175" s="208">
        <v>30000</v>
      </c>
      <c r="F175" s="11"/>
    </row>
    <row r="176" spans="1:6" ht="20.100000000000001" customHeight="1" x14ac:dyDescent="0.25">
      <c r="A176" s="25">
        <v>43</v>
      </c>
      <c r="B176" s="9" t="s">
        <v>349</v>
      </c>
      <c r="C176" s="10" t="s">
        <v>350</v>
      </c>
      <c r="D176" s="13" t="s">
        <v>1202</v>
      </c>
      <c r="E176" s="208">
        <v>30000</v>
      </c>
      <c r="F176" s="11"/>
    </row>
    <row r="177" spans="1:6" ht="20.100000000000001" customHeight="1" x14ac:dyDescent="0.25">
      <c r="A177" s="25">
        <v>44</v>
      </c>
      <c r="B177" s="9" t="s">
        <v>352</v>
      </c>
      <c r="C177" s="10" t="s">
        <v>353</v>
      </c>
      <c r="D177" s="13" t="s">
        <v>1203</v>
      </c>
      <c r="E177" s="208">
        <v>30000</v>
      </c>
      <c r="F177" s="11"/>
    </row>
    <row r="178" spans="1:6" ht="20.100000000000001" customHeight="1" x14ac:dyDescent="0.25">
      <c r="A178" s="25">
        <v>45</v>
      </c>
      <c r="B178" s="9" t="s">
        <v>355</v>
      </c>
      <c r="C178" s="10" t="s">
        <v>353</v>
      </c>
      <c r="D178" s="13" t="s">
        <v>1203</v>
      </c>
      <c r="E178" s="208">
        <v>30000</v>
      </c>
      <c r="F178" s="11"/>
    </row>
    <row r="179" spans="1:6" ht="20.100000000000001" customHeight="1" x14ac:dyDescent="0.25">
      <c r="A179" s="25">
        <v>46</v>
      </c>
      <c r="B179" s="9" t="s">
        <v>356</v>
      </c>
      <c r="C179" s="10" t="s">
        <v>353</v>
      </c>
      <c r="D179" s="13" t="s">
        <v>1203</v>
      </c>
      <c r="E179" s="208">
        <v>30000</v>
      </c>
      <c r="F179" s="11"/>
    </row>
    <row r="180" spans="1:6" ht="20.100000000000001" customHeight="1" x14ac:dyDescent="0.25">
      <c r="A180" s="25">
        <v>47</v>
      </c>
      <c r="B180" s="9" t="s">
        <v>357</v>
      </c>
      <c r="C180" s="10" t="s">
        <v>353</v>
      </c>
      <c r="D180" s="13" t="s">
        <v>1203</v>
      </c>
      <c r="E180" s="208">
        <v>30000</v>
      </c>
      <c r="F180" s="11"/>
    </row>
    <row r="181" spans="1:6" ht="20.100000000000001" customHeight="1" x14ac:dyDescent="0.25">
      <c r="A181" s="25">
        <v>48</v>
      </c>
      <c r="B181" s="9" t="s">
        <v>358</v>
      </c>
      <c r="C181" s="10" t="s">
        <v>353</v>
      </c>
      <c r="D181" s="13" t="s">
        <v>1203</v>
      </c>
      <c r="E181" s="208">
        <v>30000</v>
      </c>
      <c r="F181" s="11"/>
    </row>
    <row r="182" spans="1:6" ht="20.100000000000001" customHeight="1" x14ac:dyDescent="0.25">
      <c r="A182" s="25">
        <v>49</v>
      </c>
      <c r="B182" s="16" t="s">
        <v>359</v>
      </c>
      <c r="C182" s="10" t="s">
        <v>353</v>
      </c>
      <c r="D182" s="13" t="s">
        <v>1203</v>
      </c>
      <c r="E182" s="208">
        <v>30000</v>
      </c>
      <c r="F182" s="11"/>
    </row>
    <row r="183" spans="1:6" ht="20.100000000000001" customHeight="1" x14ac:dyDescent="0.25">
      <c r="A183" s="25">
        <v>50</v>
      </c>
      <c r="B183" s="16" t="s">
        <v>360</v>
      </c>
      <c r="C183" s="10" t="s">
        <v>353</v>
      </c>
      <c r="D183" s="13" t="s">
        <v>1203</v>
      </c>
      <c r="E183" s="208">
        <v>30000</v>
      </c>
      <c r="F183" s="11"/>
    </row>
    <row r="184" spans="1:6" ht="20.100000000000001" customHeight="1" x14ac:dyDescent="0.25">
      <c r="A184" s="25">
        <v>51</v>
      </c>
      <c r="B184" s="9" t="s">
        <v>493</v>
      </c>
      <c r="C184" s="10" t="s">
        <v>350</v>
      </c>
      <c r="D184" s="13" t="s">
        <v>1203</v>
      </c>
      <c r="E184" s="208">
        <v>30000</v>
      </c>
      <c r="F184" s="11"/>
    </row>
    <row r="185" spans="1:6" ht="20.100000000000001" customHeight="1" x14ac:dyDescent="0.25">
      <c r="A185" s="25">
        <v>52</v>
      </c>
      <c r="B185" s="9" t="s">
        <v>361</v>
      </c>
      <c r="C185" s="10" t="s">
        <v>350</v>
      </c>
      <c r="D185" s="13" t="s">
        <v>1203</v>
      </c>
      <c r="E185" s="208">
        <v>30000</v>
      </c>
      <c r="F185" s="11"/>
    </row>
    <row r="186" spans="1:6" ht="20.100000000000001" customHeight="1" x14ac:dyDescent="0.25">
      <c r="A186" s="25">
        <v>53</v>
      </c>
      <c r="B186" s="16" t="s">
        <v>362</v>
      </c>
      <c r="C186" s="10" t="s">
        <v>353</v>
      </c>
      <c r="D186" s="13" t="s">
        <v>1219</v>
      </c>
      <c r="E186" s="208">
        <v>30000</v>
      </c>
      <c r="F186" s="11"/>
    </row>
    <row r="187" spans="1:6" ht="20.100000000000001" customHeight="1" x14ac:dyDescent="0.25">
      <c r="A187" s="25">
        <v>54</v>
      </c>
      <c r="B187" s="16" t="s">
        <v>367</v>
      </c>
      <c r="C187" s="10" t="s">
        <v>353</v>
      </c>
      <c r="D187" s="13" t="s">
        <v>371</v>
      </c>
      <c r="E187" s="208">
        <v>30000</v>
      </c>
      <c r="F187" s="11"/>
    </row>
    <row r="188" spans="1:6" ht="20.100000000000001" customHeight="1" x14ac:dyDescent="0.25">
      <c r="A188" s="25"/>
      <c r="B188" s="6" t="s">
        <v>111</v>
      </c>
      <c r="C188" s="26" t="s">
        <v>1368</v>
      </c>
      <c r="D188" s="27"/>
      <c r="E188" s="217">
        <f>SUM(E135:E187)</f>
        <v>2475000</v>
      </c>
      <c r="F188" s="11"/>
    </row>
    <row r="189" spans="1:6" ht="9" customHeight="1" x14ac:dyDescent="0.25">
      <c r="A189" s="25"/>
      <c r="B189" s="6"/>
      <c r="C189" s="26"/>
      <c r="D189" s="27"/>
      <c r="E189" s="217"/>
      <c r="F189" s="11"/>
    </row>
    <row r="190" spans="1:6" ht="30" customHeight="1" x14ac:dyDescent="0.25">
      <c r="A190" s="2"/>
      <c r="B190" s="218" t="s">
        <v>379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 x14ac:dyDescent="0.2">
      <c r="B191" s="31"/>
      <c r="D191" s="32"/>
      <c r="E191" s="88"/>
      <c r="F191" s="33"/>
    </row>
    <row r="192" spans="1:6" ht="65.25" customHeight="1" x14ac:dyDescent="0.2">
      <c r="B192" s="31"/>
      <c r="C192" s="32"/>
      <c r="D192" s="32"/>
      <c r="E192" s="89"/>
      <c r="F192" s="222">
        <f>'[17]Sallah Welfare June 2023 '!$D$73</f>
        <v>2842500</v>
      </c>
    </row>
    <row r="193" spans="6:6" ht="20.100000000000001" customHeight="1" x14ac:dyDescent="0.2">
      <c r="F193" s="222">
        <v>830000</v>
      </c>
    </row>
    <row r="194" spans="6:6" ht="20.100000000000001" customHeight="1" x14ac:dyDescent="0.2">
      <c r="F194" s="222">
        <f>E190</f>
        <v>11040000</v>
      </c>
    </row>
    <row r="195" spans="6:6" ht="20.100000000000001" customHeight="1" x14ac:dyDescent="0.2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94"/>
  <sheetViews>
    <sheetView view="pageBreakPreview" zoomScaleNormal="100" workbookViewId="0">
      <pane xSplit="3" ySplit="7" topLeftCell="D8" activePane="bottomRight" state="frozen"/>
      <selection pane="bottomLeft"/>
      <selection pane="topRight"/>
      <selection pane="bottomRight" activeCell="F169" sqref="F169"/>
    </sheetView>
  </sheetViews>
  <sheetFormatPr defaultColWidth="9.16796875" defaultRowHeight="20.100000000000001" customHeight="1" x14ac:dyDescent="0.2"/>
  <cols>
    <col min="1" max="1" width="5.390625" style="1" customWidth="1"/>
    <col min="2" max="2" width="44.5" style="1" customWidth="1"/>
    <col min="3" max="3" width="37.62109375" style="1" customWidth="1"/>
    <col min="4" max="4" width="12.40625" style="1" customWidth="1"/>
    <col min="5" max="5" width="21.57421875" style="1" customWidth="1"/>
    <col min="6" max="6" width="21.7109375" style="1" customWidth="1"/>
    <col min="7" max="10" width="9.16796875" style="1"/>
    <col min="11" max="11" width="8.359375" style="1" customWidth="1"/>
    <col min="12" max="16384" width="9.16796875" style="1"/>
  </cols>
  <sheetData>
    <row r="1" spans="1:6" ht="27" customHeight="1" x14ac:dyDescent="0.25">
      <c r="A1" s="202" t="s">
        <v>0</v>
      </c>
      <c r="B1" s="202"/>
      <c r="C1" s="202"/>
      <c r="D1" s="202"/>
      <c r="E1" s="202"/>
    </row>
    <row r="2" spans="1:6" ht="33.75" customHeight="1" x14ac:dyDescent="0.3">
      <c r="A2" s="202" t="s">
        <v>1349</v>
      </c>
      <c r="B2" s="62"/>
      <c r="C2" s="61"/>
      <c r="D2" s="61"/>
      <c r="E2" s="61"/>
    </row>
    <row r="3" spans="1:6" ht="9.75" customHeight="1" x14ac:dyDescent="0.2"/>
    <row r="4" spans="1:6" ht="49.5" customHeight="1" x14ac:dyDescent="0.25">
      <c r="A4" s="203"/>
      <c r="B4" s="204" t="s">
        <v>2</v>
      </c>
      <c r="C4" s="205" t="s">
        <v>3</v>
      </c>
      <c r="D4" s="206" t="s">
        <v>4</v>
      </c>
      <c r="E4" s="207" t="s">
        <v>638</v>
      </c>
    </row>
    <row r="5" spans="1:6" ht="17.25" customHeight="1" x14ac:dyDescent="0.2">
      <c r="C5" s="6"/>
      <c r="D5" s="6"/>
      <c r="E5" s="196" t="s">
        <v>20</v>
      </c>
    </row>
    <row r="6" spans="1:6" ht="20.100000000000001" customHeight="1" x14ac:dyDescent="0.2">
      <c r="A6" s="7" t="s">
        <v>21</v>
      </c>
      <c r="B6" s="6" t="s">
        <v>22</v>
      </c>
      <c r="C6" s="6"/>
      <c r="D6" s="6"/>
      <c r="E6" s="196"/>
    </row>
    <row r="7" spans="1:6" ht="20.100000000000001" customHeight="1" x14ac:dyDescent="0.25">
      <c r="A7" s="8">
        <v>1</v>
      </c>
      <c r="B7" s="9" t="s">
        <v>23</v>
      </c>
      <c r="C7" s="10" t="s">
        <v>24</v>
      </c>
      <c r="D7" s="10" t="s">
        <v>25</v>
      </c>
      <c r="E7" s="208">
        <v>540000</v>
      </c>
      <c r="F7" s="11"/>
    </row>
    <row r="8" spans="1:6" ht="20.100000000000001" customHeight="1" x14ac:dyDescent="0.25">
      <c r="A8" s="8">
        <v>2</v>
      </c>
      <c r="B8" s="9" t="s">
        <v>1261</v>
      </c>
      <c r="C8" s="2" t="s">
        <v>1350</v>
      </c>
      <c r="D8" s="8" t="s">
        <v>154</v>
      </c>
      <c r="E8" s="208">
        <v>180000</v>
      </c>
      <c r="F8" s="11"/>
    </row>
    <row r="9" spans="1:6" ht="20.100000000000001" customHeight="1" x14ac:dyDescent="0.25">
      <c r="A9" s="8">
        <v>3</v>
      </c>
      <c r="B9" s="9" t="s">
        <v>26</v>
      </c>
      <c r="C9" s="10" t="s">
        <v>27</v>
      </c>
      <c r="D9" s="8" t="s">
        <v>28</v>
      </c>
      <c r="E9" s="208">
        <v>180000</v>
      </c>
      <c r="F9" s="11"/>
    </row>
    <row r="10" spans="1:6" ht="20.100000000000001" customHeight="1" x14ac:dyDescent="0.25">
      <c r="A10" s="8">
        <v>4</v>
      </c>
      <c r="B10" s="12" t="s">
        <v>29</v>
      </c>
      <c r="C10" s="2" t="s">
        <v>30</v>
      </c>
      <c r="D10" s="13" t="s">
        <v>35</v>
      </c>
      <c r="E10" s="208">
        <v>180000</v>
      </c>
      <c r="F10" s="11"/>
    </row>
    <row r="11" spans="1:6" ht="20.100000000000001" customHeight="1" x14ac:dyDescent="0.25">
      <c r="A11" s="8">
        <v>5</v>
      </c>
      <c r="B11" s="12" t="s">
        <v>208</v>
      </c>
      <c r="C11" s="2" t="s">
        <v>1263</v>
      </c>
      <c r="D11" s="14" t="s">
        <v>35</v>
      </c>
      <c r="E11" s="208">
        <v>180000</v>
      </c>
      <c r="F11" s="11"/>
    </row>
    <row r="12" spans="1:6" ht="20.100000000000001" customHeight="1" x14ac:dyDescent="0.25">
      <c r="A12" s="8">
        <v>6</v>
      </c>
      <c r="B12" s="9" t="s">
        <v>31</v>
      </c>
      <c r="C12" s="15" t="s">
        <v>32</v>
      </c>
      <c r="D12" s="14" t="s">
        <v>35</v>
      </c>
      <c r="E12" s="208">
        <v>180000</v>
      </c>
      <c r="F12" s="11"/>
    </row>
    <row r="13" spans="1:6" ht="20.100000000000001" customHeight="1" x14ac:dyDescent="0.25">
      <c r="A13" s="8">
        <v>7</v>
      </c>
      <c r="B13" s="12" t="s">
        <v>271</v>
      </c>
      <c r="C13" s="2" t="s">
        <v>529</v>
      </c>
      <c r="D13" s="14" t="s">
        <v>35</v>
      </c>
      <c r="E13" s="208">
        <v>180000</v>
      </c>
      <c r="F13" s="11"/>
    </row>
    <row r="14" spans="1:6" ht="20.100000000000001" customHeight="1" x14ac:dyDescent="0.25">
      <c r="A14" s="8">
        <v>8</v>
      </c>
      <c r="B14" s="9" t="s">
        <v>33</v>
      </c>
      <c r="C14" s="10" t="s">
        <v>532</v>
      </c>
      <c r="D14" s="13" t="s">
        <v>131</v>
      </c>
      <c r="E14" s="208">
        <v>126000</v>
      </c>
      <c r="F14" s="11"/>
    </row>
    <row r="15" spans="1:6" ht="20.100000000000001" customHeight="1" x14ac:dyDescent="0.25">
      <c r="A15" s="8">
        <v>9</v>
      </c>
      <c r="B15" s="16" t="s">
        <v>550</v>
      </c>
      <c r="C15" s="10" t="s">
        <v>551</v>
      </c>
      <c r="D15" s="8" t="s">
        <v>549</v>
      </c>
      <c r="E15" s="208">
        <v>126000</v>
      </c>
      <c r="F15" s="11"/>
    </row>
    <row r="16" spans="1:6" ht="20.100000000000001" customHeight="1" x14ac:dyDescent="0.25">
      <c r="A16" s="8">
        <v>10</v>
      </c>
      <c r="B16" s="17" t="s">
        <v>1353</v>
      </c>
      <c r="C16" s="2" t="s">
        <v>1354</v>
      </c>
      <c r="D16" s="14" t="s">
        <v>176</v>
      </c>
      <c r="E16" s="208">
        <v>90000</v>
      </c>
      <c r="F16" s="11"/>
    </row>
    <row r="17" spans="1:6" ht="19.5" customHeight="1" x14ac:dyDescent="0.25">
      <c r="A17" s="8">
        <v>11</v>
      </c>
      <c r="B17" s="12" t="s">
        <v>1264</v>
      </c>
      <c r="C17" s="2" t="s">
        <v>40</v>
      </c>
      <c r="D17" s="8" t="s">
        <v>176</v>
      </c>
      <c r="E17" s="208">
        <v>90000</v>
      </c>
      <c r="F17" s="11"/>
    </row>
    <row r="18" spans="1:6" ht="19.5" customHeight="1" x14ac:dyDescent="0.25">
      <c r="A18" s="8">
        <v>12</v>
      </c>
      <c r="B18" s="12" t="s">
        <v>1355</v>
      </c>
      <c r="C18" s="2" t="s">
        <v>1356</v>
      </c>
      <c r="D18" s="8" t="s">
        <v>176</v>
      </c>
      <c r="E18" s="208">
        <v>90000</v>
      </c>
      <c r="F18" s="11"/>
    </row>
    <row r="19" spans="1:6" ht="20.100000000000001" customHeight="1" x14ac:dyDescent="0.25">
      <c r="A19" s="8">
        <v>13</v>
      </c>
      <c r="B19" s="9" t="s">
        <v>39</v>
      </c>
      <c r="C19" s="2" t="s">
        <v>40</v>
      </c>
      <c r="D19" s="13" t="s">
        <v>176</v>
      </c>
      <c r="E19" s="208">
        <v>90000</v>
      </c>
      <c r="F19" s="11"/>
    </row>
    <row r="20" spans="1:6" ht="20.100000000000001" customHeight="1" x14ac:dyDescent="0.25">
      <c r="A20" s="8">
        <v>14</v>
      </c>
      <c r="B20" s="9" t="s">
        <v>50</v>
      </c>
      <c r="C20" s="10" t="s">
        <v>51</v>
      </c>
      <c r="D20" s="13" t="s">
        <v>1199</v>
      </c>
      <c r="E20" s="208">
        <v>90000</v>
      </c>
      <c r="F20" s="11"/>
    </row>
    <row r="21" spans="1:6" ht="20.100000000000001" customHeight="1" x14ac:dyDescent="0.25">
      <c r="A21" s="8">
        <v>15</v>
      </c>
      <c r="B21" s="16" t="s">
        <v>53</v>
      </c>
      <c r="C21" s="2" t="s">
        <v>54</v>
      </c>
      <c r="D21" s="13" t="s">
        <v>58</v>
      </c>
      <c r="E21" s="208">
        <v>90000</v>
      </c>
      <c r="F21" s="11"/>
    </row>
    <row r="22" spans="1:6" ht="20.100000000000001" customHeight="1" x14ac:dyDescent="0.25">
      <c r="A22" s="8">
        <v>16</v>
      </c>
      <c r="B22" s="9" t="s">
        <v>177</v>
      </c>
      <c r="C22" s="10" t="s">
        <v>555</v>
      </c>
      <c r="D22" s="13" t="s">
        <v>162</v>
      </c>
      <c r="E22" s="208">
        <v>54000</v>
      </c>
      <c r="F22" s="11"/>
    </row>
    <row r="23" spans="1:6" ht="18.75" customHeight="1" x14ac:dyDescent="0.25">
      <c r="A23" s="8">
        <v>17</v>
      </c>
      <c r="B23" s="9" t="s">
        <v>63</v>
      </c>
      <c r="C23" s="10" t="s">
        <v>64</v>
      </c>
      <c r="D23" s="13" t="s">
        <v>68</v>
      </c>
      <c r="E23" s="208">
        <v>54000</v>
      </c>
      <c r="F23" s="11"/>
    </row>
    <row r="24" spans="1:6" ht="18.75" customHeight="1" x14ac:dyDescent="0.25">
      <c r="A24" s="8">
        <v>18</v>
      </c>
      <c r="B24" s="16" t="s">
        <v>1357</v>
      </c>
      <c r="C24" s="10" t="s">
        <v>101</v>
      </c>
      <c r="D24" s="13" t="s">
        <v>119</v>
      </c>
      <c r="E24" s="208">
        <v>54000</v>
      </c>
      <c r="F24" s="11"/>
    </row>
    <row r="25" spans="1:6" ht="18.75" customHeight="1" x14ac:dyDescent="0.25">
      <c r="A25" s="8">
        <v>19</v>
      </c>
      <c r="B25" s="2" t="s">
        <v>77</v>
      </c>
      <c r="C25" s="2" t="s">
        <v>78</v>
      </c>
      <c r="D25" s="8" t="s">
        <v>87</v>
      </c>
      <c r="E25" s="208">
        <v>54000</v>
      </c>
      <c r="F25" s="11"/>
    </row>
    <row r="26" spans="1:6" ht="18.75" customHeight="1" x14ac:dyDescent="0.25">
      <c r="A26" s="8">
        <v>20</v>
      </c>
      <c r="B26" s="16" t="s">
        <v>80</v>
      </c>
      <c r="C26" s="10" t="s">
        <v>78</v>
      </c>
      <c r="D26" s="13" t="s">
        <v>87</v>
      </c>
      <c r="E26" s="208">
        <v>54000</v>
      </c>
      <c r="F26" s="11"/>
    </row>
    <row r="27" spans="1:6" ht="18.75" customHeight="1" x14ac:dyDescent="0.25">
      <c r="A27" s="8">
        <v>21</v>
      </c>
      <c r="B27" s="9" t="s">
        <v>1265</v>
      </c>
      <c r="C27" s="10" t="s">
        <v>1266</v>
      </c>
      <c r="D27" s="13" t="s">
        <v>87</v>
      </c>
      <c r="E27" s="208">
        <v>54000</v>
      </c>
      <c r="F27" s="11"/>
    </row>
    <row r="28" spans="1:6" ht="18.75" customHeight="1" x14ac:dyDescent="0.25">
      <c r="A28" s="8">
        <v>22</v>
      </c>
      <c r="B28" s="16" t="s">
        <v>82</v>
      </c>
      <c r="C28" s="10" t="s">
        <v>1213</v>
      </c>
      <c r="D28" s="13" t="s">
        <v>206</v>
      </c>
      <c r="E28" s="208">
        <v>54000</v>
      </c>
      <c r="F28" s="11"/>
    </row>
    <row r="29" spans="1:6" ht="18.75" customHeight="1" x14ac:dyDescent="0.25">
      <c r="A29" s="8">
        <v>23</v>
      </c>
      <c r="B29" s="16" t="s">
        <v>85</v>
      </c>
      <c r="C29" s="2" t="s">
        <v>1267</v>
      </c>
      <c r="D29" s="8" t="s">
        <v>206</v>
      </c>
      <c r="E29" s="208">
        <v>54000</v>
      </c>
      <c r="F29" s="11"/>
    </row>
    <row r="30" spans="1:6" ht="18.75" customHeight="1" x14ac:dyDescent="0.25">
      <c r="A30" s="8">
        <v>24</v>
      </c>
      <c r="B30" s="16" t="s">
        <v>89</v>
      </c>
      <c r="C30" s="15" t="s">
        <v>90</v>
      </c>
      <c r="D30" s="13" t="s">
        <v>87</v>
      </c>
      <c r="E30" s="208">
        <v>54000</v>
      </c>
      <c r="F30" s="11"/>
    </row>
    <row r="31" spans="1:6" ht="18.75" customHeight="1" x14ac:dyDescent="0.25">
      <c r="A31" s="8">
        <v>25</v>
      </c>
      <c r="B31" s="16" t="s">
        <v>92</v>
      </c>
      <c r="C31" s="2" t="s">
        <v>93</v>
      </c>
      <c r="D31" s="8" t="s">
        <v>105</v>
      </c>
      <c r="E31" s="208">
        <v>54000</v>
      </c>
      <c r="F31" s="11"/>
    </row>
    <row r="32" spans="1:6" ht="18.75" customHeight="1" x14ac:dyDescent="0.25">
      <c r="A32" s="8">
        <v>26</v>
      </c>
      <c r="B32" s="16" t="s">
        <v>1191</v>
      </c>
      <c r="C32" s="10" t="s">
        <v>101</v>
      </c>
      <c r="D32" s="13" t="s">
        <v>105</v>
      </c>
      <c r="E32" s="208">
        <v>54000</v>
      </c>
      <c r="F32" s="11"/>
    </row>
    <row r="33" spans="1:6" ht="18.75" customHeight="1" x14ac:dyDescent="0.25">
      <c r="A33" s="8">
        <v>27</v>
      </c>
      <c r="B33" s="16" t="s">
        <v>1358</v>
      </c>
      <c r="C33" s="10" t="s">
        <v>101</v>
      </c>
      <c r="D33" s="13" t="s">
        <v>105</v>
      </c>
      <c r="E33" s="208">
        <v>54000</v>
      </c>
      <c r="F33" s="11"/>
    </row>
    <row r="34" spans="1:6" ht="18.75" customHeight="1" x14ac:dyDescent="0.25">
      <c r="A34" s="8">
        <v>28</v>
      </c>
      <c r="B34" s="16" t="s">
        <v>267</v>
      </c>
      <c r="C34" s="10" t="s">
        <v>262</v>
      </c>
      <c r="D34" s="13" t="s">
        <v>108</v>
      </c>
      <c r="E34" s="208">
        <v>54000</v>
      </c>
      <c r="F34" s="11"/>
    </row>
    <row r="35" spans="1:6" ht="26.25" customHeight="1" x14ac:dyDescent="0.25">
      <c r="A35" s="8"/>
      <c r="B35" s="18" t="s">
        <v>111</v>
      </c>
      <c r="C35" s="19">
        <v>28</v>
      </c>
      <c r="D35" s="13"/>
      <c r="E35" s="209">
        <f>SUM(E7:E34)</f>
        <v>3114000</v>
      </c>
      <c r="F35" s="11"/>
    </row>
    <row r="36" spans="1:6" ht="18.75" customHeight="1" x14ac:dyDescent="0.25">
      <c r="A36" s="8"/>
      <c r="B36" s="20"/>
      <c r="C36" s="2"/>
      <c r="D36" s="13"/>
      <c r="E36" s="210"/>
      <c r="F36" s="11"/>
    </row>
    <row r="37" spans="1:6" ht="18.75" customHeight="1" x14ac:dyDescent="0.25">
      <c r="A37" s="8"/>
      <c r="B37" s="18" t="s">
        <v>112</v>
      </c>
      <c r="C37" s="2"/>
      <c r="D37" s="13"/>
      <c r="E37" s="208"/>
      <c r="F37" s="11"/>
    </row>
    <row r="38" spans="1:6" ht="18.75" customHeight="1" x14ac:dyDescent="0.25">
      <c r="A38" s="8">
        <v>1</v>
      </c>
      <c r="B38" s="16" t="s">
        <v>113</v>
      </c>
      <c r="C38" s="2" t="s">
        <v>114</v>
      </c>
      <c r="D38" s="8" t="s">
        <v>115</v>
      </c>
      <c r="E38" s="208">
        <v>270000</v>
      </c>
      <c r="F38" s="11"/>
    </row>
    <row r="39" spans="1:6" ht="18.75" customHeight="1" x14ac:dyDescent="0.25">
      <c r="A39" s="8">
        <v>2</v>
      </c>
      <c r="B39" s="16" t="s">
        <v>116</v>
      </c>
      <c r="C39" s="2" t="s">
        <v>799</v>
      </c>
      <c r="D39" s="8" t="s">
        <v>108</v>
      </c>
      <c r="E39" s="208">
        <v>54000</v>
      </c>
      <c r="F39" s="11"/>
    </row>
    <row r="40" spans="1:6" ht="19.5" customHeight="1" x14ac:dyDescent="0.25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 x14ac:dyDescent="0.25">
      <c r="A41" s="8"/>
      <c r="B41" s="12"/>
      <c r="C41" s="2"/>
      <c r="D41" s="8"/>
      <c r="E41" s="208"/>
      <c r="F41" s="11"/>
    </row>
    <row r="42" spans="1:6" ht="20.100000000000001" customHeight="1" x14ac:dyDescent="0.25">
      <c r="A42" s="8"/>
      <c r="B42" s="21" t="s">
        <v>125</v>
      </c>
      <c r="C42" s="3"/>
      <c r="D42" s="22"/>
      <c r="E42" s="208"/>
      <c r="F42" s="11"/>
    </row>
    <row r="43" spans="1:6" ht="20.100000000000001" customHeight="1" x14ac:dyDescent="0.25">
      <c r="A43" s="8">
        <v>1</v>
      </c>
      <c r="B43" s="9" t="s">
        <v>536</v>
      </c>
      <c r="C43" s="2" t="s">
        <v>537</v>
      </c>
      <c r="D43" s="8" t="s">
        <v>115</v>
      </c>
      <c r="E43" s="208">
        <v>270000</v>
      </c>
      <c r="F43" s="11"/>
    </row>
    <row r="44" spans="1:6" ht="20.100000000000001" customHeight="1" x14ac:dyDescent="0.25">
      <c r="A44" s="8">
        <v>2</v>
      </c>
      <c r="B44" s="9" t="s">
        <v>538</v>
      </c>
      <c r="C44" s="2" t="s">
        <v>43</v>
      </c>
      <c r="D44" s="8" t="s">
        <v>131</v>
      </c>
      <c r="E44" s="208">
        <v>126000</v>
      </c>
      <c r="F44" s="11"/>
    </row>
    <row r="45" spans="1:6" ht="20.100000000000001" customHeight="1" x14ac:dyDescent="0.25">
      <c r="A45" s="8">
        <v>3</v>
      </c>
      <c r="B45" s="9" t="s">
        <v>126</v>
      </c>
      <c r="C45" s="2" t="s">
        <v>130</v>
      </c>
      <c r="D45" s="8" t="s">
        <v>131</v>
      </c>
      <c r="E45" s="208">
        <v>126000</v>
      </c>
      <c r="F45" s="11"/>
    </row>
    <row r="46" spans="1:6" ht="20.100000000000001" customHeight="1" x14ac:dyDescent="0.25">
      <c r="A46" s="8">
        <v>4</v>
      </c>
      <c r="B46" s="9" t="s">
        <v>129</v>
      </c>
      <c r="C46" s="2" t="s">
        <v>130</v>
      </c>
      <c r="D46" s="8" t="s">
        <v>131</v>
      </c>
      <c r="E46" s="208">
        <v>126000</v>
      </c>
      <c r="F46" s="11"/>
    </row>
    <row r="47" spans="1:6" ht="20.100000000000001" customHeight="1" x14ac:dyDescent="0.25">
      <c r="A47" s="8">
        <v>5</v>
      </c>
      <c r="B47" s="9" t="s">
        <v>132</v>
      </c>
      <c r="C47" s="2" t="s">
        <v>130</v>
      </c>
      <c r="D47" s="8" t="s">
        <v>38</v>
      </c>
      <c r="E47" s="208">
        <v>126000</v>
      </c>
      <c r="F47" s="11"/>
    </row>
    <row r="48" spans="1:6" ht="20.100000000000001" customHeight="1" x14ac:dyDescent="0.25">
      <c r="A48" s="8">
        <v>6</v>
      </c>
      <c r="B48" s="9" t="s">
        <v>133</v>
      </c>
      <c r="C48" s="2" t="s">
        <v>45</v>
      </c>
      <c r="D48" s="8" t="s">
        <v>176</v>
      </c>
      <c r="E48" s="208">
        <v>90000</v>
      </c>
      <c r="F48" s="11"/>
    </row>
    <row r="49" spans="1:6" ht="20.100000000000001" customHeight="1" x14ac:dyDescent="0.25">
      <c r="A49" s="8">
        <v>7</v>
      </c>
      <c r="B49" s="12" t="s">
        <v>134</v>
      </c>
      <c r="C49" s="2" t="s">
        <v>156</v>
      </c>
      <c r="D49" s="14" t="s">
        <v>176</v>
      </c>
      <c r="E49" s="208">
        <v>90000</v>
      </c>
      <c r="F49" s="11"/>
    </row>
    <row r="50" spans="1:6" ht="20.100000000000001" customHeight="1" x14ac:dyDescent="0.25">
      <c r="A50" s="8">
        <v>8</v>
      </c>
      <c r="B50" s="9" t="s">
        <v>1270</v>
      </c>
      <c r="C50" s="2" t="s">
        <v>156</v>
      </c>
      <c r="D50" s="8" t="s">
        <v>46</v>
      </c>
      <c r="E50" s="208">
        <v>90000</v>
      </c>
      <c r="F50" s="11"/>
    </row>
    <row r="51" spans="1:6" ht="20.100000000000001" customHeight="1" x14ac:dyDescent="0.25">
      <c r="A51" s="8">
        <v>9</v>
      </c>
      <c r="B51" s="9" t="s">
        <v>44</v>
      </c>
      <c r="C51" s="2" t="s">
        <v>552</v>
      </c>
      <c r="D51" s="8" t="s">
        <v>534</v>
      </c>
      <c r="E51" s="208">
        <v>90000</v>
      </c>
      <c r="F51" s="11"/>
    </row>
    <row r="52" spans="1:6" ht="20.100000000000001" customHeight="1" x14ac:dyDescent="0.25">
      <c r="A52" s="8">
        <v>10</v>
      </c>
      <c r="B52" s="9" t="s">
        <v>142</v>
      </c>
      <c r="C52" s="2" t="s">
        <v>139</v>
      </c>
      <c r="D52" s="8" t="s">
        <v>96</v>
      </c>
      <c r="E52" s="208">
        <v>54000</v>
      </c>
      <c r="F52" s="11"/>
    </row>
    <row r="53" spans="1:6" ht="20.100000000000001" customHeight="1" x14ac:dyDescent="0.25">
      <c r="A53" s="8">
        <v>11</v>
      </c>
      <c r="B53" s="9" t="s">
        <v>539</v>
      </c>
      <c r="C53" s="2" t="s">
        <v>139</v>
      </c>
      <c r="D53" s="8" t="s">
        <v>96</v>
      </c>
      <c r="E53" s="208">
        <v>54000</v>
      </c>
      <c r="F53" s="11"/>
    </row>
    <row r="54" spans="1:6" ht="20.100000000000001" customHeight="1" x14ac:dyDescent="0.25">
      <c r="A54" s="8">
        <v>12</v>
      </c>
      <c r="B54" s="9" t="s">
        <v>143</v>
      </c>
      <c r="C54" s="2" t="s">
        <v>139</v>
      </c>
      <c r="D54" s="8" t="s">
        <v>96</v>
      </c>
      <c r="E54" s="208">
        <v>54000</v>
      </c>
      <c r="F54" s="11"/>
    </row>
    <row r="55" spans="1:6" ht="25.5" customHeight="1" x14ac:dyDescent="0.55000000000000004">
      <c r="A55" s="8"/>
      <c r="B55" s="18" t="s">
        <v>111</v>
      </c>
      <c r="C55" s="19">
        <v>12</v>
      </c>
      <c r="D55" s="19"/>
      <c r="E55" s="211">
        <v>1296000</v>
      </c>
      <c r="F55" s="11"/>
    </row>
    <row r="56" spans="1:6" ht="20.100000000000001" customHeight="1" x14ac:dyDescent="0.25">
      <c r="A56" s="8"/>
      <c r="B56" s="20"/>
      <c r="C56" s="19"/>
      <c r="D56" s="19"/>
      <c r="E56" s="212"/>
      <c r="F56" s="11"/>
    </row>
    <row r="57" spans="1:6" ht="20.100000000000001" customHeight="1" x14ac:dyDescent="0.25">
      <c r="A57" s="8"/>
      <c r="B57" s="18" t="s">
        <v>145</v>
      </c>
      <c r="C57" s="19"/>
      <c r="D57" s="19"/>
      <c r="E57" s="212"/>
      <c r="F57" s="11"/>
    </row>
    <row r="58" spans="1:6" ht="20.100000000000001" customHeight="1" x14ac:dyDescent="0.25">
      <c r="A58" s="8">
        <v>1</v>
      </c>
      <c r="B58" s="9" t="s">
        <v>540</v>
      </c>
      <c r="C58" s="10" t="s">
        <v>147</v>
      </c>
      <c r="D58" s="13" t="s">
        <v>115</v>
      </c>
      <c r="E58" s="208">
        <v>270000</v>
      </c>
      <c r="F58" s="11"/>
    </row>
    <row r="59" spans="1:6" ht="20.100000000000001" customHeight="1" x14ac:dyDescent="0.25">
      <c r="A59" s="8">
        <v>2</v>
      </c>
      <c r="B59" s="9" t="s">
        <v>148</v>
      </c>
      <c r="C59" s="10" t="s">
        <v>149</v>
      </c>
      <c r="D59" s="13" t="s">
        <v>549</v>
      </c>
      <c r="E59" s="208">
        <v>126000</v>
      </c>
      <c r="F59" s="11"/>
    </row>
    <row r="60" spans="1:6" ht="20.100000000000001" customHeight="1" x14ac:dyDescent="0.55000000000000004">
      <c r="A60" s="8"/>
      <c r="B60" s="18" t="s">
        <v>111</v>
      </c>
      <c r="C60" s="19">
        <v>2</v>
      </c>
      <c r="D60" s="19"/>
      <c r="E60" s="211">
        <v>396000</v>
      </c>
      <c r="F60" s="11"/>
    </row>
    <row r="61" spans="1:6" ht="20.100000000000001" customHeight="1" x14ac:dyDescent="0.25">
      <c r="A61" s="8"/>
      <c r="B61" s="18"/>
      <c r="C61" s="19"/>
      <c r="D61" s="19"/>
      <c r="E61" s="212"/>
      <c r="F61" s="11"/>
    </row>
    <row r="62" spans="1:6" ht="20.100000000000001" customHeight="1" x14ac:dyDescent="0.25">
      <c r="A62" s="8"/>
      <c r="B62" s="18" t="s">
        <v>151</v>
      </c>
      <c r="C62" s="19"/>
      <c r="D62" s="19"/>
      <c r="E62" s="212"/>
      <c r="F62" s="11"/>
    </row>
    <row r="63" spans="1:6" ht="20.100000000000001" customHeight="1" x14ac:dyDescent="0.25">
      <c r="A63" s="8">
        <v>1</v>
      </c>
      <c r="B63" s="9" t="s">
        <v>541</v>
      </c>
      <c r="C63" s="15" t="s">
        <v>542</v>
      </c>
      <c r="D63" s="8" t="s">
        <v>115</v>
      </c>
      <c r="E63" s="208">
        <v>270000</v>
      </c>
      <c r="F63" s="11"/>
    </row>
    <row r="64" spans="1:6" ht="20.100000000000001" customHeight="1" x14ac:dyDescent="0.25">
      <c r="A64" s="8">
        <v>2</v>
      </c>
      <c r="B64" s="16" t="s">
        <v>543</v>
      </c>
      <c r="C64" s="15" t="s">
        <v>544</v>
      </c>
      <c r="D64" s="13" t="s">
        <v>1200</v>
      </c>
      <c r="E64" s="208">
        <v>126000</v>
      </c>
      <c r="F64" s="11"/>
    </row>
    <row r="65" spans="1:6" ht="20.100000000000001" customHeight="1" x14ac:dyDescent="0.25">
      <c r="A65" s="8">
        <v>3</v>
      </c>
      <c r="B65" s="9" t="s">
        <v>155</v>
      </c>
      <c r="C65" s="2" t="s">
        <v>158</v>
      </c>
      <c r="D65" s="8" t="s">
        <v>534</v>
      </c>
      <c r="E65" s="208">
        <v>90000</v>
      </c>
      <c r="F65" s="11"/>
    </row>
    <row r="66" spans="1:6" ht="20.100000000000001" customHeight="1" x14ac:dyDescent="0.25">
      <c r="A66" s="8">
        <v>4</v>
      </c>
      <c r="B66" s="16" t="s">
        <v>545</v>
      </c>
      <c r="C66" s="15" t="s">
        <v>158</v>
      </c>
      <c r="D66" s="13" t="s">
        <v>1199</v>
      </c>
      <c r="E66" s="208">
        <v>90000</v>
      </c>
      <c r="F66" s="11"/>
    </row>
    <row r="67" spans="1:6" ht="20.100000000000001" customHeight="1" x14ac:dyDescent="0.25">
      <c r="A67" s="8">
        <v>5</v>
      </c>
      <c r="B67" s="12" t="s">
        <v>546</v>
      </c>
      <c r="C67" s="15" t="s">
        <v>156</v>
      </c>
      <c r="D67" s="13" t="s">
        <v>176</v>
      </c>
      <c r="E67" s="208">
        <v>90000</v>
      </c>
      <c r="F67" s="11"/>
    </row>
    <row r="68" spans="1:6" ht="20.100000000000001" customHeight="1" x14ac:dyDescent="0.25">
      <c r="A68" s="8">
        <v>6</v>
      </c>
      <c r="B68" s="12" t="s">
        <v>42</v>
      </c>
      <c r="C68" s="15" t="s">
        <v>156</v>
      </c>
      <c r="D68" s="13" t="s">
        <v>46</v>
      </c>
      <c r="E68" s="208">
        <v>90000</v>
      </c>
      <c r="F68" s="11"/>
    </row>
    <row r="69" spans="1:6" ht="20.100000000000001" customHeight="1" x14ac:dyDescent="0.25">
      <c r="A69" s="8">
        <v>7</v>
      </c>
      <c r="B69" s="9" t="s">
        <v>161</v>
      </c>
      <c r="C69" s="2" t="s">
        <v>139</v>
      </c>
      <c r="D69" s="8" t="s">
        <v>137</v>
      </c>
      <c r="E69" s="208">
        <v>54000</v>
      </c>
      <c r="F69" s="11"/>
    </row>
    <row r="70" spans="1:6" ht="20.100000000000001" customHeight="1" x14ac:dyDescent="0.25">
      <c r="A70" s="8">
        <v>8</v>
      </c>
      <c r="B70" s="9" t="s">
        <v>163</v>
      </c>
      <c r="C70" s="15" t="s">
        <v>70</v>
      </c>
      <c r="D70" s="13" t="s">
        <v>137</v>
      </c>
      <c r="E70" s="208">
        <v>54000</v>
      </c>
      <c r="F70" s="11"/>
    </row>
    <row r="71" spans="1:6" ht="20.100000000000001" customHeight="1" x14ac:dyDescent="0.25">
      <c r="A71" s="8">
        <v>9</v>
      </c>
      <c r="B71" s="9" t="s">
        <v>164</v>
      </c>
      <c r="C71" s="15" t="s">
        <v>70</v>
      </c>
      <c r="D71" s="13" t="s">
        <v>137</v>
      </c>
      <c r="E71" s="208">
        <v>54000</v>
      </c>
      <c r="F71" s="11"/>
    </row>
    <row r="72" spans="1:6" ht="20.100000000000001" customHeight="1" x14ac:dyDescent="0.25">
      <c r="A72" s="8">
        <v>10</v>
      </c>
      <c r="B72" s="9" t="s">
        <v>165</v>
      </c>
      <c r="C72" s="2" t="s">
        <v>166</v>
      </c>
      <c r="D72" s="8" t="s">
        <v>68</v>
      </c>
      <c r="E72" s="208">
        <v>54000</v>
      </c>
      <c r="F72" s="11"/>
    </row>
    <row r="73" spans="1:6" ht="20.100000000000001" customHeight="1" x14ac:dyDescent="0.25">
      <c r="A73" s="8">
        <v>11</v>
      </c>
      <c r="B73" s="9" t="s">
        <v>1359</v>
      </c>
      <c r="C73" s="15" t="s">
        <v>139</v>
      </c>
      <c r="D73" s="8" t="s">
        <v>76</v>
      </c>
      <c r="E73" s="208">
        <v>54000</v>
      </c>
      <c r="F73" s="11"/>
    </row>
    <row r="74" spans="1:6" ht="20.100000000000001" customHeight="1" x14ac:dyDescent="0.25">
      <c r="A74" s="8">
        <v>12</v>
      </c>
      <c r="B74" s="9" t="s">
        <v>81</v>
      </c>
      <c r="C74" s="15" t="s">
        <v>67</v>
      </c>
      <c r="D74" s="8" t="s">
        <v>87</v>
      </c>
      <c r="E74" s="208">
        <v>54000</v>
      </c>
      <c r="F74" s="11"/>
    </row>
    <row r="75" spans="1:6" ht="20.100000000000001" customHeight="1" x14ac:dyDescent="0.25">
      <c r="A75" s="8">
        <v>13</v>
      </c>
      <c r="B75" s="12" t="s">
        <v>66</v>
      </c>
      <c r="C75" s="15" t="s">
        <v>67</v>
      </c>
      <c r="D75" s="8" t="s">
        <v>105</v>
      </c>
      <c r="E75" s="208">
        <v>54000</v>
      </c>
      <c r="F75" s="11"/>
    </row>
    <row r="76" spans="1:6" ht="20.100000000000001" customHeight="1" x14ac:dyDescent="0.55000000000000004">
      <c r="A76" s="8"/>
      <c r="B76" s="18" t="s">
        <v>111</v>
      </c>
      <c r="C76" s="19">
        <v>13</v>
      </c>
      <c r="D76" s="19"/>
      <c r="E76" s="211">
        <v>1134000</v>
      </c>
      <c r="F76" s="11"/>
    </row>
    <row r="77" spans="1:6" ht="20.100000000000001" customHeight="1" x14ac:dyDescent="0.25">
      <c r="A77" s="8"/>
      <c r="B77" s="20"/>
      <c r="C77" s="19"/>
      <c r="D77" s="19"/>
      <c r="E77" s="212"/>
      <c r="F77" s="11"/>
    </row>
    <row r="78" spans="1:6" ht="20.100000000000001" customHeight="1" x14ac:dyDescent="0.25">
      <c r="A78" s="8"/>
      <c r="B78" s="18" t="s">
        <v>169</v>
      </c>
      <c r="C78" s="19"/>
      <c r="D78" s="19"/>
      <c r="E78" s="212"/>
      <c r="F78" s="11"/>
    </row>
    <row r="79" spans="1:6" ht="20.100000000000001" customHeight="1" x14ac:dyDescent="0.25">
      <c r="A79" s="8">
        <v>1</v>
      </c>
      <c r="B79" s="9" t="s">
        <v>170</v>
      </c>
      <c r="C79" s="2" t="s">
        <v>171</v>
      </c>
      <c r="D79" s="8" t="s">
        <v>115</v>
      </c>
      <c r="E79" s="208">
        <v>270000</v>
      </c>
      <c r="F79" s="11"/>
    </row>
    <row r="80" spans="1:6" ht="20.100000000000001" customHeight="1" x14ac:dyDescent="0.25">
      <c r="A80" s="8">
        <v>2</v>
      </c>
      <c r="B80" s="12" t="s">
        <v>547</v>
      </c>
      <c r="C80" s="2" t="s">
        <v>548</v>
      </c>
      <c r="D80" s="13" t="s">
        <v>1200</v>
      </c>
      <c r="E80" s="208">
        <v>126000</v>
      </c>
      <c r="F80" s="11"/>
    </row>
    <row r="81" spans="1:6" ht="20.100000000000001" customHeight="1" x14ac:dyDescent="0.25">
      <c r="A81" s="8">
        <v>3</v>
      </c>
      <c r="B81" s="12" t="s">
        <v>1360</v>
      </c>
      <c r="C81" s="2" t="s">
        <v>1361</v>
      </c>
      <c r="D81" s="13" t="s">
        <v>1200</v>
      </c>
      <c r="E81" s="208">
        <v>126000</v>
      </c>
      <c r="F81" s="11"/>
    </row>
    <row r="82" spans="1:6" ht="20.100000000000001" customHeight="1" x14ac:dyDescent="0.25">
      <c r="A82" s="8">
        <v>4</v>
      </c>
      <c r="B82" s="9" t="s">
        <v>174</v>
      </c>
      <c r="C82" s="2" t="s">
        <v>1214</v>
      </c>
      <c r="D82" s="13" t="s">
        <v>534</v>
      </c>
      <c r="E82" s="208">
        <v>90000</v>
      </c>
      <c r="F82" s="11"/>
    </row>
    <row r="83" spans="1:6" ht="20.100000000000001" customHeight="1" x14ac:dyDescent="0.25">
      <c r="A83" s="8">
        <v>5</v>
      </c>
      <c r="B83" s="9" t="s">
        <v>181</v>
      </c>
      <c r="C83" s="2" t="s">
        <v>184</v>
      </c>
      <c r="D83" s="8" t="s">
        <v>76</v>
      </c>
      <c r="E83" s="208">
        <v>54000</v>
      </c>
      <c r="F83" s="11"/>
    </row>
    <row r="84" spans="1:6" ht="20.100000000000001" customHeight="1" x14ac:dyDescent="0.55000000000000004">
      <c r="A84" s="8"/>
      <c r="B84" s="18" t="s">
        <v>111</v>
      </c>
      <c r="C84" s="19">
        <v>5</v>
      </c>
      <c r="D84" s="19"/>
      <c r="E84" s="211">
        <v>666000</v>
      </c>
      <c r="F84" s="11"/>
    </row>
    <row r="85" spans="1:6" ht="20.100000000000001" customHeight="1" x14ac:dyDescent="0.25">
      <c r="A85" s="8"/>
      <c r="B85" s="18"/>
      <c r="C85" s="19"/>
      <c r="D85" s="19"/>
      <c r="E85" s="208"/>
      <c r="F85" s="11"/>
    </row>
    <row r="86" spans="1:6" ht="20.100000000000001" customHeight="1" x14ac:dyDescent="0.25">
      <c r="A86" s="8"/>
      <c r="B86" s="18" t="s">
        <v>187</v>
      </c>
      <c r="C86" s="23"/>
      <c r="D86" s="19"/>
      <c r="E86" s="208"/>
      <c r="F86" s="11"/>
    </row>
    <row r="87" spans="1:6" ht="20.100000000000001" customHeight="1" x14ac:dyDescent="0.25">
      <c r="A87" s="8">
        <v>1</v>
      </c>
      <c r="B87" s="9" t="s">
        <v>190</v>
      </c>
      <c r="C87" s="2" t="s">
        <v>130</v>
      </c>
      <c r="D87" s="8" t="s">
        <v>131</v>
      </c>
      <c r="E87" s="208">
        <v>126000</v>
      </c>
      <c r="F87" s="11"/>
    </row>
    <row r="88" spans="1:6" ht="20.100000000000001" customHeight="1" x14ac:dyDescent="0.25">
      <c r="A88" s="8">
        <v>2</v>
      </c>
      <c r="B88" s="9" t="s">
        <v>188</v>
      </c>
      <c r="C88" s="2" t="s">
        <v>130</v>
      </c>
      <c r="D88" s="8" t="s">
        <v>131</v>
      </c>
      <c r="E88" s="208">
        <v>126000</v>
      </c>
      <c r="F88" s="11"/>
    </row>
    <row r="89" spans="1:6" ht="20.100000000000001" customHeight="1" x14ac:dyDescent="0.25">
      <c r="A89" s="8">
        <v>3</v>
      </c>
      <c r="B89" s="12" t="s">
        <v>152</v>
      </c>
      <c r="C89" s="2" t="s">
        <v>156</v>
      </c>
      <c r="D89" s="8" t="s">
        <v>41</v>
      </c>
      <c r="E89" s="208">
        <v>90000</v>
      </c>
      <c r="F89" s="11"/>
    </row>
    <row r="90" spans="1:6" ht="20.100000000000001" customHeight="1" x14ac:dyDescent="0.25">
      <c r="A90" s="8">
        <v>4</v>
      </c>
      <c r="B90" s="9" t="s">
        <v>193</v>
      </c>
      <c r="C90" s="2" t="s">
        <v>45</v>
      </c>
      <c r="D90" s="8" t="s">
        <v>176</v>
      </c>
      <c r="E90" s="208">
        <v>90000</v>
      </c>
      <c r="F90" s="11"/>
    </row>
    <row r="91" spans="1:6" ht="21.6" customHeight="1" x14ac:dyDescent="0.25">
      <c r="A91" s="8">
        <v>5</v>
      </c>
      <c r="B91" s="9" t="s">
        <v>194</v>
      </c>
      <c r="C91" s="2" t="s">
        <v>552</v>
      </c>
      <c r="D91" s="13" t="s">
        <v>534</v>
      </c>
      <c r="E91" s="208">
        <v>90000</v>
      </c>
      <c r="F91" s="11"/>
    </row>
    <row r="92" spans="1:6" ht="21.6" customHeight="1" x14ac:dyDescent="0.25">
      <c r="A92" s="8">
        <v>6</v>
      </c>
      <c r="B92" s="9" t="s">
        <v>195</v>
      </c>
      <c r="C92" s="10" t="s">
        <v>158</v>
      </c>
      <c r="D92" s="13" t="s">
        <v>1199</v>
      </c>
      <c r="E92" s="208">
        <v>90000</v>
      </c>
      <c r="F92" s="11"/>
    </row>
    <row r="93" spans="1:6" ht="21.6" customHeight="1" x14ac:dyDescent="0.25">
      <c r="A93" s="8">
        <v>7</v>
      </c>
      <c r="B93" s="9" t="s">
        <v>196</v>
      </c>
      <c r="C93" s="10" t="s">
        <v>158</v>
      </c>
      <c r="D93" s="13" t="s">
        <v>1199</v>
      </c>
      <c r="E93" s="208">
        <v>90000</v>
      </c>
      <c r="F93" s="11"/>
    </row>
    <row r="94" spans="1:6" ht="21.6" customHeight="1" x14ac:dyDescent="0.25">
      <c r="A94" s="8">
        <v>8</v>
      </c>
      <c r="B94" s="9" t="s">
        <v>198</v>
      </c>
      <c r="C94" s="15" t="s">
        <v>70</v>
      </c>
      <c r="D94" s="13" t="s">
        <v>137</v>
      </c>
      <c r="E94" s="208">
        <v>54000</v>
      </c>
      <c r="F94" s="11"/>
    </row>
    <row r="95" spans="1:6" ht="21.6" customHeight="1" x14ac:dyDescent="0.25">
      <c r="A95" s="8">
        <v>9</v>
      </c>
      <c r="B95" s="9" t="s">
        <v>202</v>
      </c>
      <c r="C95" s="2" t="s">
        <v>203</v>
      </c>
      <c r="D95" s="8" t="s">
        <v>73</v>
      </c>
      <c r="E95" s="208">
        <v>54000</v>
      </c>
      <c r="F95" s="11"/>
    </row>
    <row r="96" spans="1:6" ht="21.6" customHeight="1" x14ac:dyDescent="0.25">
      <c r="A96" s="8">
        <v>10</v>
      </c>
      <c r="B96" s="9" t="s">
        <v>204</v>
      </c>
      <c r="C96" s="15" t="s">
        <v>205</v>
      </c>
      <c r="D96" s="13" t="s">
        <v>105</v>
      </c>
      <c r="E96" s="208">
        <v>54000</v>
      </c>
      <c r="F96" s="11"/>
    </row>
    <row r="97" spans="1:6" ht="20.100000000000001" customHeight="1" x14ac:dyDescent="0.55000000000000004">
      <c r="A97" s="8"/>
      <c r="B97" s="18" t="s">
        <v>111</v>
      </c>
      <c r="C97" s="19">
        <v>10</v>
      </c>
      <c r="D97" s="19"/>
      <c r="E97" s="211">
        <v>864000</v>
      </c>
      <c r="F97" s="11"/>
    </row>
    <row r="98" spans="1:6" ht="20.100000000000001" customHeight="1" x14ac:dyDescent="0.25">
      <c r="A98" s="8"/>
      <c r="B98" s="20"/>
      <c r="C98" s="19"/>
      <c r="D98" s="19"/>
      <c r="E98" s="212"/>
      <c r="F98" s="11"/>
    </row>
    <row r="99" spans="1:6" ht="20.100000000000001" customHeight="1" x14ac:dyDescent="0.25">
      <c r="A99" s="8"/>
      <c r="B99" s="18" t="s">
        <v>207</v>
      </c>
      <c r="C99" s="19"/>
      <c r="D99" s="19"/>
      <c r="E99" s="212"/>
      <c r="F99" s="11"/>
    </row>
    <row r="100" spans="1:6" ht="20.100000000000001" customHeight="1" x14ac:dyDescent="0.25">
      <c r="A100" s="8">
        <v>1</v>
      </c>
      <c r="B100" s="16" t="s">
        <v>530</v>
      </c>
      <c r="C100" s="8" t="s">
        <v>531</v>
      </c>
      <c r="D100" s="13" t="s">
        <v>35</v>
      </c>
      <c r="E100" s="208">
        <v>180000</v>
      </c>
      <c r="F100" s="11"/>
    </row>
    <row r="101" spans="1:6" ht="20.100000000000001" customHeight="1" x14ac:dyDescent="0.25">
      <c r="A101" s="8">
        <v>2</v>
      </c>
      <c r="B101" s="9" t="s">
        <v>36</v>
      </c>
      <c r="C101" s="2" t="s">
        <v>212</v>
      </c>
      <c r="D101" s="8" t="s">
        <v>176</v>
      </c>
      <c r="E101" s="208">
        <v>90000</v>
      </c>
      <c r="F101" s="11"/>
    </row>
    <row r="102" spans="1:6" ht="20.100000000000001" customHeight="1" x14ac:dyDescent="0.25">
      <c r="A102" s="8">
        <v>3</v>
      </c>
      <c r="B102" s="9" t="s">
        <v>217</v>
      </c>
      <c r="C102" s="2" t="s">
        <v>218</v>
      </c>
      <c r="D102" s="13" t="s">
        <v>68</v>
      </c>
      <c r="E102" s="208">
        <v>54000</v>
      </c>
      <c r="F102" s="11"/>
    </row>
    <row r="103" spans="1:6" ht="20.100000000000001" customHeight="1" x14ac:dyDescent="0.25">
      <c r="A103" s="8">
        <v>4</v>
      </c>
      <c r="B103" s="9" t="s">
        <v>1362</v>
      </c>
      <c r="C103" s="2" t="s">
        <v>1363</v>
      </c>
      <c r="D103" s="13" t="s">
        <v>206</v>
      </c>
      <c r="E103" s="208">
        <v>54000</v>
      </c>
      <c r="F103" s="11"/>
    </row>
    <row r="104" spans="1:6" ht="20.100000000000001" customHeight="1" x14ac:dyDescent="0.55000000000000004">
      <c r="A104" s="2"/>
      <c r="B104" s="18" t="s">
        <v>111</v>
      </c>
      <c r="C104" s="19">
        <v>3</v>
      </c>
      <c r="D104" s="24"/>
      <c r="E104" s="211">
        <v>378000</v>
      </c>
      <c r="F104" s="11"/>
    </row>
    <row r="105" spans="1:6" ht="20.100000000000001" customHeight="1" x14ac:dyDescent="0.25">
      <c r="A105" s="2"/>
      <c r="B105" s="20"/>
      <c r="C105" s="19"/>
      <c r="D105" s="24"/>
      <c r="E105" s="212"/>
      <c r="F105" s="11"/>
    </row>
    <row r="106" spans="1:6" ht="20.100000000000001" customHeight="1" x14ac:dyDescent="0.25">
      <c r="A106" s="2"/>
      <c r="B106" s="18" t="s">
        <v>221</v>
      </c>
      <c r="C106" s="2"/>
      <c r="D106" s="2"/>
      <c r="E106" s="213"/>
      <c r="F106" s="11"/>
    </row>
    <row r="107" spans="1:6" ht="20.100000000000001" customHeight="1" x14ac:dyDescent="0.25">
      <c r="A107" s="2">
        <v>1</v>
      </c>
      <c r="B107" s="9" t="s">
        <v>222</v>
      </c>
      <c r="C107" s="10" t="s">
        <v>223</v>
      </c>
      <c r="D107" s="13" t="s">
        <v>115</v>
      </c>
      <c r="E107" s="208">
        <v>270000</v>
      </c>
      <c r="F107" s="11"/>
    </row>
    <row r="108" spans="1:6" ht="20.100000000000001" customHeight="1" x14ac:dyDescent="0.25">
      <c r="A108" s="2">
        <v>2</v>
      </c>
      <c r="B108" s="9" t="s">
        <v>224</v>
      </c>
      <c r="C108" s="2" t="s">
        <v>225</v>
      </c>
      <c r="D108" s="14" t="s">
        <v>35</v>
      </c>
      <c r="E108" s="208">
        <v>180000</v>
      </c>
      <c r="F108" s="11"/>
    </row>
    <row r="109" spans="1:6" ht="20.100000000000001" customHeight="1" x14ac:dyDescent="0.25">
      <c r="A109" s="2">
        <v>3</v>
      </c>
      <c r="B109" s="9" t="s">
        <v>226</v>
      </c>
      <c r="C109" s="2" t="s">
        <v>227</v>
      </c>
      <c r="D109" s="8" t="s">
        <v>52</v>
      </c>
      <c r="E109" s="208">
        <v>90000</v>
      </c>
      <c r="F109" s="11"/>
    </row>
    <row r="110" spans="1:6" ht="20.100000000000001" customHeight="1" x14ac:dyDescent="0.25">
      <c r="A110" s="2">
        <v>4</v>
      </c>
      <c r="B110" s="9" t="s">
        <v>228</v>
      </c>
      <c r="C110" s="2" t="s">
        <v>227</v>
      </c>
      <c r="D110" s="8" t="s">
        <v>52</v>
      </c>
      <c r="E110" s="208">
        <v>90000</v>
      </c>
      <c r="F110" s="11"/>
    </row>
    <row r="111" spans="1:6" ht="20.100000000000001" customHeight="1" x14ac:dyDescent="0.25">
      <c r="A111" s="2">
        <v>5</v>
      </c>
      <c r="B111" s="9" t="s">
        <v>230</v>
      </c>
      <c r="C111" s="2" t="s">
        <v>231</v>
      </c>
      <c r="D111" s="13" t="s">
        <v>554</v>
      </c>
      <c r="E111" s="208">
        <v>54000</v>
      </c>
      <c r="F111" s="11"/>
    </row>
    <row r="112" spans="1:6" ht="20.100000000000001" customHeight="1" x14ac:dyDescent="0.25">
      <c r="A112" s="2">
        <v>6</v>
      </c>
      <c r="B112" s="16" t="s">
        <v>233</v>
      </c>
      <c r="C112" s="2" t="s">
        <v>231</v>
      </c>
      <c r="D112" s="8" t="s">
        <v>206</v>
      </c>
      <c r="E112" s="208">
        <v>54000</v>
      </c>
      <c r="F112" s="11"/>
    </row>
    <row r="113" spans="1:6" ht="20.100000000000001" customHeight="1" x14ac:dyDescent="0.25">
      <c r="A113" s="2">
        <v>7</v>
      </c>
      <c r="B113" s="16" t="s">
        <v>234</v>
      </c>
      <c r="C113" s="2" t="s">
        <v>231</v>
      </c>
      <c r="D113" s="13" t="s">
        <v>105</v>
      </c>
      <c r="E113" s="208">
        <v>54000</v>
      </c>
      <c r="F113" s="11"/>
    </row>
    <row r="114" spans="1:6" ht="20.100000000000001" customHeight="1" x14ac:dyDescent="0.55000000000000004">
      <c r="A114" s="2"/>
      <c r="B114" s="18" t="s">
        <v>111</v>
      </c>
      <c r="C114" s="19">
        <v>7</v>
      </c>
      <c r="D114" s="2"/>
      <c r="E114" s="214">
        <v>792000</v>
      </c>
      <c r="F114" s="11"/>
    </row>
    <row r="115" spans="1:6" ht="20.100000000000001" customHeight="1" x14ac:dyDescent="0.55000000000000004">
      <c r="A115" s="2"/>
      <c r="B115" s="18"/>
      <c r="C115" s="19"/>
      <c r="D115" s="2"/>
      <c r="E115" s="214"/>
      <c r="F115" s="11"/>
    </row>
    <row r="116" spans="1:6" ht="43.5" customHeight="1" x14ac:dyDescent="0.55000000000000004">
      <c r="A116" s="8"/>
      <c r="B116" s="18" t="s">
        <v>1369</v>
      </c>
      <c r="C116" s="19"/>
      <c r="D116" s="19"/>
      <c r="E116" s="214"/>
      <c r="F116" s="11"/>
    </row>
    <row r="117" spans="1:6" ht="27" customHeight="1" x14ac:dyDescent="0.25">
      <c r="A117" s="8">
        <v>1</v>
      </c>
      <c r="B117" s="9" t="s">
        <v>1278</v>
      </c>
      <c r="C117" s="15" t="s">
        <v>70</v>
      </c>
      <c r="D117" s="13" t="s">
        <v>162</v>
      </c>
      <c r="E117" s="208">
        <v>54000</v>
      </c>
      <c r="F117" s="11"/>
    </row>
    <row r="118" spans="1:6" ht="27" customHeight="1" x14ac:dyDescent="0.25">
      <c r="A118" s="8">
        <v>2</v>
      </c>
      <c r="B118" s="9" t="s">
        <v>236</v>
      </c>
      <c r="C118" s="2" t="s">
        <v>237</v>
      </c>
      <c r="D118" s="13" t="s">
        <v>68</v>
      </c>
      <c r="E118" s="208">
        <v>54000</v>
      </c>
      <c r="F118" s="11"/>
    </row>
    <row r="119" spans="1:6" ht="27" customHeight="1" x14ac:dyDescent="0.55000000000000004">
      <c r="A119" s="2"/>
      <c r="B119" s="18" t="s">
        <v>111</v>
      </c>
      <c r="C119" s="19">
        <v>2</v>
      </c>
      <c r="D119" s="24"/>
      <c r="E119" s="214">
        <v>108000</v>
      </c>
      <c r="F119" s="11"/>
    </row>
    <row r="120" spans="1:6" ht="20.100000000000001" customHeight="1" x14ac:dyDescent="0.25">
      <c r="A120" s="2"/>
      <c r="B120" s="20"/>
      <c r="C120" s="8"/>
      <c r="D120" s="2"/>
      <c r="E120" s="215"/>
      <c r="F120" s="11"/>
    </row>
    <row r="121" spans="1:6" ht="20.100000000000001" customHeight="1" x14ac:dyDescent="0.25">
      <c r="A121" s="2"/>
      <c r="B121" s="18" t="s">
        <v>250</v>
      </c>
      <c r="C121" s="19"/>
      <c r="D121" s="19"/>
      <c r="E121" s="208"/>
      <c r="F121" s="11"/>
    </row>
    <row r="122" spans="1:6" ht="20.100000000000001" customHeight="1" x14ac:dyDescent="0.25">
      <c r="A122" s="2">
        <v>1</v>
      </c>
      <c r="B122" s="9" t="s">
        <v>251</v>
      </c>
      <c r="C122" s="10" t="s">
        <v>252</v>
      </c>
      <c r="D122" s="13" t="s">
        <v>115</v>
      </c>
      <c r="E122" s="208">
        <v>270000</v>
      </c>
      <c r="F122" s="11"/>
    </row>
    <row r="123" spans="1:6" ht="20.100000000000001" customHeight="1" x14ac:dyDescent="0.25">
      <c r="A123" s="2">
        <v>2</v>
      </c>
      <c r="B123" s="9" t="s">
        <v>253</v>
      </c>
      <c r="C123" s="10" t="s">
        <v>256</v>
      </c>
      <c r="D123" s="13" t="s">
        <v>131</v>
      </c>
      <c r="E123" s="208">
        <v>126000</v>
      </c>
      <c r="F123" s="11"/>
    </row>
    <row r="124" spans="1:6" ht="20.100000000000001" customHeight="1" x14ac:dyDescent="0.25">
      <c r="A124" s="2">
        <v>3</v>
      </c>
      <c r="B124" s="12" t="s">
        <v>255</v>
      </c>
      <c r="C124" s="10" t="s">
        <v>256</v>
      </c>
      <c r="D124" s="13" t="s">
        <v>131</v>
      </c>
      <c r="E124" s="208">
        <v>126000</v>
      </c>
      <c r="F124" s="11"/>
    </row>
    <row r="125" spans="1:6" ht="20.100000000000001" customHeight="1" x14ac:dyDescent="0.25">
      <c r="A125" s="2">
        <v>4</v>
      </c>
      <c r="B125" s="12" t="s">
        <v>556</v>
      </c>
      <c r="C125" s="10" t="s">
        <v>256</v>
      </c>
      <c r="D125" s="13" t="s">
        <v>49</v>
      </c>
      <c r="E125" s="208">
        <v>126000</v>
      </c>
      <c r="F125" s="11"/>
    </row>
    <row r="126" spans="1:6" ht="20.100000000000001" customHeight="1" x14ac:dyDescent="0.25">
      <c r="A126" s="2">
        <v>5</v>
      </c>
      <c r="B126" s="9" t="s">
        <v>257</v>
      </c>
      <c r="C126" s="10" t="s">
        <v>258</v>
      </c>
      <c r="D126" s="13" t="s">
        <v>46</v>
      </c>
      <c r="E126" s="208">
        <v>90000</v>
      </c>
      <c r="F126" s="11"/>
    </row>
    <row r="127" spans="1:6" ht="20.100000000000001" customHeight="1" x14ac:dyDescent="0.25">
      <c r="A127" s="2">
        <v>6</v>
      </c>
      <c r="B127" s="9" t="s">
        <v>259</v>
      </c>
      <c r="C127" s="10" t="s">
        <v>489</v>
      </c>
      <c r="D127" s="13" t="s">
        <v>534</v>
      </c>
      <c r="E127" s="208">
        <v>90000</v>
      </c>
      <c r="F127" s="11"/>
    </row>
    <row r="128" spans="1:6" ht="20.100000000000001" customHeight="1" x14ac:dyDescent="0.25">
      <c r="A128" s="2">
        <v>7</v>
      </c>
      <c r="B128" s="9" t="s">
        <v>260</v>
      </c>
      <c r="C128" s="10" t="s">
        <v>1216</v>
      </c>
      <c r="D128" s="13" t="s">
        <v>534</v>
      </c>
      <c r="E128" s="208">
        <v>90000</v>
      </c>
      <c r="F128" s="11"/>
    </row>
    <row r="129" spans="1:6" ht="20.100000000000001" customHeight="1" x14ac:dyDescent="0.25">
      <c r="A129" s="2">
        <v>8</v>
      </c>
      <c r="B129" s="9" t="s">
        <v>263</v>
      </c>
      <c r="C129" s="10" t="s">
        <v>264</v>
      </c>
      <c r="D129" s="8" t="s">
        <v>87</v>
      </c>
      <c r="E129" s="208">
        <v>54000</v>
      </c>
      <c r="F129" s="11"/>
    </row>
    <row r="130" spans="1:6" ht="20.100000000000001" customHeight="1" x14ac:dyDescent="0.25">
      <c r="A130" s="2">
        <v>9</v>
      </c>
      <c r="B130" s="16" t="s">
        <v>265</v>
      </c>
      <c r="C130" s="10" t="s">
        <v>266</v>
      </c>
      <c r="D130" s="13" t="s">
        <v>105</v>
      </c>
      <c r="E130" s="208">
        <v>54000</v>
      </c>
      <c r="F130" s="11"/>
    </row>
    <row r="131" spans="1:6" ht="20.100000000000001" customHeight="1" x14ac:dyDescent="0.55000000000000004">
      <c r="A131" s="2"/>
      <c r="B131" s="18" t="s">
        <v>111</v>
      </c>
      <c r="C131" s="24" t="s">
        <v>1364</v>
      </c>
      <c r="D131" s="13"/>
      <c r="E131" s="216">
        <v>1026000</v>
      </c>
      <c r="F131" s="11"/>
    </row>
    <row r="132" spans="1:6" ht="20.100000000000001" customHeight="1" x14ac:dyDescent="0.25">
      <c r="A132" s="2"/>
      <c r="B132" s="20"/>
      <c r="C132" s="24"/>
      <c r="D132" s="13"/>
      <c r="E132" s="212"/>
      <c r="F132" s="11"/>
    </row>
    <row r="133" spans="1:6" ht="20.100000000000001" customHeight="1" x14ac:dyDescent="0.25">
      <c r="A133" s="2"/>
      <c r="B133" s="18" t="s">
        <v>270</v>
      </c>
      <c r="C133" s="10"/>
      <c r="D133" s="13"/>
      <c r="E133" s="208"/>
      <c r="F133" s="11"/>
    </row>
    <row r="134" spans="1:6" ht="20.100000000000001" customHeight="1" x14ac:dyDescent="0.25">
      <c r="A134" s="25">
        <v>1</v>
      </c>
      <c r="B134" s="9" t="s">
        <v>557</v>
      </c>
      <c r="C134" s="10" t="s">
        <v>558</v>
      </c>
      <c r="D134" s="13" t="s">
        <v>115</v>
      </c>
      <c r="E134" s="208">
        <v>270000</v>
      </c>
      <c r="F134" s="11"/>
    </row>
    <row r="135" spans="1:6" ht="20.100000000000001" customHeight="1" x14ac:dyDescent="0.25">
      <c r="A135" s="25">
        <v>2</v>
      </c>
      <c r="B135" s="9" t="s">
        <v>559</v>
      </c>
      <c r="C135" s="10" t="s">
        <v>560</v>
      </c>
      <c r="D135" s="13" t="s">
        <v>154</v>
      </c>
      <c r="E135" s="208">
        <v>180000</v>
      </c>
      <c r="F135" s="11"/>
    </row>
    <row r="136" spans="1:6" ht="20.100000000000001" customHeight="1" x14ac:dyDescent="0.25">
      <c r="A136" s="25">
        <v>3</v>
      </c>
      <c r="B136" s="12" t="s">
        <v>274</v>
      </c>
      <c r="C136" s="2" t="s">
        <v>275</v>
      </c>
      <c r="D136" s="14" t="s">
        <v>35</v>
      </c>
      <c r="E136" s="208">
        <v>180000</v>
      </c>
      <c r="F136" s="11"/>
    </row>
    <row r="137" spans="1:6" ht="20.100000000000001" customHeight="1" x14ac:dyDescent="0.25">
      <c r="A137" s="25">
        <v>4</v>
      </c>
      <c r="B137" s="9" t="s">
        <v>276</v>
      </c>
      <c r="C137" s="10" t="s">
        <v>561</v>
      </c>
      <c r="D137" s="13" t="s">
        <v>176</v>
      </c>
      <c r="E137" s="208">
        <v>90000</v>
      </c>
      <c r="F137" s="11"/>
    </row>
    <row r="138" spans="1:6" ht="20.100000000000001" customHeight="1" x14ac:dyDescent="0.25">
      <c r="A138" s="25">
        <v>5</v>
      </c>
      <c r="B138" s="9" t="s">
        <v>278</v>
      </c>
      <c r="C138" s="2" t="s">
        <v>562</v>
      </c>
      <c r="D138" s="13" t="s">
        <v>176</v>
      </c>
      <c r="E138" s="208">
        <v>90000</v>
      </c>
      <c r="F138" s="11"/>
    </row>
    <row r="139" spans="1:6" ht="20.100000000000001" customHeight="1" x14ac:dyDescent="0.25">
      <c r="A139" s="25">
        <v>6</v>
      </c>
      <c r="B139" s="9" t="s">
        <v>211</v>
      </c>
      <c r="C139" s="2" t="s">
        <v>564</v>
      </c>
      <c r="D139" s="13" t="s">
        <v>534</v>
      </c>
      <c r="E139" s="208">
        <v>90000</v>
      </c>
      <c r="F139" s="11"/>
    </row>
    <row r="140" spans="1:6" ht="20.100000000000001" customHeight="1" x14ac:dyDescent="0.25">
      <c r="A140" s="25">
        <v>7</v>
      </c>
      <c r="B140" s="9" t="s">
        <v>213</v>
      </c>
      <c r="C140" s="10" t="s">
        <v>563</v>
      </c>
      <c r="D140" s="13" t="s">
        <v>162</v>
      </c>
      <c r="E140" s="208">
        <v>54000</v>
      </c>
      <c r="F140" s="11"/>
    </row>
    <row r="141" spans="1:6" ht="20.100000000000001" customHeight="1" x14ac:dyDescent="0.25">
      <c r="A141" s="25">
        <v>8</v>
      </c>
      <c r="B141" s="9" t="s">
        <v>281</v>
      </c>
      <c r="C141" s="10" t="s">
        <v>563</v>
      </c>
      <c r="D141" s="13" t="s">
        <v>162</v>
      </c>
      <c r="E141" s="208">
        <v>54000</v>
      </c>
      <c r="F141" s="11"/>
    </row>
    <row r="142" spans="1:6" ht="20.100000000000001" customHeight="1" x14ac:dyDescent="0.25">
      <c r="A142" s="25">
        <v>9</v>
      </c>
      <c r="B142" s="9" t="s">
        <v>282</v>
      </c>
      <c r="C142" s="2" t="s">
        <v>564</v>
      </c>
      <c r="D142" s="13" t="s">
        <v>162</v>
      </c>
      <c r="E142" s="208">
        <v>54000</v>
      </c>
      <c r="F142" s="11"/>
    </row>
    <row r="143" spans="1:6" ht="20.100000000000001" customHeight="1" x14ac:dyDescent="0.25">
      <c r="A143" s="25">
        <v>10</v>
      </c>
      <c r="B143" s="9" t="s">
        <v>284</v>
      </c>
      <c r="C143" s="10" t="s">
        <v>565</v>
      </c>
      <c r="D143" s="13" t="s">
        <v>68</v>
      </c>
      <c r="E143" s="208">
        <v>54000</v>
      </c>
      <c r="F143" s="11"/>
    </row>
    <row r="144" spans="1:6" ht="20.100000000000001" customHeight="1" x14ac:dyDescent="0.25">
      <c r="A144" s="25">
        <v>11</v>
      </c>
      <c r="B144" s="9" t="s">
        <v>286</v>
      </c>
      <c r="C144" s="10" t="s">
        <v>1218</v>
      </c>
      <c r="D144" s="13" t="s">
        <v>300</v>
      </c>
      <c r="E144" s="208">
        <v>54000</v>
      </c>
      <c r="F144" s="11"/>
    </row>
    <row r="145" spans="1:6" ht="20.100000000000001" customHeight="1" x14ac:dyDescent="0.25">
      <c r="A145" s="25">
        <v>12</v>
      </c>
      <c r="B145" s="9" t="s">
        <v>60</v>
      </c>
      <c r="C145" s="10" t="s">
        <v>565</v>
      </c>
      <c r="D145" s="13" t="s">
        <v>162</v>
      </c>
      <c r="E145" s="208">
        <v>54000</v>
      </c>
      <c r="F145" s="11"/>
    </row>
    <row r="146" spans="1:6" ht="20.100000000000001" customHeight="1" x14ac:dyDescent="0.25">
      <c r="A146" s="25">
        <v>13</v>
      </c>
      <c r="B146" s="16" t="s">
        <v>288</v>
      </c>
      <c r="C146" s="2" t="s">
        <v>297</v>
      </c>
      <c r="D146" s="13" t="s">
        <v>300</v>
      </c>
      <c r="E146" s="208">
        <v>54000</v>
      </c>
      <c r="F146" s="11"/>
    </row>
    <row r="147" spans="1:6" ht="20.100000000000001" customHeight="1" x14ac:dyDescent="0.25">
      <c r="A147" s="25">
        <v>14</v>
      </c>
      <c r="B147" s="9" t="s">
        <v>290</v>
      </c>
      <c r="C147" s="2" t="s">
        <v>566</v>
      </c>
      <c r="D147" s="13" t="s">
        <v>76</v>
      </c>
      <c r="E147" s="208">
        <v>54000</v>
      </c>
      <c r="F147" s="11"/>
    </row>
    <row r="148" spans="1:6" ht="20.100000000000001" customHeight="1" x14ac:dyDescent="0.25">
      <c r="A148" s="25">
        <v>15</v>
      </c>
      <c r="B148" s="9" t="s">
        <v>291</v>
      </c>
      <c r="C148" s="2" t="s">
        <v>566</v>
      </c>
      <c r="D148" s="13" t="s">
        <v>119</v>
      </c>
      <c r="E148" s="208">
        <v>54000</v>
      </c>
      <c r="F148" s="11"/>
    </row>
    <row r="149" spans="1:6" ht="20.100000000000001" customHeight="1" x14ac:dyDescent="0.25">
      <c r="A149" s="25">
        <v>16</v>
      </c>
      <c r="B149" s="9" t="s">
        <v>293</v>
      </c>
      <c r="C149" s="2" t="s">
        <v>566</v>
      </c>
      <c r="D149" s="13" t="s">
        <v>119</v>
      </c>
      <c r="E149" s="208">
        <v>54000</v>
      </c>
      <c r="F149" s="11"/>
    </row>
    <row r="150" spans="1:6" ht="20.100000000000001" customHeight="1" x14ac:dyDescent="0.25">
      <c r="A150" s="25">
        <v>17</v>
      </c>
      <c r="B150" s="9" t="s">
        <v>294</v>
      </c>
      <c r="C150" s="10" t="s">
        <v>295</v>
      </c>
      <c r="D150" s="13" t="s">
        <v>73</v>
      </c>
      <c r="E150" s="208">
        <v>54000</v>
      </c>
      <c r="F150" s="11"/>
    </row>
    <row r="151" spans="1:6" ht="20.100000000000001" customHeight="1" x14ac:dyDescent="0.25">
      <c r="A151" s="25">
        <v>18</v>
      </c>
      <c r="B151" s="9" t="s">
        <v>1201</v>
      </c>
      <c r="C151" s="10" t="s">
        <v>297</v>
      </c>
      <c r="D151" s="8" t="s">
        <v>96</v>
      </c>
      <c r="E151" s="208">
        <v>54000</v>
      </c>
      <c r="F151" s="11"/>
    </row>
    <row r="152" spans="1:6" ht="20.100000000000001" customHeight="1" x14ac:dyDescent="0.25">
      <c r="A152" s="25">
        <v>19</v>
      </c>
      <c r="B152" s="9" t="s">
        <v>298</v>
      </c>
      <c r="C152" s="10" t="s">
        <v>299</v>
      </c>
      <c r="D152" s="13" t="s">
        <v>76</v>
      </c>
      <c r="E152" s="208">
        <v>54000</v>
      </c>
      <c r="F152" s="11"/>
    </row>
    <row r="153" spans="1:6" ht="20.100000000000001" customHeight="1" x14ac:dyDescent="0.25">
      <c r="A153" s="25">
        <v>20</v>
      </c>
      <c r="B153" s="9" t="s">
        <v>301</v>
      </c>
      <c r="C153" s="10" t="s">
        <v>302</v>
      </c>
      <c r="D153" s="13" t="s">
        <v>87</v>
      </c>
      <c r="E153" s="208">
        <v>54000</v>
      </c>
      <c r="F153" s="11"/>
    </row>
    <row r="154" spans="1:6" ht="20.100000000000001" customHeight="1" x14ac:dyDescent="0.25">
      <c r="A154" s="25">
        <v>21</v>
      </c>
      <c r="B154" s="9" t="s">
        <v>303</v>
      </c>
      <c r="C154" s="10" t="s">
        <v>304</v>
      </c>
      <c r="D154" s="13" t="s">
        <v>76</v>
      </c>
      <c r="E154" s="208">
        <v>54000</v>
      </c>
      <c r="F154" s="11"/>
    </row>
    <row r="155" spans="1:6" ht="20.100000000000001" customHeight="1" x14ac:dyDescent="0.25">
      <c r="A155" s="25">
        <v>22</v>
      </c>
      <c r="B155" s="9" t="s">
        <v>305</v>
      </c>
      <c r="C155" s="10" t="s">
        <v>306</v>
      </c>
      <c r="D155" s="13" t="s">
        <v>87</v>
      </c>
      <c r="E155" s="208">
        <v>54000</v>
      </c>
      <c r="F155" s="11"/>
    </row>
    <row r="156" spans="1:6" ht="20.100000000000001" customHeight="1" x14ac:dyDescent="0.25">
      <c r="A156" s="25">
        <v>23</v>
      </c>
      <c r="B156" s="16" t="s">
        <v>307</v>
      </c>
      <c r="C156" s="10" t="s">
        <v>315</v>
      </c>
      <c r="D156" s="13" t="s">
        <v>206</v>
      </c>
      <c r="E156" s="208">
        <v>54000</v>
      </c>
      <c r="F156" s="11"/>
    </row>
    <row r="157" spans="1:6" ht="20.100000000000001" customHeight="1" x14ac:dyDescent="0.25">
      <c r="A157" s="25">
        <v>24</v>
      </c>
      <c r="B157" s="16" t="s">
        <v>312</v>
      </c>
      <c r="C157" s="10" t="s">
        <v>313</v>
      </c>
      <c r="D157" s="13" t="s">
        <v>108</v>
      </c>
      <c r="E157" s="208">
        <v>54000</v>
      </c>
      <c r="F157" s="11"/>
    </row>
    <row r="158" spans="1:6" ht="20.100000000000001" customHeight="1" x14ac:dyDescent="0.25">
      <c r="A158" s="25">
        <v>25</v>
      </c>
      <c r="B158" s="16" t="s">
        <v>314</v>
      </c>
      <c r="C158" s="10" t="s">
        <v>315</v>
      </c>
      <c r="D158" s="13" t="s">
        <v>108</v>
      </c>
      <c r="E158" s="208">
        <v>54000</v>
      </c>
      <c r="F158" s="11"/>
    </row>
    <row r="159" spans="1:6" ht="20.100000000000001" customHeight="1" x14ac:dyDescent="0.25">
      <c r="A159" s="25">
        <v>26</v>
      </c>
      <c r="B159" s="16" t="s">
        <v>316</v>
      </c>
      <c r="C159" s="10" t="s">
        <v>317</v>
      </c>
      <c r="D159" s="13" t="s">
        <v>105</v>
      </c>
      <c r="E159" s="208">
        <v>54000</v>
      </c>
      <c r="F159" s="11"/>
    </row>
    <row r="160" spans="1:6" ht="20.100000000000001" customHeight="1" x14ac:dyDescent="0.25">
      <c r="A160" s="25">
        <v>27</v>
      </c>
      <c r="B160" s="16" t="s">
        <v>318</v>
      </c>
      <c r="C160" s="10" t="s">
        <v>319</v>
      </c>
      <c r="D160" s="13" t="s">
        <v>105</v>
      </c>
      <c r="E160" s="208">
        <v>54000</v>
      </c>
      <c r="F160" s="11"/>
    </row>
    <row r="161" spans="1:6" ht="20.100000000000001" customHeight="1" x14ac:dyDescent="0.25">
      <c r="A161" s="25">
        <v>28</v>
      </c>
      <c r="B161" s="9" t="s">
        <v>329</v>
      </c>
      <c r="C161" s="10" t="s">
        <v>330</v>
      </c>
      <c r="D161" s="13" t="s">
        <v>348</v>
      </c>
      <c r="E161" s="208">
        <v>36000</v>
      </c>
      <c r="F161" s="11"/>
    </row>
    <row r="162" spans="1:6" ht="20.100000000000001" customHeight="1" x14ac:dyDescent="0.25">
      <c r="A162" s="25">
        <v>29</v>
      </c>
      <c r="B162" s="9" t="s">
        <v>332</v>
      </c>
      <c r="C162" s="10" t="s">
        <v>330</v>
      </c>
      <c r="D162" s="13" t="s">
        <v>348</v>
      </c>
      <c r="E162" s="208">
        <v>36000</v>
      </c>
      <c r="F162" s="11"/>
    </row>
    <row r="163" spans="1:6" ht="20.100000000000001" customHeight="1" x14ac:dyDescent="0.25">
      <c r="A163" s="25">
        <v>30</v>
      </c>
      <c r="B163" s="9" t="s">
        <v>333</v>
      </c>
      <c r="C163" s="10" t="s">
        <v>330</v>
      </c>
      <c r="D163" s="13" t="s">
        <v>348</v>
      </c>
      <c r="E163" s="208">
        <v>36000</v>
      </c>
      <c r="F163" s="11"/>
    </row>
    <row r="164" spans="1:6" ht="20.100000000000001" customHeight="1" x14ac:dyDescent="0.25">
      <c r="A164" s="25">
        <v>32</v>
      </c>
      <c r="B164" s="9" t="s">
        <v>334</v>
      </c>
      <c r="C164" s="10" t="s">
        <v>330</v>
      </c>
      <c r="D164" s="13" t="s">
        <v>348</v>
      </c>
      <c r="E164" s="208">
        <v>36000</v>
      </c>
      <c r="F164" s="11"/>
    </row>
    <row r="165" spans="1:6" ht="20.100000000000001" customHeight="1" x14ac:dyDescent="0.25">
      <c r="A165" s="25">
        <v>33</v>
      </c>
      <c r="B165" s="9" t="s">
        <v>335</v>
      </c>
      <c r="C165" s="10" t="s">
        <v>330</v>
      </c>
      <c r="D165" s="13" t="s">
        <v>348</v>
      </c>
      <c r="E165" s="208">
        <v>36000</v>
      </c>
      <c r="F165" s="11"/>
    </row>
    <row r="166" spans="1:6" ht="20.100000000000001" customHeight="1" x14ac:dyDescent="0.25">
      <c r="A166" s="25">
        <v>34</v>
      </c>
      <c r="B166" s="9" t="s">
        <v>336</v>
      </c>
      <c r="C166" s="10" t="s">
        <v>330</v>
      </c>
      <c r="D166" s="13" t="s">
        <v>345</v>
      </c>
      <c r="E166" s="208">
        <v>36000</v>
      </c>
      <c r="F166" s="11"/>
    </row>
    <row r="167" spans="1:6" ht="20.100000000000001" customHeight="1" x14ac:dyDescent="0.25">
      <c r="A167" s="25">
        <v>35</v>
      </c>
      <c r="B167" s="9" t="s">
        <v>338</v>
      </c>
      <c r="C167" s="10" t="s">
        <v>330</v>
      </c>
      <c r="D167" s="13" t="s">
        <v>345</v>
      </c>
      <c r="E167" s="208">
        <v>36000</v>
      </c>
      <c r="F167" s="11"/>
    </row>
    <row r="168" spans="1:6" ht="20.100000000000001" customHeight="1" x14ac:dyDescent="0.25">
      <c r="A168" s="25">
        <v>36</v>
      </c>
      <c r="B168" s="12" t="s">
        <v>339</v>
      </c>
      <c r="C168" s="10" t="s">
        <v>330</v>
      </c>
      <c r="D168" s="13" t="s">
        <v>345</v>
      </c>
      <c r="E168" s="208">
        <v>36000</v>
      </c>
      <c r="F168" s="11"/>
    </row>
    <row r="169" spans="1:6" ht="20.100000000000001" customHeight="1" x14ac:dyDescent="0.25">
      <c r="A169" s="25">
        <v>37</v>
      </c>
      <c r="B169" s="9" t="s">
        <v>340</v>
      </c>
      <c r="C169" s="10" t="s">
        <v>330</v>
      </c>
      <c r="D169" s="13" t="s">
        <v>345</v>
      </c>
      <c r="E169" s="208">
        <v>36000</v>
      </c>
      <c r="F169" s="11"/>
    </row>
    <row r="170" spans="1:6" ht="20.100000000000001" customHeight="1" x14ac:dyDescent="0.25">
      <c r="A170" s="25">
        <v>38</v>
      </c>
      <c r="B170" s="16" t="s">
        <v>341</v>
      </c>
      <c r="C170" s="10" t="s">
        <v>330</v>
      </c>
      <c r="D170" s="13" t="s">
        <v>345</v>
      </c>
      <c r="E170" s="208">
        <v>36000</v>
      </c>
      <c r="F170" s="11"/>
    </row>
    <row r="171" spans="1:6" ht="20.100000000000001" customHeight="1" x14ac:dyDescent="0.25">
      <c r="A171" s="25">
        <v>39</v>
      </c>
      <c r="B171" s="16" t="s">
        <v>342</v>
      </c>
      <c r="C171" s="10" t="s">
        <v>330</v>
      </c>
      <c r="D171" s="13" t="s">
        <v>345</v>
      </c>
      <c r="E171" s="208">
        <v>36000</v>
      </c>
      <c r="F171" s="11"/>
    </row>
    <row r="172" spans="1:6" ht="20.100000000000001" customHeight="1" x14ac:dyDescent="0.25">
      <c r="A172" s="25">
        <v>40</v>
      </c>
      <c r="B172" s="9" t="s">
        <v>343</v>
      </c>
      <c r="C172" s="10" t="s">
        <v>350</v>
      </c>
      <c r="D172" s="13" t="s">
        <v>354</v>
      </c>
      <c r="E172" s="208">
        <v>36000</v>
      </c>
      <c r="F172" s="11"/>
    </row>
    <row r="173" spans="1:6" ht="20.100000000000001" customHeight="1" x14ac:dyDescent="0.25">
      <c r="A173" s="25">
        <v>41</v>
      </c>
      <c r="B173" s="9" t="s">
        <v>346</v>
      </c>
      <c r="C173" s="10" t="s">
        <v>350</v>
      </c>
      <c r="D173" s="13" t="s">
        <v>354</v>
      </c>
      <c r="E173" s="208">
        <v>36000</v>
      </c>
      <c r="F173" s="11"/>
    </row>
    <row r="174" spans="1:6" ht="20.100000000000001" customHeight="1" x14ac:dyDescent="0.25">
      <c r="A174" s="25">
        <v>42</v>
      </c>
      <c r="B174" s="16" t="s">
        <v>347</v>
      </c>
      <c r="C174" s="10" t="s">
        <v>350</v>
      </c>
      <c r="D174" s="13" t="s">
        <v>1197</v>
      </c>
      <c r="E174" s="208">
        <v>36000</v>
      </c>
      <c r="F174" s="11"/>
    </row>
    <row r="175" spans="1:6" ht="20.100000000000001" customHeight="1" x14ac:dyDescent="0.25">
      <c r="A175" s="25">
        <v>43</v>
      </c>
      <c r="B175" s="9" t="s">
        <v>349</v>
      </c>
      <c r="C175" s="10" t="s">
        <v>350</v>
      </c>
      <c r="D175" s="13" t="s">
        <v>1202</v>
      </c>
      <c r="E175" s="208">
        <v>36000</v>
      </c>
      <c r="F175" s="11"/>
    </row>
    <row r="176" spans="1:6" ht="20.100000000000001" customHeight="1" x14ac:dyDescent="0.25">
      <c r="A176" s="25">
        <v>44</v>
      </c>
      <c r="B176" s="9" t="s">
        <v>352</v>
      </c>
      <c r="C176" s="10" t="s">
        <v>353</v>
      </c>
      <c r="D176" s="13" t="s">
        <v>1203</v>
      </c>
      <c r="E176" s="208">
        <v>36000</v>
      </c>
      <c r="F176" s="11"/>
    </row>
    <row r="177" spans="1:6" ht="20.100000000000001" customHeight="1" x14ac:dyDescent="0.25">
      <c r="A177" s="25">
        <v>45</v>
      </c>
      <c r="B177" s="9" t="s">
        <v>355</v>
      </c>
      <c r="C177" s="10" t="s">
        <v>353</v>
      </c>
      <c r="D177" s="13" t="s">
        <v>1203</v>
      </c>
      <c r="E177" s="208">
        <v>36000</v>
      </c>
      <c r="F177" s="11"/>
    </row>
    <row r="178" spans="1:6" ht="20.100000000000001" customHeight="1" x14ac:dyDescent="0.25">
      <c r="A178" s="25">
        <v>46</v>
      </c>
      <c r="B178" s="9" t="s">
        <v>356</v>
      </c>
      <c r="C178" s="10" t="s">
        <v>353</v>
      </c>
      <c r="D178" s="13" t="s">
        <v>1203</v>
      </c>
      <c r="E178" s="208">
        <v>36000</v>
      </c>
      <c r="F178" s="11"/>
    </row>
    <row r="179" spans="1:6" ht="20.100000000000001" customHeight="1" x14ac:dyDescent="0.25">
      <c r="A179" s="25">
        <v>47</v>
      </c>
      <c r="B179" s="9" t="s">
        <v>357</v>
      </c>
      <c r="C179" s="10" t="s">
        <v>353</v>
      </c>
      <c r="D179" s="13" t="s">
        <v>1203</v>
      </c>
      <c r="E179" s="208">
        <v>36000</v>
      </c>
      <c r="F179" s="11"/>
    </row>
    <row r="180" spans="1:6" ht="20.100000000000001" customHeight="1" x14ac:dyDescent="0.25">
      <c r="A180" s="25">
        <v>48</v>
      </c>
      <c r="B180" s="9" t="s">
        <v>358</v>
      </c>
      <c r="C180" s="10" t="s">
        <v>353</v>
      </c>
      <c r="D180" s="13" t="s">
        <v>1203</v>
      </c>
      <c r="E180" s="208">
        <v>36000</v>
      </c>
      <c r="F180" s="11"/>
    </row>
    <row r="181" spans="1:6" ht="20.100000000000001" customHeight="1" x14ac:dyDescent="0.25">
      <c r="A181" s="25">
        <v>49</v>
      </c>
      <c r="B181" s="16" t="s">
        <v>359</v>
      </c>
      <c r="C181" s="10" t="s">
        <v>353</v>
      </c>
      <c r="D181" s="13" t="s">
        <v>1203</v>
      </c>
      <c r="E181" s="208">
        <v>36000</v>
      </c>
      <c r="F181" s="11"/>
    </row>
    <row r="182" spans="1:6" ht="20.100000000000001" customHeight="1" x14ac:dyDescent="0.25">
      <c r="A182" s="25">
        <v>50</v>
      </c>
      <c r="B182" s="16" t="s">
        <v>360</v>
      </c>
      <c r="C182" s="10" t="s">
        <v>353</v>
      </c>
      <c r="D182" s="13" t="s">
        <v>1203</v>
      </c>
      <c r="E182" s="208">
        <v>36000</v>
      </c>
      <c r="F182" s="11"/>
    </row>
    <row r="183" spans="1:6" ht="20.100000000000001" customHeight="1" x14ac:dyDescent="0.25">
      <c r="A183" s="25">
        <v>51</v>
      </c>
      <c r="B183" s="9" t="s">
        <v>493</v>
      </c>
      <c r="C183" s="10" t="s">
        <v>350</v>
      </c>
      <c r="D183" s="13" t="s">
        <v>1203</v>
      </c>
      <c r="E183" s="208">
        <v>36000</v>
      </c>
      <c r="F183" s="11"/>
    </row>
    <row r="184" spans="1:6" ht="20.100000000000001" customHeight="1" x14ac:dyDescent="0.25">
      <c r="A184" s="25">
        <v>52</v>
      </c>
      <c r="B184" s="9" t="s">
        <v>361</v>
      </c>
      <c r="C184" s="10" t="s">
        <v>350</v>
      </c>
      <c r="D184" s="13" t="s">
        <v>1203</v>
      </c>
      <c r="E184" s="208">
        <v>36000</v>
      </c>
      <c r="F184" s="11"/>
    </row>
    <row r="185" spans="1:6" ht="20.100000000000001" customHeight="1" x14ac:dyDescent="0.25">
      <c r="A185" s="25">
        <v>53</v>
      </c>
      <c r="B185" s="16" t="s">
        <v>362</v>
      </c>
      <c r="C185" s="10" t="s">
        <v>353</v>
      </c>
      <c r="D185" s="13" t="s">
        <v>1219</v>
      </c>
      <c r="E185" s="208">
        <v>36000</v>
      </c>
      <c r="F185" s="11"/>
    </row>
    <row r="186" spans="1:6" ht="20.100000000000001" customHeight="1" x14ac:dyDescent="0.25">
      <c r="A186" s="25">
        <v>54</v>
      </c>
      <c r="B186" s="16" t="s">
        <v>367</v>
      </c>
      <c r="C186" s="10" t="s">
        <v>353</v>
      </c>
      <c r="D186" s="13" t="s">
        <v>371</v>
      </c>
      <c r="E186" s="208">
        <v>36000</v>
      </c>
      <c r="F186" s="11"/>
    </row>
    <row r="187" spans="1:6" ht="20.100000000000001" customHeight="1" x14ac:dyDescent="0.25">
      <c r="A187" s="25"/>
      <c r="B187" s="6" t="s">
        <v>111</v>
      </c>
      <c r="C187" s="26" t="s">
        <v>1368</v>
      </c>
      <c r="D187" s="27"/>
      <c r="E187" s="217">
        <v>2970000</v>
      </c>
      <c r="F187" s="11"/>
    </row>
    <row r="188" spans="1:6" ht="9" customHeight="1" x14ac:dyDescent="0.25">
      <c r="A188" s="25"/>
      <c r="B188" s="6"/>
      <c r="C188" s="26"/>
      <c r="D188" s="27"/>
      <c r="E188" s="217"/>
      <c r="F188" s="11"/>
    </row>
    <row r="189" spans="1:6" ht="40.5" customHeight="1" x14ac:dyDescent="0.25">
      <c r="A189" s="2"/>
      <c r="B189" s="218" t="s">
        <v>379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 x14ac:dyDescent="0.2">
      <c r="B190" s="31"/>
      <c r="D190" s="32"/>
      <c r="E190" s="32"/>
      <c r="F190" s="33"/>
    </row>
    <row r="191" spans="1:6" ht="65.25" customHeight="1" x14ac:dyDescent="0.2">
      <c r="B191" s="31"/>
      <c r="C191" s="32"/>
      <c r="D191" s="32"/>
      <c r="E191" s="32"/>
      <c r="F191" s="222"/>
    </row>
    <row r="192" spans="1:6" ht="20.100000000000001" customHeight="1" x14ac:dyDescent="0.2">
      <c r="F192" s="222"/>
    </row>
    <row r="193" spans="6:6" ht="20.100000000000001" customHeight="1" x14ac:dyDescent="0.2">
      <c r="F193" s="222"/>
    </row>
    <row r="194" spans="6:6" ht="20.100000000000001" customHeight="1" x14ac:dyDescent="0.2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"/>
  <sheetViews>
    <sheetView workbookViewId="0"/>
  </sheetViews>
  <sheetFormatPr defaultColWidth="9.03515625" defaultRowHeight="12.75" x14ac:dyDescent="0.1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191"/>
  <sheetViews>
    <sheetView view="pageBreakPreview" zoomScaleNormal="100" workbookViewId="0">
      <pane xSplit="3" ySplit="6" topLeftCell="D28" activePane="bottomRight" state="frozen"/>
      <selection pane="bottomLeft"/>
      <selection pane="topRight"/>
      <selection pane="bottomRight" activeCell="E49" sqref="E49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1.59375" style="1" customWidth="1"/>
    <col min="5" max="5" width="17.6640625" style="1" customWidth="1"/>
    <col min="6" max="6" width="20.359375" style="1" customWidth="1"/>
    <col min="7" max="7" width="19.55078125" style="1" customWidth="1"/>
    <col min="8" max="8" width="20.08984375" style="1" customWidth="1"/>
    <col min="9" max="9" width="21.7109375" style="1" customWidth="1"/>
    <col min="10" max="16384" width="9.16796875" style="1"/>
  </cols>
  <sheetData>
    <row r="1" spans="1:9" ht="27" customHeight="1" x14ac:dyDescent="0.3">
      <c r="A1" s="936" t="s">
        <v>0</v>
      </c>
      <c r="B1" s="936"/>
      <c r="C1" s="936"/>
      <c r="D1" s="936"/>
    </row>
    <row r="2" spans="1:9" ht="33.75" customHeight="1" x14ac:dyDescent="0.3">
      <c r="A2" s="61" t="s">
        <v>1370</v>
      </c>
      <c r="B2" s="62"/>
      <c r="C2" s="61"/>
      <c r="D2" s="61"/>
      <c r="E2" s="63"/>
      <c r="F2" s="63"/>
      <c r="G2" s="63"/>
    </row>
    <row r="3" spans="1:9" ht="9.75" customHeight="1" x14ac:dyDescent="0.2"/>
    <row r="4" spans="1:9" ht="45" customHeight="1" x14ac:dyDescent="0.2">
      <c r="A4" s="2"/>
      <c r="B4" s="3" t="s">
        <v>2</v>
      </c>
      <c r="C4" s="4" t="s">
        <v>3</v>
      </c>
      <c r="D4" s="5" t="s">
        <v>4</v>
      </c>
      <c r="E4" s="22" t="s">
        <v>776</v>
      </c>
      <c r="F4" s="22" t="s">
        <v>706</v>
      </c>
      <c r="G4" s="65" t="s">
        <v>1371</v>
      </c>
    </row>
    <row r="5" spans="1:9" ht="20.100000000000001" customHeight="1" x14ac:dyDescent="0.2">
      <c r="A5" s="7" t="s">
        <v>21</v>
      </c>
      <c r="B5" s="6" t="s">
        <v>22</v>
      </c>
      <c r="C5" s="6"/>
      <c r="D5" s="6"/>
      <c r="E5" s="67" t="s">
        <v>20</v>
      </c>
      <c r="F5" s="196" t="s">
        <v>20</v>
      </c>
      <c r="G5" s="67" t="s">
        <v>20</v>
      </c>
    </row>
    <row r="6" spans="1:9" ht="20.100000000000001" customHeight="1" x14ac:dyDescent="0.2">
      <c r="A6" s="8">
        <v>1</v>
      </c>
      <c r="B6" s="9" t="s">
        <v>23</v>
      </c>
      <c r="C6" s="10" t="s">
        <v>24</v>
      </c>
      <c r="D6" s="10" t="s">
        <v>25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 x14ac:dyDescent="0.2">
      <c r="A7" s="8">
        <v>2</v>
      </c>
      <c r="B7" s="9" t="s">
        <v>1261</v>
      </c>
      <c r="C7" s="2" t="s">
        <v>1350</v>
      </c>
      <c r="D7" s="8" t="s">
        <v>154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 x14ac:dyDescent="0.2">
      <c r="A8" s="8">
        <v>3</v>
      </c>
      <c r="B8" s="12" t="s">
        <v>1351</v>
      </c>
      <c r="C8" s="2" t="s">
        <v>1352</v>
      </c>
      <c r="D8" s="8" t="s">
        <v>154</v>
      </c>
      <c r="E8" s="70">
        <f>116473.51</f>
        <v>116473.51</v>
      </c>
      <c r="F8" s="197">
        <v>119107.951418667</v>
      </c>
      <c r="G8" s="70">
        <f t="shared" ref="G8:G36" si="0">F8-E8</f>
        <v>2634.4414186670001</v>
      </c>
      <c r="H8" s="11"/>
      <c r="I8" s="11"/>
    </row>
    <row r="9" spans="1:9" ht="20.100000000000001" customHeight="1" x14ac:dyDescent="0.2">
      <c r="A9" s="8">
        <v>4</v>
      </c>
      <c r="B9" s="9" t="s">
        <v>26</v>
      </c>
      <c r="C9" s="10" t="s">
        <v>27</v>
      </c>
      <c r="D9" s="8" t="s">
        <v>28</v>
      </c>
      <c r="E9" s="70">
        <f>79993.51</f>
        <v>79993.509999999995</v>
      </c>
      <c r="F9" s="197">
        <v>82627.951418666693</v>
      </c>
      <c r="G9" s="70">
        <f t="shared" si="0"/>
        <v>2634.4414186667</v>
      </c>
      <c r="H9" s="11"/>
      <c r="I9" s="11"/>
    </row>
    <row r="10" spans="1:9" ht="20.100000000000001" customHeight="1" x14ac:dyDescent="0.2">
      <c r="A10" s="8">
        <v>5</v>
      </c>
      <c r="B10" s="12" t="s">
        <v>29</v>
      </c>
      <c r="C10" s="2" t="s">
        <v>30</v>
      </c>
      <c r="D10" s="13" t="s">
        <v>35</v>
      </c>
      <c r="E10" s="70">
        <f>107095.69</f>
        <v>107095.69</v>
      </c>
      <c r="F10" s="197">
        <v>109730.053370667</v>
      </c>
      <c r="G10" s="70">
        <f t="shared" si="0"/>
        <v>2634.3633706669898</v>
      </c>
      <c r="H10" s="11"/>
      <c r="I10" s="11"/>
    </row>
    <row r="11" spans="1:9" ht="20.100000000000001" customHeight="1" x14ac:dyDescent="0.2">
      <c r="A11" s="8">
        <v>6</v>
      </c>
      <c r="B11" s="12" t="s">
        <v>208</v>
      </c>
      <c r="C11" s="2" t="s">
        <v>1263</v>
      </c>
      <c r="D11" s="14" t="s">
        <v>35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 x14ac:dyDescent="0.2">
      <c r="A12" s="8">
        <v>7</v>
      </c>
      <c r="B12" s="9" t="s">
        <v>31</v>
      </c>
      <c r="C12" s="15" t="s">
        <v>32</v>
      </c>
      <c r="D12" s="14" t="s">
        <v>35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 x14ac:dyDescent="0.2">
      <c r="A13" s="8">
        <v>8</v>
      </c>
      <c r="B13" s="12" t="s">
        <v>271</v>
      </c>
      <c r="C13" s="2" t="s">
        <v>529</v>
      </c>
      <c r="D13" s="14" t="s">
        <v>35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 x14ac:dyDescent="0.2">
      <c r="A14" s="8">
        <v>9</v>
      </c>
      <c r="B14" s="9" t="s">
        <v>33</v>
      </c>
      <c r="C14" s="10" t="s">
        <v>532</v>
      </c>
      <c r="D14" s="13" t="s">
        <v>131</v>
      </c>
      <c r="E14" s="70">
        <f>64436.1</f>
        <v>64436.1</v>
      </c>
      <c r="F14" s="197">
        <v>64436.103146666697</v>
      </c>
      <c r="G14" s="70">
        <f t="shared" si="0"/>
        <v>3.14666669873986E-3</v>
      </c>
      <c r="H14" s="11"/>
      <c r="I14" s="11"/>
    </row>
    <row r="15" spans="1:9" ht="20.100000000000001" customHeight="1" x14ac:dyDescent="0.2">
      <c r="A15" s="8">
        <v>10</v>
      </c>
      <c r="B15" s="16" t="s">
        <v>550</v>
      </c>
      <c r="C15" s="10" t="s">
        <v>551</v>
      </c>
      <c r="D15" s="8" t="s">
        <v>549</v>
      </c>
      <c r="E15" s="70">
        <f>60212.92</f>
        <v>60212.92</v>
      </c>
      <c r="F15" s="197">
        <v>62404.980266666702</v>
      </c>
      <c r="G15" s="70">
        <f t="shared" si="0"/>
        <v>2192.0602666667</v>
      </c>
      <c r="H15" s="11"/>
      <c r="I15" s="11"/>
    </row>
    <row r="16" spans="1:9" ht="20.100000000000001" customHeight="1" x14ac:dyDescent="0.2">
      <c r="A16" s="8">
        <v>11</v>
      </c>
      <c r="B16" s="17" t="s">
        <v>1353</v>
      </c>
      <c r="C16" s="2" t="s">
        <v>1354</v>
      </c>
      <c r="D16" s="14" t="s">
        <v>176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 x14ac:dyDescent="0.2">
      <c r="A17" s="8">
        <v>12</v>
      </c>
      <c r="B17" s="12" t="s">
        <v>1264</v>
      </c>
      <c r="C17" s="2" t="s">
        <v>40</v>
      </c>
      <c r="D17" s="8" t="s">
        <v>176</v>
      </c>
      <c r="E17" s="70">
        <f>43380</f>
        <v>43380</v>
      </c>
      <c r="F17" s="197">
        <v>44734.339388666704</v>
      </c>
      <c r="G17" s="70">
        <f t="shared" si="0"/>
        <v>1354.3393886667</v>
      </c>
      <c r="H17" s="11"/>
      <c r="I17" s="11"/>
    </row>
    <row r="18" spans="1:9" ht="19.5" customHeight="1" x14ac:dyDescent="0.2">
      <c r="A18" s="8">
        <v>13</v>
      </c>
      <c r="B18" s="12" t="s">
        <v>1355</v>
      </c>
      <c r="C18" s="2" t="s">
        <v>1356</v>
      </c>
      <c r="D18" s="8" t="s">
        <v>176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 x14ac:dyDescent="0.2">
      <c r="A19" s="8">
        <v>14</v>
      </c>
      <c r="B19" s="9" t="s">
        <v>39</v>
      </c>
      <c r="C19" s="2" t="s">
        <v>40</v>
      </c>
      <c r="D19" s="13" t="s">
        <v>176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 x14ac:dyDescent="0.2">
      <c r="A20" s="8">
        <v>15</v>
      </c>
      <c r="B20" s="9" t="s">
        <v>50</v>
      </c>
      <c r="C20" s="10" t="s">
        <v>51</v>
      </c>
      <c r="D20" s="13" t="s">
        <v>1199</v>
      </c>
      <c r="E20" s="70">
        <f>46673.26</f>
        <v>46673.26</v>
      </c>
      <c r="F20" s="197">
        <v>46666.666666666701</v>
      </c>
      <c r="G20" s="70">
        <f t="shared" si="0"/>
        <v>-6.5933333333014197</v>
      </c>
      <c r="H20" s="11"/>
      <c r="I20" s="11"/>
    </row>
    <row r="21" spans="1:9" ht="20.100000000000001" customHeight="1" x14ac:dyDescent="0.2">
      <c r="A21" s="8">
        <v>16</v>
      </c>
      <c r="B21" s="16" t="s">
        <v>53</v>
      </c>
      <c r="C21" s="2" t="s">
        <v>54</v>
      </c>
      <c r="D21" s="13" t="s">
        <v>58</v>
      </c>
      <c r="E21" s="70">
        <f>63364.81</f>
        <v>63364.81</v>
      </c>
      <c r="F21" s="197">
        <v>64913.263658666699</v>
      </c>
      <c r="G21" s="70">
        <f t="shared" si="0"/>
        <v>1548.4536586667</v>
      </c>
      <c r="H21" s="11"/>
      <c r="I21" s="11"/>
    </row>
    <row r="22" spans="1:9" ht="20.100000000000001" customHeight="1" x14ac:dyDescent="0.2">
      <c r="A22" s="8">
        <v>17</v>
      </c>
      <c r="B22" s="9" t="s">
        <v>177</v>
      </c>
      <c r="C22" s="10" t="s">
        <v>555</v>
      </c>
      <c r="D22" s="13" t="s">
        <v>162</v>
      </c>
      <c r="E22" s="70">
        <f>31848.56</f>
        <v>31848.560000000001</v>
      </c>
      <c r="F22" s="197">
        <v>34871.967414666702</v>
      </c>
      <c r="G22" s="70">
        <f t="shared" si="0"/>
        <v>3023.4074146666999</v>
      </c>
      <c r="H22" s="11"/>
      <c r="I22" s="11"/>
    </row>
    <row r="23" spans="1:9" ht="18.75" customHeight="1" x14ac:dyDescent="0.2">
      <c r="A23" s="8">
        <v>18</v>
      </c>
      <c r="B23" s="9" t="s">
        <v>63</v>
      </c>
      <c r="C23" s="10" t="s">
        <v>64</v>
      </c>
      <c r="D23" s="13" t="s">
        <v>68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 x14ac:dyDescent="0.2">
      <c r="A24" s="8">
        <v>19</v>
      </c>
      <c r="B24" s="9" t="s">
        <v>236</v>
      </c>
      <c r="C24" s="2" t="s">
        <v>237</v>
      </c>
      <c r="D24" s="13" t="s">
        <v>68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 x14ac:dyDescent="0.2">
      <c r="A25" s="8">
        <v>20</v>
      </c>
      <c r="B25" s="16" t="s">
        <v>288</v>
      </c>
      <c r="C25" s="2" t="s">
        <v>1372</v>
      </c>
      <c r="D25" s="13" t="s">
        <v>300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 x14ac:dyDescent="0.2">
      <c r="A26" s="8">
        <v>21</v>
      </c>
      <c r="B26" s="16" t="s">
        <v>1357</v>
      </c>
      <c r="C26" s="10" t="s">
        <v>101</v>
      </c>
      <c r="D26" s="13" t="s">
        <v>119</v>
      </c>
      <c r="E26" s="186">
        <f>26339.08</f>
        <v>26339.08</v>
      </c>
      <c r="F26" s="197">
        <v>27105.986562666702</v>
      </c>
      <c r="G26" s="70">
        <f t="shared" si="0"/>
        <v>766.90656266669998</v>
      </c>
      <c r="H26" s="11"/>
      <c r="I26" s="11"/>
    </row>
    <row r="27" spans="1:9" ht="18.75" customHeight="1" x14ac:dyDescent="0.2">
      <c r="A27" s="8">
        <v>22</v>
      </c>
      <c r="B27" s="2" t="s">
        <v>77</v>
      </c>
      <c r="C27" s="2" t="s">
        <v>78</v>
      </c>
      <c r="D27" s="8" t="s">
        <v>87</v>
      </c>
      <c r="E27" s="70">
        <v>21640.95</v>
      </c>
      <c r="F27" s="197">
        <v>21640.952862666702</v>
      </c>
      <c r="G27" s="70">
        <f t="shared" si="0"/>
        <v>2.8626667008211401E-3</v>
      </c>
      <c r="H27" s="11"/>
      <c r="I27" s="11"/>
    </row>
    <row r="28" spans="1:9" ht="18.75" customHeight="1" x14ac:dyDescent="0.2">
      <c r="A28" s="8">
        <v>23</v>
      </c>
      <c r="B28" s="16" t="s">
        <v>80</v>
      </c>
      <c r="C28" s="10" t="s">
        <v>78</v>
      </c>
      <c r="D28" s="13" t="s">
        <v>87</v>
      </c>
      <c r="E28" s="70">
        <f>21640.95</f>
        <v>21640.95</v>
      </c>
      <c r="F28" s="197">
        <v>22338.4826046667</v>
      </c>
      <c r="G28" s="70">
        <f t="shared" si="0"/>
        <v>697.53260466669997</v>
      </c>
      <c r="H28" s="11"/>
      <c r="I28" s="11"/>
    </row>
    <row r="29" spans="1:9" ht="18.75" customHeight="1" x14ac:dyDescent="0.2">
      <c r="A29" s="8">
        <v>24</v>
      </c>
      <c r="B29" s="9" t="s">
        <v>1265</v>
      </c>
      <c r="C29" s="10" t="s">
        <v>1266</v>
      </c>
      <c r="D29" s="13" t="s">
        <v>87</v>
      </c>
      <c r="E29" s="70">
        <v>21640.95</v>
      </c>
      <c r="F29" s="197">
        <v>22338.4826046667</v>
      </c>
      <c r="G29" s="70">
        <f t="shared" si="0"/>
        <v>697.53260466669997</v>
      </c>
      <c r="H29" s="11"/>
      <c r="I29" s="11"/>
    </row>
    <row r="30" spans="1:9" ht="18.75" customHeight="1" x14ac:dyDescent="0.2">
      <c r="A30" s="8">
        <v>25</v>
      </c>
      <c r="B30" s="16" t="s">
        <v>82</v>
      </c>
      <c r="C30" s="10" t="s">
        <v>1213</v>
      </c>
      <c r="D30" s="13" t="s">
        <v>1373</v>
      </c>
      <c r="E30" s="70">
        <f>17572.89</f>
        <v>17572.89</v>
      </c>
      <c r="F30" s="197">
        <v>18102.902732666698</v>
      </c>
      <c r="G30" s="70">
        <f t="shared" si="0"/>
        <v>530.01273266669898</v>
      </c>
      <c r="H30" s="11"/>
      <c r="I30" s="11"/>
    </row>
    <row r="31" spans="1:9" ht="18.75" customHeight="1" x14ac:dyDescent="0.2">
      <c r="A31" s="8">
        <v>26</v>
      </c>
      <c r="B31" s="9" t="s">
        <v>219</v>
      </c>
      <c r="C31" s="15" t="s">
        <v>1374</v>
      </c>
      <c r="D31" s="13" t="s">
        <v>206</v>
      </c>
      <c r="E31" s="186">
        <f>17572.89</f>
        <v>17572.89</v>
      </c>
      <c r="F31" s="197">
        <v>18102.902732666698</v>
      </c>
      <c r="G31" s="70">
        <f t="shared" si="0"/>
        <v>530.01273266669898</v>
      </c>
      <c r="H31" s="11"/>
      <c r="I31" s="11"/>
    </row>
    <row r="32" spans="1:9" ht="18.75" customHeight="1" x14ac:dyDescent="0.2">
      <c r="A32" s="8">
        <v>27</v>
      </c>
      <c r="B32" s="16" t="s">
        <v>85</v>
      </c>
      <c r="C32" s="2" t="s">
        <v>1267</v>
      </c>
      <c r="D32" s="8" t="s">
        <v>206</v>
      </c>
      <c r="E32" s="70">
        <f>17572.89</f>
        <v>17572.89</v>
      </c>
      <c r="F32" s="197">
        <v>18102.902732666698</v>
      </c>
      <c r="G32" s="70">
        <f t="shared" si="0"/>
        <v>530.01273266669898</v>
      </c>
      <c r="H32" s="11"/>
      <c r="I32" s="11"/>
    </row>
    <row r="33" spans="1:9" ht="18.75" customHeight="1" x14ac:dyDescent="0.2">
      <c r="A33" s="8">
        <v>28</v>
      </c>
      <c r="B33" s="16" t="s">
        <v>89</v>
      </c>
      <c r="C33" s="15" t="s">
        <v>90</v>
      </c>
      <c r="D33" s="13" t="s">
        <v>87</v>
      </c>
      <c r="E33" s="186">
        <v>21640.95</v>
      </c>
      <c r="F33" s="197">
        <v>22338.4826046667</v>
      </c>
      <c r="G33" s="70">
        <f t="shared" si="0"/>
        <v>697.53260466669997</v>
      </c>
      <c r="H33" s="11"/>
      <c r="I33" s="11"/>
    </row>
    <row r="34" spans="1:9" ht="18.75" customHeight="1" x14ac:dyDescent="0.2">
      <c r="A34" s="8">
        <v>29</v>
      </c>
      <c r="B34" s="16" t="s">
        <v>92</v>
      </c>
      <c r="C34" s="2" t="s">
        <v>1375</v>
      </c>
      <c r="D34" s="8" t="s">
        <v>105</v>
      </c>
      <c r="E34" s="70">
        <f>16512.68</f>
        <v>16512.68</v>
      </c>
      <c r="F34" s="197">
        <v>17042.713866666702</v>
      </c>
      <c r="G34" s="70">
        <f t="shared" si="0"/>
        <v>530.03386666670099</v>
      </c>
      <c r="H34" s="11"/>
      <c r="I34" s="11"/>
    </row>
    <row r="35" spans="1:9" ht="18.75" customHeight="1" x14ac:dyDescent="0.2">
      <c r="A35" s="8">
        <v>30</v>
      </c>
      <c r="B35" s="16" t="s">
        <v>1191</v>
      </c>
      <c r="C35" s="10" t="s">
        <v>101</v>
      </c>
      <c r="D35" s="13" t="s">
        <v>105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530.18586666669898</v>
      </c>
      <c r="H35" s="11"/>
      <c r="I35" s="11"/>
    </row>
    <row r="36" spans="1:9" ht="18.75" customHeight="1" x14ac:dyDescent="0.2">
      <c r="A36" s="8">
        <v>31</v>
      </c>
      <c r="B36" s="16" t="s">
        <v>1358</v>
      </c>
      <c r="C36" s="10" t="s">
        <v>101</v>
      </c>
      <c r="D36" s="13" t="s">
        <v>105</v>
      </c>
      <c r="E36" s="70">
        <f t="shared" si="1"/>
        <v>16512.68</v>
      </c>
      <c r="F36" s="197">
        <v>17043.017866666702</v>
      </c>
      <c r="G36" s="70">
        <f t="shared" si="0"/>
        <v>530.33786666670096</v>
      </c>
      <c r="H36" s="11"/>
      <c r="I36" s="11"/>
    </row>
    <row r="37" spans="1:9" ht="26.25" customHeight="1" x14ac:dyDescent="0.2">
      <c r="A37" s="8"/>
      <c r="B37" s="18" t="s">
        <v>111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 x14ac:dyDescent="0.2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 x14ac:dyDescent="0.2">
      <c r="A39" s="8"/>
      <c r="B39" s="18" t="s">
        <v>112</v>
      </c>
      <c r="C39" s="2"/>
      <c r="D39" s="13"/>
      <c r="E39" s="70"/>
      <c r="F39" s="197"/>
      <c r="G39" s="70"/>
      <c r="H39" s="11"/>
      <c r="I39" s="11"/>
    </row>
    <row r="40" spans="1:9" ht="18.75" customHeight="1" x14ac:dyDescent="0.2">
      <c r="A40" s="8">
        <v>1</v>
      </c>
      <c r="B40" s="16" t="s">
        <v>113</v>
      </c>
      <c r="C40" s="2" t="s">
        <v>114</v>
      </c>
      <c r="D40" s="8" t="s">
        <v>115</v>
      </c>
      <c r="E40" s="70">
        <f>156349.82</f>
        <v>156349.82</v>
      </c>
      <c r="F40" s="197">
        <v>161106.806858667</v>
      </c>
      <c r="G40" s="70">
        <f>F40-E40</f>
        <v>4756.98685866699</v>
      </c>
      <c r="H40" s="11"/>
      <c r="I40" s="11"/>
    </row>
    <row r="41" spans="1:9" ht="18.75" customHeight="1" x14ac:dyDescent="0.2">
      <c r="A41" s="8">
        <v>2</v>
      </c>
      <c r="B41" s="16" t="s">
        <v>116</v>
      </c>
      <c r="C41" s="2" t="s">
        <v>799</v>
      </c>
      <c r="D41" s="8" t="s">
        <v>108</v>
      </c>
      <c r="E41" s="70">
        <f>16512.68</f>
        <v>16512.68</v>
      </c>
      <c r="F41" s="197">
        <v>16512.682190666699</v>
      </c>
      <c r="G41" s="70">
        <f>F41-E41</f>
        <v>2.1906666988797999E-3</v>
      </c>
      <c r="H41" s="11"/>
      <c r="I41" s="11"/>
    </row>
    <row r="42" spans="1:9" ht="19.5" customHeight="1" x14ac:dyDescent="0.2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177619.48904933399</v>
      </c>
      <c r="G42" s="198">
        <f>SUM(G40:G41)</f>
        <v>4756.9890493336898</v>
      </c>
      <c r="H42" s="11"/>
      <c r="I42" s="11"/>
    </row>
    <row r="43" spans="1:9" ht="20.100000000000001" customHeight="1" x14ac:dyDescent="0.2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 x14ac:dyDescent="0.2">
      <c r="A44" s="8"/>
      <c r="B44" s="21" t="s">
        <v>125</v>
      </c>
      <c r="C44" s="3"/>
      <c r="D44" s="22"/>
      <c r="E44" s="70"/>
      <c r="F44" s="197"/>
      <c r="G44" s="70"/>
      <c r="H44" s="11"/>
      <c r="I44" s="11"/>
    </row>
    <row r="45" spans="1:9" ht="20.100000000000001" customHeight="1" x14ac:dyDescent="0.2">
      <c r="A45" s="8">
        <v>1</v>
      </c>
      <c r="B45" s="9" t="s">
        <v>536</v>
      </c>
      <c r="C45" s="2" t="s">
        <v>537</v>
      </c>
      <c r="D45" s="8" t="s">
        <v>115</v>
      </c>
      <c r="E45" s="70">
        <f>180306.81</f>
        <v>180306.81</v>
      </c>
      <c r="F45" s="197">
        <v>180306.806858667</v>
      </c>
      <c r="G45" s="70">
        <f>F45-E45</f>
        <v>-3.1413329998031302E-3</v>
      </c>
      <c r="H45" s="11"/>
      <c r="I45" s="11"/>
    </row>
    <row r="46" spans="1:9" ht="20.100000000000001" customHeight="1" x14ac:dyDescent="0.2">
      <c r="A46" s="8">
        <v>2</v>
      </c>
      <c r="B46" s="9" t="s">
        <v>538</v>
      </c>
      <c r="C46" s="2" t="s">
        <v>43</v>
      </c>
      <c r="D46" s="8" t="s">
        <v>131</v>
      </c>
      <c r="E46" s="70">
        <f>79956.94</f>
        <v>79956.94</v>
      </c>
      <c r="F46" s="197">
        <v>79956.9391466667</v>
      </c>
      <c r="G46" s="70">
        <f t="shared" ref="G46:G56" si="5">F46-E46</f>
        <v>-8.53333302075043E-4</v>
      </c>
      <c r="H46" s="11"/>
      <c r="I46" s="11"/>
    </row>
    <row r="47" spans="1:9" ht="20.100000000000001" customHeight="1" x14ac:dyDescent="0.2">
      <c r="A47" s="8">
        <v>3</v>
      </c>
      <c r="B47" s="9" t="s">
        <v>126</v>
      </c>
      <c r="C47" s="2" t="s">
        <v>130</v>
      </c>
      <c r="D47" s="8" t="s">
        <v>131</v>
      </c>
      <c r="E47" s="70">
        <f>79956.94</f>
        <v>79956.94</v>
      </c>
      <c r="F47" s="197">
        <v>79956.9391466667</v>
      </c>
      <c r="G47" s="70">
        <f t="shared" si="5"/>
        <v>-8.53333302075043E-4</v>
      </c>
      <c r="H47" s="11"/>
      <c r="I47" s="11"/>
    </row>
    <row r="48" spans="1:9" ht="20.100000000000001" customHeight="1" x14ac:dyDescent="0.2">
      <c r="A48" s="8">
        <v>4</v>
      </c>
      <c r="B48" s="9" t="s">
        <v>129</v>
      </c>
      <c r="C48" s="2" t="s">
        <v>130</v>
      </c>
      <c r="D48" s="8" t="s">
        <v>131</v>
      </c>
      <c r="E48" s="70">
        <f>77764.98</f>
        <v>77764.98</v>
      </c>
      <c r="F48" s="197">
        <v>79956.9391466667</v>
      </c>
      <c r="G48" s="70">
        <f t="shared" si="5"/>
        <v>2191.9591466666998</v>
      </c>
      <c r="H48" s="11"/>
      <c r="I48" s="11"/>
    </row>
    <row r="49" spans="1:9" ht="20.100000000000001" customHeight="1" x14ac:dyDescent="0.2">
      <c r="A49" s="8">
        <v>5</v>
      </c>
      <c r="B49" s="9" t="s">
        <v>132</v>
      </c>
      <c r="C49" s="2" t="s">
        <v>130</v>
      </c>
      <c r="D49" s="8" t="s">
        <v>38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 x14ac:dyDescent="0.2">
      <c r="A50" s="8">
        <v>6</v>
      </c>
      <c r="B50" s="9" t="s">
        <v>133</v>
      </c>
      <c r="C50" s="2" t="s">
        <v>45</v>
      </c>
      <c r="D50" s="8" t="s">
        <v>176</v>
      </c>
      <c r="E50" s="70">
        <f>56478.9</f>
        <v>56478.9</v>
      </c>
      <c r="F50" s="197">
        <v>57889.864794666697</v>
      </c>
      <c r="G50" s="70">
        <f t="shared" si="5"/>
        <v>1410.9647946667001</v>
      </c>
      <c r="H50" s="11"/>
      <c r="I50" s="11"/>
    </row>
    <row r="51" spans="1:9" ht="20.100000000000001" customHeight="1" x14ac:dyDescent="0.2">
      <c r="A51" s="8">
        <v>7</v>
      </c>
      <c r="B51" s="12" t="s">
        <v>134</v>
      </c>
      <c r="C51" s="2" t="s">
        <v>156</v>
      </c>
      <c r="D51" s="14" t="s">
        <v>176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 x14ac:dyDescent="0.2">
      <c r="A52" s="8">
        <v>8</v>
      </c>
      <c r="B52" s="9" t="s">
        <v>1270</v>
      </c>
      <c r="C52" s="2" t="s">
        <v>156</v>
      </c>
      <c r="D52" s="8" t="s">
        <v>46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 x14ac:dyDescent="0.2">
      <c r="A53" s="8">
        <v>9</v>
      </c>
      <c r="B53" s="9" t="s">
        <v>44</v>
      </c>
      <c r="C53" s="2" t="s">
        <v>552</v>
      </c>
      <c r="D53" s="8" t="s">
        <v>534</v>
      </c>
      <c r="E53" s="70">
        <f>48052.11</f>
        <v>48052.11</v>
      </c>
      <c r="F53" s="197">
        <v>49548.776186666699</v>
      </c>
      <c r="G53" s="70">
        <f t="shared" si="5"/>
        <v>1496.6661866667</v>
      </c>
      <c r="H53" s="11"/>
      <c r="I53" s="11"/>
    </row>
    <row r="54" spans="1:9" ht="20.100000000000001" customHeight="1" x14ac:dyDescent="0.2">
      <c r="A54" s="8">
        <v>10</v>
      </c>
      <c r="B54" s="9" t="s">
        <v>142</v>
      </c>
      <c r="C54" s="2" t="s">
        <v>139</v>
      </c>
      <c r="D54" s="8" t="s">
        <v>96</v>
      </c>
      <c r="E54" s="70">
        <f>28360.95</f>
        <v>28360.95</v>
      </c>
      <c r="F54" s="197">
        <v>28360.952862666702</v>
      </c>
      <c r="G54" s="70">
        <f t="shared" si="5"/>
        <v>2.8626667008211401E-3</v>
      </c>
      <c r="H54" s="11"/>
      <c r="I54" s="11"/>
    </row>
    <row r="55" spans="1:9" ht="20.100000000000001" customHeight="1" x14ac:dyDescent="0.2">
      <c r="A55" s="8">
        <v>11</v>
      </c>
      <c r="B55" s="9" t="s">
        <v>539</v>
      </c>
      <c r="C55" s="2" t="s">
        <v>139</v>
      </c>
      <c r="D55" s="8" t="s">
        <v>96</v>
      </c>
      <c r="E55" s="70">
        <f>28360.95</f>
        <v>28360.95</v>
      </c>
      <c r="F55" s="197">
        <v>28360.952862666702</v>
      </c>
      <c r="G55" s="70">
        <f t="shared" si="5"/>
        <v>2.8626667008211401E-3</v>
      </c>
      <c r="H55" s="11"/>
      <c r="I55" s="11"/>
    </row>
    <row r="56" spans="1:9" ht="20.100000000000001" customHeight="1" x14ac:dyDescent="0.2">
      <c r="A56" s="8">
        <v>12</v>
      </c>
      <c r="B56" s="9" t="s">
        <v>143</v>
      </c>
      <c r="C56" s="2" t="s">
        <v>139</v>
      </c>
      <c r="D56" s="8" t="s">
        <v>96</v>
      </c>
      <c r="E56" s="70">
        <f>28360.95</f>
        <v>28360.95</v>
      </c>
      <c r="F56" s="197">
        <v>28360.952862666702</v>
      </c>
      <c r="G56" s="70">
        <f t="shared" si="5"/>
        <v>2.8626667008211401E-3</v>
      </c>
      <c r="H56" s="11"/>
      <c r="I56" s="11"/>
    </row>
    <row r="57" spans="1:9" ht="25.5" customHeight="1" x14ac:dyDescent="0.5">
      <c r="A57" s="8"/>
      <c r="B57" s="18" t="s">
        <v>111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796306.15599600098</v>
      </c>
      <c r="G57" s="78" t="e">
        <f t="shared" si="6"/>
        <v>#REF!</v>
      </c>
      <c r="H57" s="11"/>
      <c r="I57" s="11"/>
    </row>
    <row r="58" spans="1:9" ht="20.100000000000001" customHeight="1" x14ac:dyDescent="0.2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 x14ac:dyDescent="0.2">
      <c r="A59" s="8"/>
      <c r="B59" s="18" t="s">
        <v>145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 x14ac:dyDescent="0.2">
      <c r="A60" s="8">
        <v>1</v>
      </c>
      <c r="B60" s="9" t="s">
        <v>540</v>
      </c>
      <c r="C60" s="10" t="s">
        <v>147</v>
      </c>
      <c r="D60" s="13" t="s">
        <v>115</v>
      </c>
      <c r="E60" s="70">
        <f>180306.81</f>
        <v>180306.81</v>
      </c>
      <c r="F60" s="197">
        <f>'[18]August 2022  (2)'!$AA$56</f>
        <v>180306.806858667</v>
      </c>
      <c r="G60" s="70">
        <f>F60-E60</f>
        <v>-3.1413329998031302E-3</v>
      </c>
      <c r="H60" s="11"/>
      <c r="I60" s="11"/>
    </row>
    <row r="61" spans="1:9" ht="20.100000000000001" customHeight="1" x14ac:dyDescent="0.5">
      <c r="A61" s="8"/>
      <c r="B61" s="18" t="s">
        <v>111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-3.1413329998031302E-3</v>
      </c>
      <c r="H61" s="11"/>
      <c r="I61" s="11"/>
    </row>
    <row r="62" spans="1:9" ht="20.100000000000001" customHeight="1" x14ac:dyDescent="0.2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 x14ac:dyDescent="0.2">
      <c r="A63" s="8"/>
      <c r="B63" s="18" t="s">
        <v>151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 x14ac:dyDescent="0.2">
      <c r="A64" s="8">
        <v>1</v>
      </c>
      <c r="B64" s="9" t="s">
        <v>541</v>
      </c>
      <c r="C64" s="15" t="s">
        <v>542</v>
      </c>
      <c r="D64" s="8" t="s">
        <v>115</v>
      </c>
      <c r="E64" s="70">
        <f>180306.81</f>
        <v>180306.81</v>
      </c>
      <c r="F64" s="197">
        <v>180306.806858667</v>
      </c>
      <c r="G64" s="70">
        <f>F64-E64</f>
        <v>-3.1413329998031302E-3</v>
      </c>
      <c r="H64" s="11"/>
      <c r="I64" s="11"/>
    </row>
    <row r="65" spans="1:9" ht="20.100000000000001" customHeight="1" x14ac:dyDescent="0.2">
      <c r="A65" s="8">
        <v>2</v>
      </c>
      <c r="B65" s="16" t="s">
        <v>543</v>
      </c>
      <c r="C65" s="15" t="s">
        <v>544</v>
      </c>
      <c r="D65" s="13" t="s">
        <v>1200</v>
      </c>
      <c r="E65" s="70">
        <v>75572.92</v>
      </c>
      <c r="F65" s="197">
        <v>75572.915690666705</v>
      </c>
      <c r="G65" s="70">
        <f t="shared" ref="G65:G76" si="7">F65-E65</f>
        <v>-4.3093332933494804E-3</v>
      </c>
      <c r="H65" s="11"/>
      <c r="I65" s="11"/>
    </row>
    <row r="66" spans="1:9" ht="20.100000000000001" customHeight="1" x14ac:dyDescent="0.2">
      <c r="A66" s="8">
        <v>3</v>
      </c>
      <c r="B66" s="9" t="s">
        <v>155</v>
      </c>
      <c r="C66" s="2" t="s">
        <v>158</v>
      </c>
      <c r="D66" s="8" t="s">
        <v>534</v>
      </c>
      <c r="E66" s="70">
        <f>48170.87</f>
        <v>48170.87</v>
      </c>
      <c r="F66" s="197">
        <v>49548.776186666699</v>
      </c>
      <c r="G66" s="70">
        <f t="shared" si="7"/>
        <v>1377.9061866667</v>
      </c>
      <c r="H66" s="11"/>
      <c r="I66" s="11"/>
    </row>
    <row r="67" spans="1:9" ht="20.100000000000001" customHeight="1" x14ac:dyDescent="0.2">
      <c r="A67" s="8">
        <v>4</v>
      </c>
      <c r="B67" s="16" t="s">
        <v>545</v>
      </c>
      <c r="C67" s="15" t="s">
        <v>158</v>
      </c>
      <c r="D67" s="13" t="s">
        <v>1199</v>
      </c>
      <c r="E67" s="70">
        <f>46673.26</f>
        <v>46673.26</v>
      </c>
      <c r="F67" s="197">
        <v>48170.870282666699</v>
      </c>
      <c r="G67" s="70">
        <f t="shared" si="7"/>
        <v>1497.6102826667</v>
      </c>
      <c r="H67" s="11"/>
      <c r="I67" s="11"/>
    </row>
    <row r="68" spans="1:9" ht="20.100000000000001" customHeight="1" x14ac:dyDescent="0.2">
      <c r="A68" s="8">
        <v>5</v>
      </c>
      <c r="B68" s="12" t="s">
        <v>546</v>
      </c>
      <c r="C68" s="15" t="s">
        <v>156</v>
      </c>
      <c r="D68" s="13" t="s">
        <v>176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 x14ac:dyDescent="0.2">
      <c r="A69" s="8">
        <v>6</v>
      </c>
      <c r="B69" s="9" t="s">
        <v>161</v>
      </c>
      <c r="C69" s="2" t="s">
        <v>139</v>
      </c>
      <c r="D69" s="8" t="s">
        <v>1376</v>
      </c>
      <c r="E69" s="70">
        <v>36127.269999999997</v>
      </c>
      <c r="F69" s="197">
        <v>37661.421354666702</v>
      </c>
      <c r="G69" s="70">
        <f t="shared" si="7"/>
        <v>1534.1513546666999</v>
      </c>
      <c r="H69" s="11"/>
      <c r="I69" s="11"/>
    </row>
    <row r="70" spans="1:9" ht="20.100000000000001" customHeight="1" x14ac:dyDescent="0.2">
      <c r="A70" s="8">
        <v>7</v>
      </c>
      <c r="B70" s="9" t="s">
        <v>1278</v>
      </c>
      <c r="C70" s="15" t="s">
        <v>70</v>
      </c>
      <c r="D70" s="13" t="s">
        <v>162</v>
      </c>
      <c r="E70" s="70">
        <v>41248.559999999998</v>
      </c>
      <c r="F70" s="197">
        <v>43278.494774666702</v>
      </c>
      <c r="G70" s="70">
        <f t="shared" si="7"/>
        <v>2029.9347746666999</v>
      </c>
      <c r="H70" s="11"/>
      <c r="I70" s="11"/>
    </row>
    <row r="71" spans="1:9" ht="20.100000000000001" customHeight="1" x14ac:dyDescent="0.2">
      <c r="A71" s="8">
        <v>8</v>
      </c>
      <c r="B71" s="9" t="s">
        <v>163</v>
      </c>
      <c r="C71" s="15" t="s">
        <v>70</v>
      </c>
      <c r="D71" s="13" t="s">
        <v>137</v>
      </c>
      <c r="E71" s="70">
        <f>40149.18</f>
        <v>40149.18</v>
      </c>
      <c r="F71" s="197">
        <v>40149.175266666702</v>
      </c>
      <c r="G71" s="70">
        <f t="shared" si="7"/>
        <v>-4.7333332986454497E-3</v>
      </c>
      <c r="H71" s="11"/>
      <c r="I71" s="11"/>
    </row>
    <row r="72" spans="1:9" ht="20.100000000000001" customHeight="1" x14ac:dyDescent="0.2">
      <c r="A72" s="8">
        <v>9</v>
      </c>
      <c r="B72" s="9" t="s">
        <v>164</v>
      </c>
      <c r="C72" s="15" t="s">
        <v>70</v>
      </c>
      <c r="D72" s="13" t="s">
        <v>137</v>
      </c>
      <c r="E72" s="70">
        <f>40149.18</f>
        <v>40149.18</v>
      </c>
      <c r="F72" s="197">
        <v>40149.175266666702</v>
      </c>
      <c r="G72" s="70">
        <f t="shared" si="7"/>
        <v>-4.7333332986454497E-3</v>
      </c>
      <c r="H72" s="11"/>
      <c r="I72" s="11"/>
    </row>
    <row r="73" spans="1:9" ht="20.100000000000001" customHeight="1" x14ac:dyDescent="0.2">
      <c r="A73" s="8">
        <v>10</v>
      </c>
      <c r="B73" s="9" t="s">
        <v>165</v>
      </c>
      <c r="C73" s="2" t="s">
        <v>166</v>
      </c>
      <c r="D73" s="8" t="s">
        <v>68</v>
      </c>
      <c r="E73" s="70" t="e">
        <f>#REF!</f>
        <v>#REF!</v>
      </c>
      <c r="F73" s="197">
        <f>'[18]August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 x14ac:dyDescent="0.2">
      <c r="A74" s="8">
        <v>11</v>
      </c>
      <c r="B74" s="9" t="s">
        <v>1359</v>
      </c>
      <c r="C74" s="15" t="s">
        <v>139</v>
      </c>
      <c r="D74" s="8" t="s">
        <v>76</v>
      </c>
      <c r="E74" s="70">
        <f>32291.82</f>
        <v>32291.82</v>
      </c>
      <c r="F74" s="197">
        <v>33059.078406666697</v>
      </c>
      <c r="G74" s="70">
        <f t="shared" si="7"/>
        <v>767.25840666669706</v>
      </c>
      <c r="H74" s="11"/>
      <c r="I74" s="11"/>
    </row>
    <row r="75" spans="1:9" ht="20.100000000000001" customHeight="1" x14ac:dyDescent="0.2">
      <c r="A75" s="8">
        <v>12</v>
      </c>
      <c r="B75" s="9" t="s">
        <v>81</v>
      </c>
      <c r="C75" s="15" t="s">
        <v>67</v>
      </c>
      <c r="D75" s="8" t="s">
        <v>87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 x14ac:dyDescent="0.2">
      <c r="A76" s="8">
        <v>13</v>
      </c>
      <c r="B76" s="12" t="s">
        <v>66</v>
      </c>
      <c r="C76" s="15" t="s">
        <v>67</v>
      </c>
      <c r="D76" s="8" t="s">
        <v>105</v>
      </c>
      <c r="E76" s="70">
        <f>24685.95</f>
        <v>24685.95</v>
      </c>
      <c r="F76" s="197">
        <v>25271.771466666702</v>
      </c>
      <c r="G76" s="70">
        <f t="shared" si="7"/>
        <v>585.82146666670099</v>
      </c>
      <c r="H76" s="11"/>
      <c r="I76" s="11"/>
    </row>
    <row r="77" spans="1:9" ht="20.100000000000001" customHeight="1" x14ac:dyDescent="0.5">
      <c r="A77" s="8"/>
      <c r="B77" s="18" t="s">
        <v>111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 x14ac:dyDescent="0.2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 x14ac:dyDescent="0.2">
      <c r="A79" s="8"/>
      <c r="B79" s="18" t="s">
        <v>169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 x14ac:dyDescent="0.2">
      <c r="A80" s="8">
        <v>1</v>
      </c>
      <c r="B80" s="9" t="s">
        <v>170</v>
      </c>
      <c r="C80" s="2" t="s">
        <v>171</v>
      </c>
      <c r="D80" s="8" t="s">
        <v>115</v>
      </c>
      <c r="E80" s="70">
        <f>180306.81</f>
        <v>180306.81</v>
      </c>
      <c r="F80" s="197">
        <v>180306.806858667</v>
      </c>
      <c r="G80" s="70">
        <f>F80-E80</f>
        <v>-3.1413329998031302E-3</v>
      </c>
      <c r="H80" s="11"/>
      <c r="I80" s="11"/>
    </row>
    <row r="81" spans="1:9" ht="20.100000000000001" customHeight="1" x14ac:dyDescent="0.2">
      <c r="A81" s="8">
        <v>2</v>
      </c>
      <c r="B81" s="12" t="s">
        <v>547</v>
      </c>
      <c r="C81" s="2" t="s">
        <v>548</v>
      </c>
      <c r="D81" s="13" t="s">
        <v>1200</v>
      </c>
      <c r="E81" s="70">
        <f>75572.92</f>
        <v>75572.92</v>
      </c>
      <c r="F81" s="197">
        <v>75572.915690666705</v>
      </c>
      <c r="G81" s="70">
        <f t="shared" ref="G81:G84" si="9">F81-E81</f>
        <v>-4.3093332933494804E-3</v>
      </c>
      <c r="H81" s="11"/>
      <c r="I81" s="11"/>
    </row>
    <row r="82" spans="1:9" ht="20.100000000000001" customHeight="1" x14ac:dyDescent="0.2">
      <c r="A82" s="8">
        <v>3</v>
      </c>
      <c r="B82" s="12" t="s">
        <v>1360</v>
      </c>
      <c r="C82" s="2" t="s">
        <v>1361</v>
      </c>
      <c r="D82" s="13" t="s">
        <v>1200</v>
      </c>
      <c r="E82" s="70">
        <f>75572.92</f>
        <v>75572.92</v>
      </c>
      <c r="F82" s="197">
        <v>75572.915690666705</v>
      </c>
      <c r="G82" s="70">
        <f t="shared" si="9"/>
        <v>-4.3093332933494804E-3</v>
      </c>
      <c r="H82" s="11"/>
      <c r="I82" s="11"/>
    </row>
    <row r="83" spans="1:9" ht="20.100000000000001" customHeight="1" x14ac:dyDescent="0.2">
      <c r="A83" s="8">
        <v>4</v>
      </c>
      <c r="B83" s="9" t="s">
        <v>174</v>
      </c>
      <c r="C83" s="2" t="s">
        <v>1214</v>
      </c>
      <c r="D83" s="13" t="s">
        <v>534</v>
      </c>
      <c r="E83" s="70">
        <v>48170.87</v>
      </c>
      <c r="F83" s="197">
        <v>49548.776186666699</v>
      </c>
      <c r="G83" s="70">
        <f t="shared" si="9"/>
        <v>1377.9061866667</v>
      </c>
      <c r="H83" s="11"/>
      <c r="I83" s="11"/>
    </row>
    <row r="84" spans="1:9" ht="20.100000000000001" customHeight="1" x14ac:dyDescent="0.2">
      <c r="A84" s="8">
        <v>5</v>
      </c>
      <c r="B84" s="9" t="s">
        <v>181</v>
      </c>
      <c r="C84" s="2" t="s">
        <v>184</v>
      </c>
      <c r="D84" s="8" t="s">
        <v>76</v>
      </c>
      <c r="E84" s="70">
        <f>32291.82</f>
        <v>32291.82</v>
      </c>
      <c r="F84" s="197">
        <v>33059.078406666697</v>
      </c>
      <c r="G84" s="70">
        <f t="shared" si="9"/>
        <v>767.25840666669706</v>
      </c>
      <c r="H84" s="11"/>
      <c r="I84" s="11"/>
    </row>
    <row r="85" spans="1:9" ht="20.100000000000001" customHeight="1" x14ac:dyDescent="0.5">
      <c r="A85" s="8"/>
      <c r="B85" s="18" t="s">
        <v>111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414060.49283333402</v>
      </c>
      <c r="G85" s="78">
        <f t="shared" si="10"/>
        <v>2145.1528333338101</v>
      </c>
      <c r="H85" s="11"/>
      <c r="I85" s="11"/>
    </row>
    <row r="86" spans="1:9" ht="20.100000000000001" customHeight="1" x14ac:dyDescent="0.2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 x14ac:dyDescent="0.2">
      <c r="A87" s="8"/>
      <c r="B87" s="18" t="s">
        <v>187</v>
      </c>
      <c r="C87" s="23"/>
      <c r="D87" s="19"/>
      <c r="E87" s="122"/>
      <c r="F87" s="197"/>
      <c r="G87" s="70"/>
      <c r="H87" s="11"/>
      <c r="I87" s="11"/>
    </row>
    <row r="88" spans="1:9" ht="23.25" customHeight="1" x14ac:dyDescent="0.2">
      <c r="A88" s="8">
        <v>1</v>
      </c>
      <c r="B88" s="9" t="s">
        <v>1377</v>
      </c>
      <c r="C88" s="2" t="s">
        <v>1378</v>
      </c>
      <c r="D88" s="8" t="s">
        <v>154</v>
      </c>
      <c r="E88" s="70">
        <f>97273.51</f>
        <v>97273.51</v>
      </c>
      <c r="F88" s="197">
        <v>99907.951418666693</v>
      </c>
      <c r="G88" s="70">
        <f>F88-E88</f>
        <v>2634.4414186667</v>
      </c>
      <c r="H88" s="11"/>
      <c r="I88" s="11"/>
    </row>
    <row r="89" spans="1:9" ht="20.100000000000001" customHeight="1" x14ac:dyDescent="0.2">
      <c r="A89" s="8">
        <v>2</v>
      </c>
      <c r="B89" s="9" t="s">
        <v>190</v>
      </c>
      <c r="C89" s="2" t="s">
        <v>130</v>
      </c>
      <c r="D89" s="8" t="s">
        <v>131</v>
      </c>
      <c r="E89" s="70">
        <f>79956.94</f>
        <v>79956.94</v>
      </c>
      <c r="F89" s="197">
        <v>79956.9391466667</v>
      </c>
      <c r="G89" s="70">
        <f t="shared" ref="G89:G98" si="11">F89-E89</f>
        <v>-8.53333302075043E-4</v>
      </c>
      <c r="H89" s="11"/>
      <c r="I89" s="11"/>
    </row>
    <row r="90" spans="1:9" ht="20.100000000000001" customHeight="1" x14ac:dyDescent="0.2">
      <c r="A90" s="8">
        <v>3</v>
      </c>
      <c r="B90" s="9" t="s">
        <v>188</v>
      </c>
      <c r="C90" s="2" t="s">
        <v>130</v>
      </c>
      <c r="D90" s="8" t="s">
        <v>131</v>
      </c>
      <c r="E90" s="70">
        <f>79796.1</f>
        <v>79796.100000000006</v>
      </c>
      <c r="F90" s="197">
        <v>79796.103146666603</v>
      </c>
      <c r="G90" s="70">
        <f t="shared" si="11"/>
        <v>3.1466665968764599E-3</v>
      </c>
      <c r="H90" s="11"/>
      <c r="I90" s="11"/>
    </row>
    <row r="91" spans="1:9" ht="20.100000000000001" customHeight="1" x14ac:dyDescent="0.2">
      <c r="A91" s="8">
        <v>4</v>
      </c>
      <c r="B91" s="12" t="s">
        <v>152</v>
      </c>
      <c r="C91" s="2" t="s">
        <v>156</v>
      </c>
      <c r="D91" s="8" t="s">
        <v>41</v>
      </c>
      <c r="E91" s="70">
        <f>57894.08</f>
        <v>57894.080000000002</v>
      </c>
      <c r="F91" s="197">
        <v>59441.782042666702</v>
      </c>
      <c r="G91" s="70">
        <f t="shared" si="11"/>
        <v>1547.7020426667</v>
      </c>
      <c r="H91" s="11"/>
      <c r="I91" s="11"/>
    </row>
    <row r="92" spans="1:9" ht="20.100000000000001" customHeight="1" x14ac:dyDescent="0.2">
      <c r="A92" s="8">
        <v>5</v>
      </c>
      <c r="B92" s="9" t="s">
        <v>193</v>
      </c>
      <c r="C92" s="2" t="s">
        <v>45</v>
      </c>
      <c r="D92" s="8" t="s">
        <v>176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 x14ac:dyDescent="0.2">
      <c r="A93" s="8">
        <v>6</v>
      </c>
      <c r="B93" s="9" t="s">
        <v>194</v>
      </c>
      <c r="C93" s="2" t="s">
        <v>552</v>
      </c>
      <c r="D93" s="13" t="s">
        <v>534</v>
      </c>
      <c r="E93" s="70">
        <f>48170.87</f>
        <v>48170.87</v>
      </c>
      <c r="F93" s="197">
        <v>49548.776186666699</v>
      </c>
      <c r="G93" s="70">
        <f t="shared" si="11"/>
        <v>1377.9061866667</v>
      </c>
      <c r="H93" s="11"/>
      <c r="I93" s="11"/>
    </row>
    <row r="94" spans="1:9" ht="21.6" customHeight="1" x14ac:dyDescent="0.2">
      <c r="A94" s="8">
        <v>7</v>
      </c>
      <c r="B94" s="9" t="s">
        <v>195</v>
      </c>
      <c r="C94" s="10" t="s">
        <v>158</v>
      </c>
      <c r="D94" s="13" t="s">
        <v>1199</v>
      </c>
      <c r="E94" s="70">
        <f>46673.26</f>
        <v>46673.26</v>
      </c>
      <c r="F94" s="197">
        <v>48170.870282666699</v>
      </c>
      <c r="G94" s="70">
        <f t="shared" si="11"/>
        <v>1497.6102826667</v>
      </c>
      <c r="H94" s="11"/>
      <c r="I94" s="11"/>
    </row>
    <row r="95" spans="1:9" ht="21.6" customHeight="1" x14ac:dyDescent="0.2">
      <c r="A95" s="8">
        <v>8</v>
      </c>
      <c r="B95" s="9" t="s">
        <v>196</v>
      </c>
      <c r="C95" s="10" t="s">
        <v>158</v>
      </c>
      <c r="D95" s="13" t="s">
        <v>1199</v>
      </c>
      <c r="E95" s="70">
        <f>46673.26</f>
        <v>46673.26</v>
      </c>
      <c r="F95" s="197">
        <v>48170.870282666699</v>
      </c>
      <c r="G95" s="70">
        <f t="shared" si="11"/>
        <v>1497.6102826667</v>
      </c>
      <c r="H95" s="11"/>
      <c r="I95" s="11"/>
    </row>
    <row r="96" spans="1:9" ht="21.6" customHeight="1" x14ac:dyDescent="0.2">
      <c r="A96" s="8">
        <v>9</v>
      </c>
      <c r="B96" s="9" t="s">
        <v>198</v>
      </c>
      <c r="C96" s="15" t="s">
        <v>70</v>
      </c>
      <c r="D96" s="13" t="s">
        <v>137</v>
      </c>
      <c r="E96" s="70">
        <f>40149.18</f>
        <v>40149.18</v>
      </c>
      <c r="F96" s="197">
        <v>40149.175266666702</v>
      </c>
      <c r="G96" s="70">
        <f t="shared" si="11"/>
        <v>-4.7333332986454497E-3</v>
      </c>
      <c r="H96" s="11"/>
      <c r="I96" s="11"/>
    </row>
    <row r="97" spans="1:9" ht="21.6" customHeight="1" x14ac:dyDescent="0.2">
      <c r="A97" s="8">
        <v>10</v>
      </c>
      <c r="B97" s="9" t="s">
        <v>202</v>
      </c>
      <c r="C97" s="2" t="s">
        <v>203</v>
      </c>
      <c r="D97" s="8" t="s">
        <v>73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 x14ac:dyDescent="0.2">
      <c r="A98" s="8">
        <v>11</v>
      </c>
      <c r="B98" s="9" t="s">
        <v>204</v>
      </c>
      <c r="C98" s="15" t="s">
        <v>205</v>
      </c>
      <c r="D98" s="13" t="s">
        <v>105</v>
      </c>
      <c r="E98" s="70">
        <f>24685.95</f>
        <v>24685.95</v>
      </c>
      <c r="F98" s="197">
        <v>24749.797062666701</v>
      </c>
      <c r="G98" s="70">
        <f t="shared" si="11"/>
        <v>63.847062666700403</v>
      </c>
      <c r="H98" s="11"/>
      <c r="I98" s="11"/>
    </row>
    <row r="99" spans="1:9" ht="20.100000000000001" customHeight="1" x14ac:dyDescent="0.5">
      <c r="A99" s="8"/>
      <c r="B99" s="18" t="s">
        <v>111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10166.824270666901</v>
      </c>
      <c r="H99" s="11"/>
      <c r="I99" s="11"/>
    </row>
    <row r="100" spans="1:9" ht="20.100000000000001" customHeight="1" x14ac:dyDescent="0.2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 x14ac:dyDescent="0.2">
      <c r="A101" s="8"/>
      <c r="B101" s="18" t="s">
        <v>207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 x14ac:dyDescent="0.2">
      <c r="A102" s="8">
        <v>1</v>
      </c>
      <c r="B102" s="16" t="s">
        <v>530</v>
      </c>
      <c r="C102" s="8" t="s">
        <v>531</v>
      </c>
      <c r="D102" s="13" t="s">
        <v>35</v>
      </c>
      <c r="E102" s="70">
        <f>79993.51</f>
        <v>79993.509999999995</v>
      </c>
      <c r="F102" s="197">
        <v>79993.513850666699</v>
      </c>
      <c r="G102" s="70">
        <f>F102-E102</f>
        <v>3.8506667042383898E-3</v>
      </c>
      <c r="H102" s="11"/>
      <c r="I102" s="11"/>
    </row>
    <row r="103" spans="1:9" ht="20.100000000000001" customHeight="1" x14ac:dyDescent="0.2">
      <c r="A103" s="8">
        <v>2</v>
      </c>
      <c r="B103" s="9" t="s">
        <v>36</v>
      </c>
      <c r="C103" s="2" t="s">
        <v>212</v>
      </c>
      <c r="D103" s="8" t="s">
        <v>176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1354.2393886667101</v>
      </c>
      <c r="H103" s="11"/>
      <c r="I103" s="11"/>
    </row>
    <row r="104" spans="1:9" ht="20.100000000000001" customHeight="1" x14ac:dyDescent="0.2">
      <c r="A104" s="8">
        <v>3</v>
      </c>
      <c r="B104" s="16" t="s">
        <v>1379</v>
      </c>
      <c r="C104" s="2" t="s">
        <v>1380</v>
      </c>
      <c r="D104" s="13" t="s">
        <v>1199</v>
      </c>
      <c r="E104" s="70">
        <f>38272.44</f>
        <v>38272.44</v>
      </c>
      <c r="F104" s="197">
        <v>39582.844830666698</v>
      </c>
      <c r="G104" s="70">
        <f t="shared" si="13"/>
        <v>1310.4048306667</v>
      </c>
      <c r="H104" s="11"/>
      <c r="I104" s="11"/>
    </row>
    <row r="105" spans="1:9" ht="20.100000000000001" customHeight="1" x14ac:dyDescent="0.2">
      <c r="A105" s="8">
        <v>4</v>
      </c>
      <c r="B105" s="9" t="s">
        <v>217</v>
      </c>
      <c r="C105" s="2" t="s">
        <v>218</v>
      </c>
      <c r="D105" s="13" t="s">
        <v>68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 x14ac:dyDescent="0.5">
      <c r="A106" s="2"/>
      <c r="B106" s="18" t="s">
        <v>111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 x14ac:dyDescent="0.2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 x14ac:dyDescent="0.2">
      <c r="A108" s="2"/>
      <c r="B108" s="18" t="s">
        <v>221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 x14ac:dyDescent="0.2">
      <c r="A109" s="2">
        <v>1</v>
      </c>
      <c r="B109" s="9" t="s">
        <v>222</v>
      </c>
      <c r="C109" s="10" t="s">
        <v>223</v>
      </c>
      <c r="D109" s="13" t="s">
        <v>115</v>
      </c>
      <c r="E109" s="70">
        <f>180306.81</f>
        <v>180306.81</v>
      </c>
      <c r="F109" s="197">
        <v>180145.97085866699</v>
      </c>
      <c r="G109" s="70">
        <f>F109-E109</f>
        <v>-160.83914133300999</v>
      </c>
      <c r="H109" s="11"/>
      <c r="I109" s="11"/>
    </row>
    <row r="110" spans="1:9" ht="20.100000000000001" customHeight="1" x14ac:dyDescent="0.2">
      <c r="A110" s="2">
        <v>2</v>
      </c>
      <c r="B110" s="9" t="s">
        <v>224</v>
      </c>
      <c r="C110" s="2" t="s">
        <v>225</v>
      </c>
      <c r="D110" s="14" t="s">
        <v>35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 x14ac:dyDescent="0.2">
      <c r="A111" s="2">
        <v>3</v>
      </c>
      <c r="B111" s="9" t="s">
        <v>226</v>
      </c>
      <c r="C111" s="2" t="s">
        <v>227</v>
      </c>
      <c r="D111" s="8" t="s">
        <v>52</v>
      </c>
      <c r="E111" s="70">
        <f>58814.67</f>
        <v>58814.67</v>
      </c>
      <c r="F111" s="197">
        <v>58941.101743466701</v>
      </c>
      <c r="G111" s="70">
        <f t="shared" si="15"/>
        <v>126.431743466703</v>
      </c>
      <c r="H111" s="11"/>
      <c r="I111" s="11"/>
    </row>
    <row r="112" spans="1:9" ht="20.100000000000001" customHeight="1" x14ac:dyDescent="0.2">
      <c r="A112" s="2">
        <v>4</v>
      </c>
      <c r="B112" s="9" t="s">
        <v>228</v>
      </c>
      <c r="C112" s="2" t="s">
        <v>227</v>
      </c>
      <c r="D112" s="8" t="s">
        <v>52</v>
      </c>
      <c r="E112" s="70">
        <f>57194.24</f>
        <v>57194.239999999998</v>
      </c>
      <c r="F112" s="197">
        <v>58941.101743466701</v>
      </c>
      <c r="G112" s="70">
        <f t="shared" si="15"/>
        <v>1746.8617434667001</v>
      </c>
      <c r="H112" s="11"/>
      <c r="I112" s="11"/>
    </row>
    <row r="113" spans="1:9" ht="20.100000000000001" customHeight="1" x14ac:dyDescent="0.2">
      <c r="A113" s="2">
        <v>5</v>
      </c>
      <c r="B113" s="9" t="s">
        <v>230</v>
      </c>
      <c r="C113" s="2" t="s">
        <v>231</v>
      </c>
      <c r="D113" s="13" t="s">
        <v>554</v>
      </c>
      <c r="E113" s="70">
        <f>30699.58</f>
        <v>30699.58</v>
      </c>
      <c r="F113" s="197">
        <v>31285.603203306699</v>
      </c>
      <c r="G113" s="70">
        <f t="shared" si="15"/>
        <v>586.02320330669704</v>
      </c>
      <c r="H113" s="11"/>
      <c r="I113" s="11"/>
    </row>
    <row r="114" spans="1:9" ht="20.100000000000001" customHeight="1" x14ac:dyDescent="0.2">
      <c r="A114" s="2">
        <v>6</v>
      </c>
      <c r="B114" s="16" t="s">
        <v>233</v>
      </c>
      <c r="C114" s="2" t="s">
        <v>231</v>
      </c>
      <c r="D114" s="8" t="s">
        <v>206</v>
      </c>
      <c r="E114" s="70">
        <f>30049.31</f>
        <v>30049.31</v>
      </c>
      <c r="F114" s="197">
        <v>30635.120688666699</v>
      </c>
      <c r="G114" s="70">
        <f t="shared" si="15"/>
        <v>585.81068866669705</v>
      </c>
      <c r="H114" s="11"/>
      <c r="I114" s="11"/>
    </row>
    <row r="115" spans="1:9" ht="20.100000000000001" customHeight="1" x14ac:dyDescent="0.2">
      <c r="A115" s="2">
        <v>7</v>
      </c>
      <c r="B115" s="16" t="s">
        <v>234</v>
      </c>
      <c r="C115" s="2" t="s">
        <v>231</v>
      </c>
      <c r="D115" s="13" t="s">
        <v>105</v>
      </c>
      <c r="E115" s="70">
        <f>28813.07</f>
        <v>28813.07</v>
      </c>
      <c r="F115" s="197">
        <v>29055.584161426701</v>
      </c>
      <c r="G115" s="70">
        <f t="shared" si="15"/>
        <v>242.51416142670101</v>
      </c>
      <c r="H115" s="11"/>
      <c r="I115" s="11"/>
    </row>
    <row r="116" spans="1:9" ht="20.100000000000001" customHeight="1" x14ac:dyDescent="0.5">
      <c r="A116" s="2"/>
      <c r="B116" s="18" t="s">
        <v>111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 x14ac:dyDescent="0.2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 x14ac:dyDescent="0.2">
      <c r="A118" s="2"/>
      <c r="B118" s="18" t="s">
        <v>250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 x14ac:dyDescent="0.2">
      <c r="A119" s="2">
        <v>1</v>
      </c>
      <c r="B119" s="9" t="s">
        <v>251</v>
      </c>
      <c r="C119" s="10" t="s">
        <v>252</v>
      </c>
      <c r="D119" s="13" t="s">
        <v>115</v>
      </c>
      <c r="E119" s="70">
        <f>179914.45</f>
        <v>179914.45</v>
      </c>
      <c r="F119" s="197">
        <v>179914.45469866699</v>
      </c>
      <c r="G119" s="70">
        <f>F119-E119</f>
        <v>4.6986669767647999E-3</v>
      </c>
      <c r="H119" s="11"/>
      <c r="I119" s="11"/>
    </row>
    <row r="120" spans="1:9" ht="20.100000000000001" customHeight="1" x14ac:dyDescent="0.2">
      <c r="A120" s="2" t="s">
        <v>1381</v>
      </c>
      <c r="B120" s="9" t="s">
        <v>1382</v>
      </c>
      <c r="C120" s="10" t="s">
        <v>1383</v>
      </c>
      <c r="D120" s="13" t="s">
        <v>154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1.41866700141691E-3</v>
      </c>
      <c r="H120" s="11"/>
      <c r="I120" s="11"/>
    </row>
    <row r="121" spans="1:9" ht="20.100000000000001" customHeight="1" x14ac:dyDescent="0.2">
      <c r="A121" s="2">
        <v>3</v>
      </c>
      <c r="B121" s="9" t="s">
        <v>253</v>
      </c>
      <c r="C121" s="10" t="s">
        <v>256</v>
      </c>
      <c r="D121" s="13" t="s">
        <v>131</v>
      </c>
      <c r="E121" s="70">
        <f>83636.1</f>
        <v>83636.100000000006</v>
      </c>
      <c r="F121" s="197">
        <v>83636.103146666603</v>
      </c>
      <c r="G121" s="70">
        <f t="shared" si="17"/>
        <v>3.1466665968764599E-3</v>
      </c>
      <c r="H121" s="11"/>
      <c r="I121" s="11"/>
    </row>
    <row r="122" spans="1:9" ht="20.100000000000001" customHeight="1" x14ac:dyDescent="0.2">
      <c r="A122" s="2">
        <v>4</v>
      </c>
      <c r="B122" s="12" t="s">
        <v>255</v>
      </c>
      <c r="C122" s="10" t="s">
        <v>256</v>
      </c>
      <c r="D122" s="13" t="s">
        <v>131</v>
      </c>
      <c r="E122" s="70">
        <f>64436.1</f>
        <v>64436.1</v>
      </c>
      <c r="F122" s="197">
        <v>64436.103146666697</v>
      </c>
      <c r="G122" s="70">
        <f t="shared" si="17"/>
        <v>3.14666669873986E-3</v>
      </c>
      <c r="H122" s="11"/>
      <c r="I122" s="11"/>
    </row>
    <row r="123" spans="1:9" ht="20.100000000000001" customHeight="1" x14ac:dyDescent="0.2">
      <c r="A123" s="2">
        <v>5</v>
      </c>
      <c r="B123" s="12" t="s">
        <v>556</v>
      </c>
      <c r="C123" s="10" t="s">
        <v>256</v>
      </c>
      <c r="D123" s="13" t="s">
        <v>49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 x14ac:dyDescent="0.2">
      <c r="A124" s="2">
        <v>6</v>
      </c>
      <c r="B124" s="9" t="s">
        <v>257</v>
      </c>
      <c r="C124" s="10" t="s">
        <v>258</v>
      </c>
      <c r="D124" s="13" t="s">
        <v>46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 x14ac:dyDescent="0.2">
      <c r="A125" s="2">
        <v>7</v>
      </c>
      <c r="B125" s="9" t="s">
        <v>259</v>
      </c>
      <c r="C125" s="10" t="s">
        <v>489</v>
      </c>
      <c r="D125" s="13" t="s">
        <v>534</v>
      </c>
      <c r="E125" s="70">
        <f>44518.93</f>
        <v>44518.93</v>
      </c>
      <c r="F125" s="197">
        <v>45724.599176666699</v>
      </c>
      <c r="G125" s="70">
        <f t="shared" si="17"/>
        <v>1205.6691766667</v>
      </c>
      <c r="H125" s="11"/>
      <c r="I125" s="11"/>
    </row>
    <row r="126" spans="1:9" ht="20.100000000000001" customHeight="1" x14ac:dyDescent="0.2">
      <c r="A126" s="2">
        <v>8</v>
      </c>
      <c r="B126" s="9" t="s">
        <v>260</v>
      </c>
      <c r="C126" s="10" t="s">
        <v>1216</v>
      </c>
      <c r="D126" s="13" t="s">
        <v>534</v>
      </c>
      <c r="E126" s="70">
        <f>39478.93</f>
        <v>39478.93</v>
      </c>
      <c r="F126" s="197">
        <v>40684.599176666699</v>
      </c>
      <c r="G126" s="70">
        <f t="shared" si="17"/>
        <v>1205.6691766667</v>
      </c>
      <c r="H126" s="11"/>
      <c r="I126" s="11"/>
    </row>
    <row r="127" spans="1:9" ht="20.100000000000001" customHeight="1" x14ac:dyDescent="0.2">
      <c r="A127" s="2">
        <v>9</v>
      </c>
      <c r="B127" s="16" t="s">
        <v>1384</v>
      </c>
      <c r="C127" s="10" t="s">
        <v>1385</v>
      </c>
      <c r="D127" s="13" t="s">
        <v>535</v>
      </c>
      <c r="E127" s="70">
        <f>38272.44</f>
        <v>38272.44</v>
      </c>
      <c r="F127" s="197">
        <v>39582.844830666698</v>
      </c>
      <c r="G127" s="70">
        <f t="shared" si="17"/>
        <v>1310.4048306667</v>
      </c>
      <c r="H127" s="11"/>
      <c r="I127" s="11"/>
    </row>
    <row r="128" spans="1:9" ht="20.100000000000001" customHeight="1" x14ac:dyDescent="0.2">
      <c r="A128" s="2">
        <v>10</v>
      </c>
      <c r="B128" s="9" t="s">
        <v>263</v>
      </c>
      <c r="C128" s="10" t="s">
        <v>264</v>
      </c>
      <c r="D128" s="8" t="s">
        <v>87</v>
      </c>
      <c r="E128" s="70">
        <f>21640.95</f>
        <v>21640.95</v>
      </c>
      <c r="F128" s="197">
        <v>22338.4826046667</v>
      </c>
      <c r="G128" s="70">
        <f t="shared" si="17"/>
        <v>697.53260466669997</v>
      </c>
      <c r="H128" s="11"/>
      <c r="I128" s="11"/>
    </row>
    <row r="129" spans="1:9" ht="20.100000000000001" customHeight="1" x14ac:dyDescent="0.2">
      <c r="A129" s="2">
        <v>11</v>
      </c>
      <c r="B129" s="16" t="s">
        <v>265</v>
      </c>
      <c r="C129" s="10" t="s">
        <v>266</v>
      </c>
      <c r="D129" s="13" t="s">
        <v>105</v>
      </c>
      <c r="E129" s="70">
        <f>25245.23</f>
        <v>25245.23</v>
      </c>
      <c r="F129" s="197">
        <v>17042.713866666702</v>
      </c>
      <c r="G129" s="70">
        <f t="shared" si="17"/>
        <v>-8202.5161333332999</v>
      </c>
      <c r="H129" s="11"/>
      <c r="I129" s="11"/>
    </row>
    <row r="130" spans="1:9" ht="20.100000000000001" customHeight="1" x14ac:dyDescent="0.5">
      <c r="A130" s="2"/>
      <c r="B130" s="18" t="s">
        <v>111</v>
      </c>
      <c r="C130" s="24" t="s">
        <v>269</v>
      </c>
      <c r="D130" s="13"/>
      <c r="E130" s="78" t="e">
        <f t="shared" ref="E130:G130" si="18">SUM(E119:E129)</f>
        <v>#REF!</v>
      </c>
      <c r="F130" s="78">
        <f t="shared" si="18"/>
        <v>698053.14113333402</v>
      </c>
      <c r="G130" s="78" t="e">
        <f t="shared" si="18"/>
        <v>#REF!</v>
      </c>
      <c r="H130" s="11"/>
      <c r="I130" s="11"/>
    </row>
    <row r="131" spans="1:9" ht="20.100000000000001" customHeight="1" x14ac:dyDescent="0.2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 x14ac:dyDescent="0.2">
      <c r="A132" s="2"/>
      <c r="B132" s="18" t="s">
        <v>270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 x14ac:dyDescent="0.2">
      <c r="A133" s="25">
        <v>1</v>
      </c>
      <c r="B133" s="9" t="s">
        <v>557</v>
      </c>
      <c r="C133" s="10" t="s">
        <v>558</v>
      </c>
      <c r="D133" s="13" t="s">
        <v>115</v>
      </c>
      <c r="E133" s="70">
        <f>161106.81</f>
        <v>161106.81</v>
      </c>
      <c r="F133" s="197">
        <v>161106.806858667</v>
      </c>
      <c r="G133" s="70">
        <f>F133-E133</f>
        <v>-3.1413329998031302E-3</v>
      </c>
      <c r="H133" s="11"/>
      <c r="I133" s="11"/>
    </row>
    <row r="134" spans="1:9" ht="20.100000000000001" customHeight="1" x14ac:dyDescent="0.2">
      <c r="A134" s="25">
        <v>2</v>
      </c>
      <c r="B134" s="9" t="s">
        <v>559</v>
      </c>
      <c r="C134" s="10" t="s">
        <v>560</v>
      </c>
      <c r="D134" s="13" t="s">
        <v>154</v>
      </c>
      <c r="E134" s="70">
        <v>82627.95</v>
      </c>
      <c r="F134" s="197">
        <v>82467.115418666697</v>
      </c>
      <c r="G134" s="70">
        <f t="shared" ref="G134:G187" si="19">F134-E134</f>
        <v>-160.83458133330001</v>
      </c>
      <c r="H134" s="11"/>
      <c r="I134" s="11"/>
    </row>
    <row r="135" spans="1:9" ht="20.100000000000001" customHeight="1" x14ac:dyDescent="0.2">
      <c r="A135" s="25">
        <v>3</v>
      </c>
      <c r="B135" s="12" t="s">
        <v>274</v>
      </c>
      <c r="C135" s="2" t="s">
        <v>275</v>
      </c>
      <c r="D135" s="14" t="s">
        <v>35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 x14ac:dyDescent="0.2">
      <c r="A136" s="25">
        <v>4</v>
      </c>
      <c r="B136" s="9" t="s">
        <v>276</v>
      </c>
      <c r="C136" s="10" t="s">
        <v>561</v>
      </c>
      <c r="D136" s="13" t="s">
        <v>176</v>
      </c>
      <c r="E136" s="70">
        <f>43380.1</f>
        <v>43380.1</v>
      </c>
      <c r="F136" s="197">
        <v>44734.339388666704</v>
      </c>
      <c r="G136" s="70">
        <f t="shared" si="19"/>
        <v>1354.2393886667101</v>
      </c>
      <c r="H136" s="11"/>
      <c r="I136" s="11"/>
    </row>
    <row r="137" spans="1:9" ht="20.100000000000001" customHeight="1" x14ac:dyDescent="0.2">
      <c r="A137" s="25">
        <v>5</v>
      </c>
      <c r="B137" s="9" t="s">
        <v>278</v>
      </c>
      <c r="C137" s="2" t="s">
        <v>562</v>
      </c>
      <c r="D137" s="13" t="s">
        <v>176</v>
      </c>
      <c r="E137" s="70">
        <f>43380.1</f>
        <v>43380.1</v>
      </c>
      <c r="F137" s="197">
        <v>44846.6165886667</v>
      </c>
      <c r="G137" s="70">
        <f t="shared" si="19"/>
        <v>1466.5165886667</v>
      </c>
      <c r="H137" s="11"/>
      <c r="I137" s="11"/>
    </row>
    <row r="138" spans="1:9" ht="20.100000000000001" customHeight="1" x14ac:dyDescent="0.2">
      <c r="A138" s="25">
        <v>6</v>
      </c>
      <c r="B138" s="9" t="s">
        <v>211</v>
      </c>
      <c r="C138" s="2" t="s">
        <v>564</v>
      </c>
      <c r="D138" s="13" t="s">
        <v>534</v>
      </c>
      <c r="E138" s="70">
        <f>39582.84</f>
        <v>39582.839999999997</v>
      </c>
      <c r="F138" s="197">
        <v>40698.124856666698</v>
      </c>
      <c r="G138" s="70">
        <f t="shared" si="19"/>
        <v>1115.2848566667001</v>
      </c>
      <c r="H138" s="11"/>
      <c r="I138" s="11"/>
    </row>
    <row r="139" spans="1:9" ht="20.100000000000001" customHeight="1" x14ac:dyDescent="0.2">
      <c r="A139" s="25">
        <v>7</v>
      </c>
      <c r="B139" s="9" t="s">
        <v>213</v>
      </c>
      <c r="C139" s="10" t="s">
        <v>563</v>
      </c>
      <c r="D139" s="13" t="s">
        <v>162</v>
      </c>
      <c r="E139" s="70">
        <f>32848.56</f>
        <v>32848.559999999998</v>
      </c>
      <c r="F139" s="197">
        <v>34968.882414666703</v>
      </c>
      <c r="G139" s="70">
        <f t="shared" si="19"/>
        <v>2120.3224146667098</v>
      </c>
      <c r="H139" s="11"/>
      <c r="I139" s="11"/>
    </row>
    <row r="140" spans="1:9" ht="20.100000000000001" customHeight="1" x14ac:dyDescent="0.2">
      <c r="A140" s="25">
        <v>8</v>
      </c>
      <c r="B140" s="9" t="s">
        <v>281</v>
      </c>
      <c r="C140" s="10" t="s">
        <v>563</v>
      </c>
      <c r="D140" s="13" t="s">
        <v>162</v>
      </c>
      <c r="E140" s="70">
        <f>32938.95</f>
        <v>32938.949999999997</v>
      </c>
      <c r="F140" s="197">
        <v>34968.882414666703</v>
      </c>
      <c r="G140" s="70">
        <f t="shared" si="19"/>
        <v>2029.93241466671</v>
      </c>
      <c r="H140" s="11"/>
      <c r="I140" s="11"/>
    </row>
    <row r="141" spans="1:9" ht="20.100000000000001" customHeight="1" x14ac:dyDescent="0.2">
      <c r="A141" s="25">
        <v>9</v>
      </c>
      <c r="B141" s="9" t="s">
        <v>282</v>
      </c>
      <c r="C141" s="2" t="s">
        <v>564</v>
      </c>
      <c r="D141" s="13" t="s">
        <v>162</v>
      </c>
      <c r="E141" s="70">
        <f>32938.95</f>
        <v>32938.949999999997</v>
      </c>
      <c r="F141" s="197">
        <v>34968.882414666703</v>
      </c>
      <c r="G141" s="70">
        <f t="shared" si="19"/>
        <v>2029.93241466671</v>
      </c>
      <c r="H141" s="11"/>
      <c r="I141" s="11"/>
    </row>
    <row r="142" spans="1:9" ht="20.100000000000001" customHeight="1" x14ac:dyDescent="0.2">
      <c r="A142" s="25">
        <v>10</v>
      </c>
      <c r="B142" s="9" t="s">
        <v>284</v>
      </c>
      <c r="C142" s="10" t="s">
        <v>565</v>
      </c>
      <c r="D142" s="13" t="s">
        <v>68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 x14ac:dyDescent="0.2">
      <c r="A143" s="25">
        <v>11</v>
      </c>
      <c r="B143" s="9" t="s">
        <v>286</v>
      </c>
      <c r="C143" s="10" t="s">
        <v>1218</v>
      </c>
      <c r="D143" s="13" t="s">
        <v>300</v>
      </c>
      <c r="E143" s="70">
        <f>27029.2</f>
        <v>27029.200000000001</v>
      </c>
      <c r="F143" s="197">
        <v>27794.206626666699</v>
      </c>
      <c r="G143" s="70">
        <f t="shared" si="19"/>
        <v>765.00662666669803</v>
      </c>
      <c r="H143" s="11"/>
      <c r="I143" s="11"/>
    </row>
    <row r="144" spans="1:9" ht="20.100000000000001" customHeight="1" x14ac:dyDescent="0.2">
      <c r="A144" s="25">
        <v>12</v>
      </c>
      <c r="B144" s="9" t="s">
        <v>60</v>
      </c>
      <c r="C144" s="10" t="s">
        <v>565</v>
      </c>
      <c r="D144" s="13" t="s">
        <v>162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 x14ac:dyDescent="0.2">
      <c r="A145" s="25">
        <v>13</v>
      </c>
      <c r="B145" s="9" t="s">
        <v>290</v>
      </c>
      <c r="C145" s="2" t="s">
        <v>566</v>
      </c>
      <c r="D145" s="13" t="s">
        <v>76</v>
      </c>
      <c r="E145" s="70">
        <f>26339.08</f>
        <v>26339.08</v>
      </c>
      <c r="F145" s="197">
        <v>27031.2933426667</v>
      </c>
      <c r="G145" s="70">
        <f t="shared" si="19"/>
        <v>692.21334266669896</v>
      </c>
      <c r="H145" s="11"/>
      <c r="I145" s="11"/>
    </row>
    <row r="146" spans="1:9" ht="20.100000000000001" customHeight="1" x14ac:dyDescent="0.2">
      <c r="A146" s="25">
        <v>14</v>
      </c>
      <c r="B146" s="9" t="s">
        <v>291</v>
      </c>
      <c r="C146" s="2" t="s">
        <v>566</v>
      </c>
      <c r="D146" s="13" t="s">
        <v>119</v>
      </c>
      <c r="E146" s="70">
        <f>26264.39</f>
        <v>26264.39</v>
      </c>
      <c r="F146" s="197">
        <v>27105.986562666702</v>
      </c>
      <c r="G146" s="70">
        <f t="shared" si="19"/>
        <v>841.59656266670197</v>
      </c>
      <c r="H146" s="11"/>
      <c r="I146" s="11"/>
    </row>
    <row r="147" spans="1:9" ht="20.100000000000001" customHeight="1" x14ac:dyDescent="0.2">
      <c r="A147" s="25">
        <v>15</v>
      </c>
      <c r="B147" s="9" t="s">
        <v>293</v>
      </c>
      <c r="C147" s="2" t="s">
        <v>566</v>
      </c>
      <c r="D147" s="13" t="s">
        <v>119</v>
      </c>
      <c r="E147" s="70">
        <f>26339.08</f>
        <v>26339.08</v>
      </c>
      <c r="F147" s="197">
        <v>27105.986562666702</v>
      </c>
      <c r="G147" s="70">
        <f t="shared" si="19"/>
        <v>766.90656266669998</v>
      </c>
      <c r="H147" s="11"/>
      <c r="I147" s="11"/>
    </row>
    <row r="148" spans="1:9" ht="20.100000000000001" customHeight="1" x14ac:dyDescent="0.2">
      <c r="A148" s="25">
        <v>16</v>
      </c>
      <c r="B148" s="9" t="s">
        <v>294</v>
      </c>
      <c r="C148" s="10" t="s">
        <v>295</v>
      </c>
      <c r="D148" s="13" t="s">
        <v>73</v>
      </c>
      <c r="E148" s="70">
        <f>25571.82</f>
        <v>25571.82</v>
      </c>
      <c r="F148" s="197">
        <v>25571.815728666701</v>
      </c>
      <c r="G148" s="70">
        <f t="shared" si="19"/>
        <v>-4.27133329867502E-3</v>
      </c>
      <c r="H148" s="11"/>
      <c r="I148" s="11"/>
    </row>
    <row r="149" spans="1:9" ht="20.100000000000001" customHeight="1" x14ac:dyDescent="0.2">
      <c r="A149" s="25">
        <v>17</v>
      </c>
      <c r="B149" s="9" t="s">
        <v>1201</v>
      </c>
      <c r="C149" s="10" t="s">
        <v>297</v>
      </c>
      <c r="D149" s="8" t="s">
        <v>96</v>
      </c>
      <c r="E149" s="70">
        <f>21640.95</f>
        <v>21640.95</v>
      </c>
      <c r="F149" s="197">
        <v>21640.952862666702</v>
      </c>
      <c r="G149" s="70">
        <f t="shared" si="19"/>
        <v>2.8626667008211401E-3</v>
      </c>
      <c r="H149" s="11"/>
      <c r="I149" s="11"/>
    </row>
    <row r="150" spans="1:9" ht="20.100000000000001" customHeight="1" x14ac:dyDescent="0.2">
      <c r="A150" s="25">
        <v>18</v>
      </c>
      <c r="B150" s="9" t="s">
        <v>298</v>
      </c>
      <c r="C150" s="10" t="s">
        <v>299</v>
      </c>
      <c r="D150" s="13" t="s">
        <v>76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 x14ac:dyDescent="0.2">
      <c r="A151" s="25">
        <v>19</v>
      </c>
      <c r="B151" s="9" t="s">
        <v>301</v>
      </c>
      <c r="C151" s="10" t="s">
        <v>302</v>
      </c>
      <c r="D151" s="13" t="s">
        <v>87</v>
      </c>
      <c r="E151" s="70">
        <v>21640.95</v>
      </c>
      <c r="F151" s="197">
        <v>22281.815364666701</v>
      </c>
      <c r="G151" s="70">
        <f t="shared" si="19"/>
        <v>640.865364666701</v>
      </c>
      <c r="H151" s="11"/>
      <c r="I151" s="11"/>
    </row>
    <row r="152" spans="1:9" ht="20.100000000000001" customHeight="1" x14ac:dyDescent="0.2">
      <c r="A152" s="25">
        <v>20</v>
      </c>
      <c r="B152" s="9" t="s">
        <v>303</v>
      </c>
      <c r="C152" s="10" t="s">
        <v>304</v>
      </c>
      <c r="D152" s="13" t="s">
        <v>76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 x14ac:dyDescent="0.2">
      <c r="A153" s="25">
        <v>21</v>
      </c>
      <c r="B153" s="9" t="s">
        <v>305</v>
      </c>
      <c r="C153" s="10" t="s">
        <v>306</v>
      </c>
      <c r="D153" s="13" t="s">
        <v>87</v>
      </c>
      <c r="E153" s="70">
        <f>18102.9+3538.05</f>
        <v>21640.95</v>
      </c>
      <c r="F153" s="197">
        <v>22338.4826046667</v>
      </c>
      <c r="G153" s="70">
        <f t="shared" si="19"/>
        <v>697.53260466669997</v>
      </c>
      <c r="H153" s="11"/>
      <c r="I153" s="11"/>
    </row>
    <row r="154" spans="1:9" ht="20.100000000000001" customHeight="1" x14ac:dyDescent="0.2">
      <c r="A154" s="25">
        <v>22</v>
      </c>
      <c r="B154" s="16" t="s">
        <v>307</v>
      </c>
      <c r="C154" s="10" t="s">
        <v>315</v>
      </c>
      <c r="D154" s="13" t="s">
        <v>1373</v>
      </c>
      <c r="E154" s="70">
        <f>17572.89</f>
        <v>17572.89</v>
      </c>
      <c r="F154" s="197">
        <v>18102.902732666698</v>
      </c>
      <c r="G154" s="70">
        <f t="shared" si="19"/>
        <v>530.01273266669898</v>
      </c>
      <c r="H154" s="11"/>
      <c r="I154" s="11"/>
    </row>
    <row r="155" spans="1:9" ht="20.100000000000001" customHeight="1" x14ac:dyDescent="0.2">
      <c r="A155" s="25">
        <v>23</v>
      </c>
      <c r="B155" s="16" t="s">
        <v>1386</v>
      </c>
      <c r="C155" s="10" t="s">
        <v>313</v>
      </c>
      <c r="D155" s="13" t="s">
        <v>105</v>
      </c>
      <c r="E155" s="70">
        <f>16512.68</f>
        <v>16512.68</v>
      </c>
      <c r="F155" s="197">
        <v>17042.713866666702</v>
      </c>
      <c r="G155" s="70">
        <f t="shared" si="19"/>
        <v>530.03386666670099</v>
      </c>
      <c r="H155" s="11"/>
      <c r="I155" s="11"/>
    </row>
    <row r="156" spans="1:9" ht="20.100000000000001" customHeight="1" x14ac:dyDescent="0.2">
      <c r="A156" s="25">
        <v>24</v>
      </c>
      <c r="B156" s="16" t="s">
        <v>312</v>
      </c>
      <c r="C156" s="10" t="s">
        <v>313</v>
      </c>
      <c r="D156" s="13" t="s">
        <v>108</v>
      </c>
      <c r="E156" s="70">
        <f>16512.68</f>
        <v>16512.68</v>
      </c>
      <c r="F156" s="197">
        <v>16512.682190666699</v>
      </c>
      <c r="G156" s="70">
        <f t="shared" si="19"/>
        <v>2.1906666988797999E-3</v>
      </c>
      <c r="H156" s="11"/>
      <c r="I156" s="11"/>
    </row>
    <row r="157" spans="1:9" ht="20.100000000000001" customHeight="1" x14ac:dyDescent="0.2">
      <c r="A157" s="25">
        <v>25</v>
      </c>
      <c r="B157" s="16" t="s">
        <v>314</v>
      </c>
      <c r="C157" s="10" t="s">
        <v>315</v>
      </c>
      <c r="D157" s="13" t="s">
        <v>108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 x14ac:dyDescent="0.2">
      <c r="A158" s="25">
        <v>26</v>
      </c>
      <c r="B158" s="16" t="s">
        <v>316</v>
      </c>
      <c r="C158" s="10" t="s">
        <v>317</v>
      </c>
      <c r="D158" s="13" t="s">
        <v>105</v>
      </c>
      <c r="E158" s="70">
        <f t="shared" si="20"/>
        <v>16512.68</v>
      </c>
      <c r="F158" s="197">
        <v>17043.017866666702</v>
      </c>
      <c r="G158" s="70">
        <f t="shared" si="19"/>
        <v>530.33786666670096</v>
      </c>
      <c r="H158" s="11"/>
      <c r="I158" s="11"/>
    </row>
    <row r="159" spans="1:9" ht="20.100000000000001" customHeight="1" x14ac:dyDescent="0.2">
      <c r="A159" s="25">
        <v>27</v>
      </c>
      <c r="B159" s="16" t="s">
        <v>318</v>
      </c>
      <c r="C159" s="10" t="s">
        <v>319</v>
      </c>
      <c r="D159" s="13" t="s">
        <v>105</v>
      </c>
      <c r="E159" s="70">
        <f t="shared" si="20"/>
        <v>16512.68</v>
      </c>
      <c r="F159" s="197">
        <v>17008.323359999999</v>
      </c>
      <c r="G159" s="70">
        <f t="shared" si="19"/>
        <v>495.64335999999798</v>
      </c>
      <c r="H159" s="11"/>
      <c r="I159" s="11"/>
    </row>
    <row r="160" spans="1:9" ht="20.100000000000001" customHeight="1" x14ac:dyDescent="0.2">
      <c r="A160" s="25">
        <v>28</v>
      </c>
      <c r="B160" s="9" t="s">
        <v>329</v>
      </c>
      <c r="C160" s="10" t="s">
        <v>330</v>
      </c>
      <c r="D160" s="13" t="s">
        <v>348</v>
      </c>
      <c r="E160" s="70">
        <f>9117.05</f>
        <v>9117.0499999999993</v>
      </c>
      <c r="F160" s="197">
        <v>10776.457626666701</v>
      </c>
      <c r="G160" s="70">
        <f t="shared" si="19"/>
        <v>1659.4076266667</v>
      </c>
      <c r="H160" s="11"/>
      <c r="I160" s="11"/>
    </row>
    <row r="161" spans="1:9" ht="20.100000000000001" customHeight="1" x14ac:dyDescent="0.2">
      <c r="A161" s="25">
        <v>29</v>
      </c>
      <c r="B161" s="9" t="s">
        <v>332</v>
      </c>
      <c r="C161" s="10" t="s">
        <v>330</v>
      </c>
      <c r="D161" s="13" t="s">
        <v>348</v>
      </c>
      <c r="E161" s="70">
        <f>9504.2</f>
        <v>9504.2000000000007</v>
      </c>
      <c r="F161" s="197">
        <v>11232.457626666701</v>
      </c>
      <c r="G161" s="70">
        <f t="shared" si="19"/>
        <v>1728.2576266666999</v>
      </c>
      <c r="H161" s="11"/>
      <c r="I161" s="11"/>
    </row>
    <row r="162" spans="1:9" ht="20.100000000000001" customHeight="1" x14ac:dyDescent="0.2">
      <c r="A162" s="25">
        <v>30</v>
      </c>
      <c r="B162" s="9" t="s">
        <v>333</v>
      </c>
      <c r="C162" s="10" t="s">
        <v>330</v>
      </c>
      <c r="D162" s="13" t="s">
        <v>348</v>
      </c>
      <c r="E162" s="70">
        <f>9144.2</f>
        <v>9144.2000000000007</v>
      </c>
      <c r="F162" s="197">
        <v>10776.457626666701</v>
      </c>
      <c r="G162" s="70">
        <f t="shared" si="19"/>
        <v>1632.2576266666999</v>
      </c>
      <c r="H162" s="11"/>
      <c r="I162" s="11"/>
    </row>
    <row r="163" spans="1:9" ht="20.100000000000001" customHeight="1" x14ac:dyDescent="0.2">
      <c r="A163" s="25">
        <v>31</v>
      </c>
      <c r="B163" s="9" t="s">
        <v>921</v>
      </c>
      <c r="C163" s="10" t="s">
        <v>330</v>
      </c>
      <c r="D163" s="13" t="s">
        <v>348</v>
      </c>
      <c r="E163" s="70">
        <f>9144.2</f>
        <v>9144.2000000000007</v>
      </c>
      <c r="F163" s="197">
        <v>10776.457626666701</v>
      </c>
      <c r="G163" s="70">
        <f t="shared" si="19"/>
        <v>1632.2576266666999</v>
      </c>
      <c r="H163" s="11"/>
      <c r="I163" s="11"/>
    </row>
    <row r="164" spans="1:9" ht="20.100000000000001" customHeight="1" x14ac:dyDescent="0.2">
      <c r="A164" s="25">
        <v>32</v>
      </c>
      <c r="B164" s="9" t="s">
        <v>334</v>
      </c>
      <c r="C164" s="10" t="s">
        <v>330</v>
      </c>
      <c r="D164" s="13" t="s">
        <v>348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 x14ac:dyDescent="0.2">
      <c r="A165" s="25">
        <v>33</v>
      </c>
      <c r="B165" s="9" t="s">
        <v>335</v>
      </c>
      <c r="C165" s="10" t="s">
        <v>330</v>
      </c>
      <c r="D165" s="13" t="s">
        <v>348</v>
      </c>
      <c r="E165" s="70">
        <f>9144.2</f>
        <v>9144.2000000000007</v>
      </c>
      <c r="F165" s="197">
        <v>10776.457626666701</v>
      </c>
      <c r="G165" s="70">
        <f t="shared" si="19"/>
        <v>1632.2576266666999</v>
      </c>
      <c r="H165" s="11"/>
      <c r="I165" s="11"/>
    </row>
    <row r="166" spans="1:9" ht="20.100000000000001" customHeight="1" x14ac:dyDescent="0.2">
      <c r="A166" s="25">
        <v>34</v>
      </c>
      <c r="B166" s="9" t="s">
        <v>336</v>
      </c>
      <c r="C166" s="10" t="s">
        <v>330</v>
      </c>
      <c r="D166" s="13" t="s">
        <v>345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 x14ac:dyDescent="0.2">
      <c r="A167" s="25">
        <v>35</v>
      </c>
      <c r="B167" s="9" t="s">
        <v>338</v>
      </c>
      <c r="C167" s="10" t="s">
        <v>330</v>
      </c>
      <c r="D167" s="13" t="s">
        <v>345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 x14ac:dyDescent="0.2">
      <c r="A168" s="25">
        <v>36</v>
      </c>
      <c r="B168" s="9" t="s">
        <v>1365</v>
      </c>
      <c r="C168" s="10" t="s">
        <v>330</v>
      </c>
      <c r="D168" s="13" t="s">
        <v>345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 x14ac:dyDescent="0.2">
      <c r="A169" s="25">
        <v>37</v>
      </c>
      <c r="B169" s="12" t="s">
        <v>339</v>
      </c>
      <c r="C169" s="10" t="s">
        <v>330</v>
      </c>
      <c r="D169" s="13" t="s">
        <v>345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 x14ac:dyDescent="0.2">
      <c r="A170" s="25">
        <v>38</v>
      </c>
      <c r="B170" s="9" t="s">
        <v>340</v>
      </c>
      <c r="C170" s="10" t="s">
        <v>330</v>
      </c>
      <c r="D170" s="13" t="s">
        <v>345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 x14ac:dyDescent="0.2">
      <c r="A171" s="25">
        <v>39</v>
      </c>
      <c r="B171" s="16" t="s">
        <v>341</v>
      </c>
      <c r="C171" s="10" t="s">
        <v>330</v>
      </c>
      <c r="D171" s="13" t="s">
        <v>345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 x14ac:dyDescent="0.2">
      <c r="A172" s="25">
        <v>40</v>
      </c>
      <c r="B172" s="16" t="s">
        <v>342</v>
      </c>
      <c r="C172" s="10" t="s">
        <v>330</v>
      </c>
      <c r="D172" s="13" t="s">
        <v>345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 x14ac:dyDescent="0.2">
      <c r="A173" s="25">
        <v>41</v>
      </c>
      <c r="B173" s="9" t="s">
        <v>343</v>
      </c>
      <c r="C173" s="10" t="s">
        <v>350</v>
      </c>
      <c r="D173" s="13" t="s">
        <v>354</v>
      </c>
      <c r="E173" s="70">
        <f>4227.52</f>
        <v>4227.5200000000004</v>
      </c>
      <c r="F173" s="197">
        <v>4365.3307546666701</v>
      </c>
      <c r="G173" s="70">
        <f t="shared" si="19"/>
        <v>137.81075466666999</v>
      </c>
      <c r="H173" s="11"/>
      <c r="I173" s="11"/>
    </row>
    <row r="174" spans="1:9" ht="20.100000000000001" customHeight="1" x14ac:dyDescent="0.2">
      <c r="A174" s="25">
        <v>42</v>
      </c>
      <c r="B174" s="9" t="s">
        <v>346</v>
      </c>
      <c r="C174" s="10" t="s">
        <v>350</v>
      </c>
      <c r="D174" s="13" t="s">
        <v>354</v>
      </c>
      <c r="E174" s="70">
        <f>4227.52</f>
        <v>4227.5200000000004</v>
      </c>
      <c r="F174" s="197">
        <v>4365.3307546666701</v>
      </c>
      <c r="G174" s="70">
        <f t="shared" si="19"/>
        <v>137.81075466666999</v>
      </c>
      <c r="H174" s="11"/>
      <c r="I174" s="11"/>
    </row>
    <row r="175" spans="1:9" ht="20.100000000000001" customHeight="1" x14ac:dyDescent="0.2">
      <c r="A175" s="25">
        <v>43</v>
      </c>
      <c r="B175" s="16" t="s">
        <v>347</v>
      </c>
      <c r="C175" s="10" t="s">
        <v>350</v>
      </c>
      <c r="D175" s="13" t="s">
        <v>1197</v>
      </c>
      <c r="E175" s="70">
        <f>4365.33</f>
        <v>4365.33</v>
      </c>
      <c r="F175" s="197">
        <v>4504.4109200000003</v>
      </c>
      <c r="G175" s="70">
        <f t="shared" si="19"/>
        <v>139.08091999999999</v>
      </c>
      <c r="H175" s="11"/>
      <c r="I175" s="11"/>
    </row>
    <row r="176" spans="1:9" ht="20.100000000000001" customHeight="1" x14ac:dyDescent="0.2">
      <c r="A176" s="25">
        <v>44</v>
      </c>
      <c r="B176" s="9" t="s">
        <v>349</v>
      </c>
      <c r="C176" s="10" t="s">
        <v>350</v>
      </c>
      <c r="D176" s="13" t="s">
        <v>1202</v>
      </c>
      <c r="E176" s="70">
        <f>4089.72</f>
        <v>4089.72</v>
      </c>
      <c r="F176" s="197">
        <v>4227.5237226666704</v>
      </c>
      <c r="G176" s="70">
        <f t="shared" si="19"/>
        <v>137.80372266667101</v>
      </c>
      <c r="H176" s="11"/>
      <c r="I176" s="11"/>
    </row>
    <row r="177" spans="1:9" ht="20.100000000000001" customHeight="1" x14ac:dyDescent="0.2">
      <c r="A177" s="25">
        <v>45</v>
      </c>
      <c r="B177" s="9" t="s">
        <v>352</v>
      </c>
      <c r="C177" s="10" t="s">
        <v>353</v>
      </c>
      <c r="D177" s="13" t="s">
        <v>1203</v>
      </c>
      <c r="E177" s="70">
        <f>3951.8</f>
        <v>3951.8</v>
      </c>
      <c r="F177" s="197">
        <v>4089.7166906666698</v>
      </c>
      <c r="G177" s="70">
        <f t="shared" si="19"/>
        <v>137.91669066667001</v>
      </c>
      <c r="H177" s="11"/>
      <c r="I177" s="11"/>
    </row>
    <row r="178" spans="1:9" ht="20.100000000000001" customHeight="1" x14ac:dyDescent="0.2">
      <c r="A178" s="25">
        <v>46</v>
      </c>
      <c r="B178" s="9" t="s">
        <v>355</v>
      </c>
      <c r="C178" s="10" t="s">
        <v>353</v>
      </c>
      <c r="D178" s="13" t="s">
        <v>1203</v>
      </c>
      <c r="E178" s="70">
        <f>3687.8</f>
        <v>3687.8</v>
      </c>
      <c r="F178" s="197">
        <v>3825.7166906666698</v>
      </c>
      <c r="G178" s="70">
        <f t="shared" si="19"/>
        <v>137.91669066667001</v>
      </c>
      <c r="H178" s="11"/>
      <c r="I178" s="11"/>
    </row>
    <row r="179" spans="1:9" ht="20.100000000000001" customHeight="1" x14ac:dyDescent="0.2">
      <c r="A179" s="25">
        <v>47</v>
      </c>
      <c r="B179" s="9" t="s">
        <v>356</v>
      </c>
      <c r="C179" s="10" t="s">
        <v>353</v>
      </c>
      <c r="D179" s="13" t="s">
        <v>1203</v>
      </c>
      <c r="E179" s="70">
        <f>3951.8</f>
        <v>3951.8</v>
      </c>
      <c r="F179" s="197">
        <v>4089.7166906666698</v>
      </c>
      <c r="G179" s="70">
        <f t="shared" si="19"/>
        <v>137.91669066667001</v>
      </c>
      <c r="H179" s="11"/>
      <c r="I179" s="11"/>
    </row>
    <row r="180" spans="1:9" ht="20.100000000000001" customHeight="1" x14ac:dyDescent="0.2">
      <c r="A180" s="25">
        <v>48</v>
      </c>
      <c r="B180" s="9" t="s">
        <v>357</v>
      </c>
      <c r="C180" s="10" t="s">
        <v>353</v>
      </c>
      <c r="D180" s="13" t="s">
        <v>1203</v>
      </c>
      <c r="E180" s="70">
        <f>3687.8</f>
        <v>3687.8</v>
      </c>
      <c r="F180" s="197">
        <v>3825.7166906666698</v>
      </c>
      <c r="G180" s="70">
        <f t="shared" si="19"/>
        <v>137.91669066667001</v>
      </c>
      <c r="H180" s="11"/>
      <c r="I180" s="11"/>
    </row>
    <row r="181" spans="1:9" ht="20.100000000000001" customHeight="1" x14ac:dyDescent="0.2">
      <c r="A181" s="25">
        <v>49</v>
      </c>
      <c r="B181" s="9" t="s">
        <v>358</v>
      </c>
      <c r="C181" s="10" t="s">
        <v>353</v>
      </c>
      <c r="D181" s="13" t="s">
        <v>1203</v>
      </c>
      <c r="E181" s="70">
        <f>3951.8</f>
        <v>3951.8</v>
      </c>
      <c r="F181" s="197">
        <v>4089.7166906666698</v>
      </c>
      <c r="G181" s="70">
        <f t="shared" si="19"/>
        <v>137.91669066667001</v>
      </c>
      <c r="H181" s="11"/>
      <c r="I181" s="11"/>
    </row>
    <row r="182" spans="1:9" ht="20.100000000000001" customHeight="1" x14ac:dyDescent="0.2">
      <c r="A182" s="25">
        <v>50</v>
      </c>
      <c r="B182" s="16" t="s">
        <v>359</v>
      </c>
      <c r="C182" s="10" t="s">
        <v>353</v>
      </c>
      <c r="D182" s="13" t="s">
        <v>1203</v>
      </c>
      <c r="E182" s="70">
        <f>3687.8</f>
        <v>3687.8</v>
      </c>
      <c r="F182" s="197">
        <v>3825.7166906666698</v>
      </c>
      <c r="G182" s="70">
        <f t="shared" si="19"/>
        <v>137.91669066667001</v>
      </c>
      <c r="H182" s="11"/>
      <c r="I182" s="11"/>
    </row>
    <row r="183" spans="1:9" ht="20.100000000000001" customHeight="1" x14ac:dyDescent="0.2">
      <c r="A183" s="25">
        <v>51</v>
      </c>
      <c r="B183" s="16" t="s">
        <v>360</v>
      </c>
      <c r="C183" s="10" t="s">
        <v>353</v>
      </c>
      <c r="D183" s="13" t="s">
        <v>1203</v>
      </c>
      <c r="E183" s="70">
        <f>3951.8</f>
        <v>3951.8</v>
      </c>
      <c r="F183" s="197">
        <v>4089.7166906666698</v>
      </c>
      <c r="G183" s="70">
        <f t="shared" si="19"/>
        <v>137.91669066667001</v>
      </c>
      <c r="H183" s="11"/>
      <c r="I183" s="11"/>
    </row>
    <row r="184" spans="1:9" ht="20.100000000000001" customHeight="1" x14ac:dyDescent="0.2">
      <c r="A184" s="25">
        <v>52</v>
      </c>
      <c r="B184" s="9" t="s">
        <v>493</v>
      </c>
      <c r="C184" s="10" t="s">
        <v>350</v>
      </c>
      <c r="D184" s="13" t="s">
        <v>1203</v>
      </c>
      <c r="E184" s="70">
        <f>3951.8</f>
        <v>3951.8</v>
      </c>
      <c r="F184" s="197">
        <v>4089.7166906666698</v>
      </c>
      <c r="G184" s="70">
        <f t="shared" si="19"/>
        <v>137.91669066667001</v>
      </c>
      <c r="H184" s="11"/>
      <c r="I184" s="11"/>
    </row>
    <row r="185" spans="1:9" ht="20.100000000000001" customHeight="1" x14ac:dyDescent="0.2">
      <c r="A185" s="25">
        <v>53</v>
      </c>
      <c r="B185" s="9" t="s">
        <v>361</v>
      </c>
      <c r="C185" s="10" t="s">
        <v>350</v>
      </c>
      <c r="D185" s="13" t="s">
        <v>1203</v>
      </c>
      <c r="E185" s="70">
        <f>3951.8</f>
        <v>3951.8</v>
      </c>
      <c r="F185" s="197">
        <v>4089.7166906666698</v>
      </c>
      <c r="G185" s="70">
        <f t="shared" si="19"/>
        <v>137.91669066667001</v>
      </c>
      <c r="H185" s="11"/>
      <c r="I185" s="11"/>
    </row>
    <row r="186" spans="1:9" ht="20.100000000000001" customHeight="1" x14ac:dyDescent="0.2">
      <c r="A186" s="25">
        <v>54</v>
      </c>
      <c r="B186" s="16" t="s">
        <v>362</v>
      </c>
      <c r="C186" s="10" t="s">
        <v>353</v>
      </c>
      <c r="D186" s="13" t="s">
        <v>1219</v>
      </c>
      <c r="E186" s="70">
        <f>3183.66</f>
        <v>3183.66</v>
      </c>
      <c r="F186" s="197">
        <v>3064.8720786666699</v>
      </c>
      <c r="G186" s="70">
        <f t="shared" si="19"/>
        <v>-118.78792133333</v>
      </c>
      <c r="H186" s="11"/>
      <c r="I186" s="11"/>
    </row>
    <row r="187" spans="1:9" ht="20.100000000000001" customHeight="1" x14ac:dyDescent="0.2">
      <c r="A187" s="25">
        <v>55</v>
      </c>
      <c r="B187" s="16" t="s">
        <v>367</v>
      </c>
      <c r="C187" s="10" t="s">
        <v>353</v>
      </c>
      <c r="D187" s="13" t="s">
        <v>371</v>
      </c>
      <c r="E187" s="70">
        <f>2972.91</f>
        <v>2972.91</v>
      </c>
      <c r="F187" s="197">
        <v>3091.5368486666698</v>
      </c>
      <c r="G187" s="70">
        <f t="shared" si="19"/>
        <v>118.62684866667</v>
      </c>
      <c r="H187" s="11"/>
      <c r="I187" s="11"/>
    </row>
    <row r="188" spans="1:9" ht="20.100000000000001" customHeight="1" x14ac:dyDescent="0.5">
      <c r="A188" s="25"/>
      <c r="B188" s="6" t="s">
        <v>111</v>
      </c>
      <c r="C188" s="26" t="s">
        <v>1366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 x14ac:dyDescent="0.2">
      <c r="A189" s="2"/>
      <c r="B189" s="28" t="s">
        <v>379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7135974.5583150098</v>
      </c>
      <c r="G189" s="193" t="e">
        <f t="shared" si="22"/>
        <v>#REF!</v>
      </c>
      <c r="H189" s="11"/>
      <c r="I189" s="11"/>
    </row>
    <row r="190" spans="1:9" ht="20.100000000000001" customHeight="1" x14ac:dyDescent="0.2">
      <c r="B190" s="31"/>
      <c r="D190" s="32"/>
      <c r="E190" s="195"/>
      <c r="F190" s="195"/>
      <c r="G190" s="195"/>
      <c r="I190" s="33"/>
    </row>
    <row r="191" spans="1:9" ht="65.25" customHeight="1" x14ac:dyDescent="0.2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191"/>
  <sheetViews>
    <sheetView view="pageBreakPreview" zoomScaleNormal="100" workbookViewId="0">
      <pane xSplit="3" ySplit="6" topLeftCell="D188" activePane="bottomRight" state="frozen"/>
      <selection pane="bottomLeft"/>
      <selection pane="topRight"/>
      <selection pane="bottomRight" activeCell="D191" sqref="D191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40.453125" style="1" customWidth="1"/>
    <col min="4" max="4" width="11.59375" style="1" customWidth="1"/>
    <col min="5" max="5" width="17.80078125" style="1" customWidth="1"/>
    <col min="6" max="7" width="14.83203125" style="1" customWidth="1"/>
    <col min="8" max="8" width="17.6640625" style="1" customWidth="1"/>
    <col min="9" max="9" width="21.7109375" style="1" customWidth="1"/>
    <col min="10" max="16384" width="9.16796875" style="1"/>
  </cols>
  <sheetData>
    <row r="1" spans="1:9" ht="27" customHeight="1" x14ac:dyDescent="0.3">
      <c r="A1" s="936" t="s">
        <v>0</v>
      </c>
      <c r="B1" s="936"/>
      <c r="C1" s="936"/>
      <c r="D1" s="936"/>
      <c r="E1" s="936"/>
    </row>
    <row r="2" spans="1:9" ht="33.75" customHeight="1" x14ac:dyDescent="0.3">
      <c r="A2" s="61" t="s">
        <v>1370</v>
      </c>
      <c r="B2" s="62"/>
      <c r="C2" s="61"/>
      <c r="D2" s="61"/>
      <c r="E2" s="182"/>
      <c r="F2" s="63"/>
      <c r="G2" s="63"/>
      <c r="H2" s="63"/>
    </row>
    <row r="3" spans="1:9" ht="9.75" customHeight="1" x14ac:dyDescent="0.2">
      <c r="E3" s="183" t="e">
        <f>'[1]FEB 08'!E11/'[1]FEB 08'!M11</f>
        <v>#REF!</v>
      </c>
    </row>
    <row r="4" spans="1:9" ht="45" customHeight="1" x14ac:dyDescent="0.2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1387</v>
      </c>
      <c r="G4" s="184" t="s">
        <v>1388</v>
      </c>
      <c r="H4" s="22" t="s">
        <v>778</v>
      </c>
    </row>
    <row r="5" spans="1:9" ht="20.100000000000001" customHeight="1" x14ac:dyDescent="0.2">
      <c r="A5" s="7" t="s">
        <v>21</v>
      </c>
      <c r="B5" s="6" t="s">
        <v>22</v>
      </c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</row>
    <row r="6" spans="1:9" ht="20.100000000000001" customHeight="1" x14ac:dyDescent="0.2">
      <c r="A6" s="8">
        <v>1</v>
      </c>
      <c r="B6" s="9" t="s">
        <v>23</v>
      </c>
      <c r="C6" s="10" t="s">
        <v>24</v>
      </c>
      <c r="D6" s="10" t="s">
        <v>25</v>
      </c>
      <c r="E6" s="70">
        <v>160488.75</v>
      </c>
      <c r="F6" s="70"/>
      <c r="G6" s="70"/>
      <c r="H6" s="70"/>
      <c r="I6" s="11"/>
    </row>
    <row r="7" spans="1:9" ht="20.100000000000001" customHeight="1" x14ac:dyDescent="0.2">
      <c r="A7" s="8">
        <v>2</v>
      </c>
      <c r="B7" s="9" t="s">
        <v>1261</v>
      </c>
      <c r="C7" s="2" t="s">
        <v>1350</v>
      </c>
      <c r="D7" s="8" t="s">
        <v>154</v>
      </c>
      <c r="E7" s="70">
        <f>42653.17</f>
        <v>42653.17</v>
      </c>
      <c r="F7" s="70">
        <f>0.025*E7</f>
        <v>1066.32925</v>
      </c>
      <c r="G7" s="70">
        <f>'[19]April 2022'!$H$26</f>
        <v>1028.9422500000001</v>
      </c>
      <c r="H7" s="70">
        <f>F7-G7</f>
        <v>37.386999999999901</v>
      </c>
      <c r="I7" s="11"/>
    </row>
    <row r="8" spans="1:9" ht="20.100000000000001" customHeight="1" x14ac:dyDescent="0.2">
      <c r="A8" s="8">
        <v>3</v>
      </c>
      <c r="B8" s="12" t="s">
        <v>1351</v>
      </c>
      <c r="C8" s="2" t="s">
        <v>1352</v>
      </c>
      <c r="D8" s="8" t="s">
        <v>154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 x14ac:dyDescent="0.2">
      <c r="A9" s="8">
        <v>4</v>
      </c>
      <c r="B9" s="9" t="s">
        <v>26</v>
      </c>
      <c r="C9" s="10" t="s">
        <v>27</v>
      </c>
      <c r="D9" s="8" t="s">
        <v>28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 x14ac:dyDescent="0.2">
      <c r="A10" s="8">
        <v>5</v>
      </c>
      <c r="B10" s="12" t="s">
        <v>29</v>
      </c>
      <c r="C10" s="2" t="s">
        <v>30</v>
      </c>
      <c r="D10" s="13" t="s">
        <v>35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 x14ac:dyDescent="0.2">
      <c r="A11" s="8">
        <v>6</v>
      </c>
      <c r="B11" s="12" t="s">
        <v>208</v>
      </c>
      <c r="C11" s="2" t="s">
        <v>1263</v>
      </c>
      <c r="D11" s="14" t="s">
        <v>35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 x14ac:dyDescent="0.2">
      <c r="A12" s="8">
        <v>7</v>
      </c>
      <c r="B12" s="9" t="s">
        <v>31</v>
      </c>
      <c r="C12" s="15" t="s">
        <v>32</v>
      </c>
      <c r="D12" s="14" t="s">
        <v>35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 x14ac:dyDescent="0.2">
      <c r="A13" s="8">
        <v>8</v>
      </c>
      <c r="B13" s="12" t="s">
        <v>271</v>
      </c>
      <c r="C13" s="2" t="s">
        <v>529</v>
      </c>
      <c r="D13" s="14" t="s">
        <v>35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 x14ac:dyDescent="0.2">
      <c r="A14" s="8">
        <v>9</v>
      </c>
      <c r="B14" s="9" t="s">
        <v>33</v>
      </c>
      <c r="C14" s="10" t="s">
        <v>532</v>
      </c>
      <c r="D14" s="13" t="s">
        <v>131</v>
      </c>
      <c r="E14" s="70">
        <v>33507.5</v>
      </c>
      <c r="F14" s="70">
        <f>0.025*E14</f>
        <v>837.6875</v>
      </c>
      <c r="G14" s="70">
        <f>'[19]April 2022'!$H$28</f>
        <v>837.6875</v>
      </c>
      <c r="H14" s="70">
        <f t="shared" si="0"/>
        <v>0</v>
      </c>
      <c r="I14" s="11"/>
    </row>
    <row r="15" spans="1:9" ht="20.100000000000001" customHeight="1" x14ac:dyDescent="0.2">
      <c r="A15" s="8">
        <v>10</v>
      </c>
      <c r="B15" s="16" t="s">
        <v>550</v>
      </c>
      <c r="C15" s="10" t="s">
        <v>551</v>
      </c>
      <c r="D15" s="8" t="s">
        <v>549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 x14ac:dyDescent="0.2">
      <c r="A16" s="8">
        <v>11</v>
      </c>
      <c r="B16" s="17" t="s">
        <v>1353</v>
      </c>
      <c r="C16" s="2" t="s">
        <v>1354</v>
      </c>
      <c r="D16" s="14" t="s">
        <v>176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 x14ac:dyDescent="0.2">
      <c r="A17" s="8">
        <v>12</v>
      </c>
      <c r="B17" s="12" t="s">
        <v>1264</v>
      </c>
      <c r="C17" s="2" t="s">
        <v>40</v>
      </c>
      <c r="D17" s="8" t="s">
        <v>176</v>
      </c>
      <c r="E17" s="70">
        <v>27611.23</v>
      </c>
      <c r="F17" s="70">
        <f>0.025*E17</f>
        <v>690.28075000000001</v>
      </c>
      <c r="G17" s="70">
        <f>'[19]April 2022'!$H$27</f>
        <v>668.31624999999997</v>
      </c>
      <c r="H17" s="70">
        <f t="shared" si="0"/>
        <v>21.964499999999902</v>
      </c>
      <c r="I17" s="11"/>
    </row>
    <row r="18" spans="1:9" ht="19.5" customHeight="1" x14ac:dyDescent="0.2">
      <c r="A18" s="8">
        <v>13</v>
      </c>
      <c r="B18" s="12" t="s">
        <v>1355</v>
      </c>
      <c r="C18" s="2" t="s">
        <v>1356</v>
      </c>
      <c r="D18" s="8" t="s">
        <v>176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 x14ac:dyDescent="0.2">
      <c r="A19" s="8">
        <v>14</v>
      </c>
      <c r="B19" s="9" t="s">
        <v>39</v>
      </c>
      <c r="C19" s="2" t="s">
        <v>40</v>
      </c>
      <c r="D19" s="13" t="s">
        <v>176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 x14ac:dyDescent="0.2">
      <c r="A20" s="8">
        <v>15</v>
      </c>
      <c r="B20" s="9" t="s">
        <v>50</v>
      </c>
      <c r="C20" s="10" t="s">
        <v>51</v>
      </c>
      <c r="D20" s="13" t="s">
        <v>1199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 x14ac:dyDescent="0.2">
      <c r="A21" s="8">
        <v>16</v>
      </c>
      <c r="B21" s="16" t="s">
        <v>53</v>
      </c>
      <c r="C21" s="2" t="s">
        <v>54</v>
      </c>
      <c r="D21" s="13" t="s">
        <v>58</v>
      </c>
      <c r="E21" s="70">
        <f>23891.12</f>
        <v>23891.119999999999</v>
      </c>
      <c r="F21" s="70">
        <f>0.025*E21</f>
        <v>597.27800000000002</v>
      </c>
      <c r="G21" s="70">
        <f>'[19]April 2022'!$H$52</f>
        <v>576.87474999999995</v>
      </c>
      <c r="H21" s="70">
        <f t="shared" si="0"/>
        <v>20.40325</v>
      </c>
      <c r="I21" s="11"/>
    </row>
    <row r="22" spans="1:9" ht="20.100000000000001" customHeight="1" x14ac:dyDescent="0.2">
      <c r="A22" s="8">
        <v>17</v>
      </c>
      <c r="B22" s="9" t="s">
        <v>177</v>
      </c>
      <c r="C22" s="10" t="s">
        <v>555</v>
      </c>
      <c r="D22" s="13" t="s">
        <v>162</v>
      </c>
      <c r="E22" s="70">
        <f>22837.82</f>
        <v>22837.82</v>
      </c>
      <c r="F22" s="70">
        <f>0.025*E22</f>
        <v>570.94550000000004</v>
      </c>
      <c r="G22" s="70">
        <f>'[19]April 2022'!$H$45</f>
        <v>538.02200000000005</v>
      </c>
      <c r="H22" s="70">
        <f t="shared" si="0"/>
        <v>32.923499999999997</v>
      </c>
      <c r="I22" s="11"/>
    </row>
    <row r="23" spans="1:9" ht="18.75" customHeight="1" x14ac:dyDescent="0.2">
      <c r="A23" s="8">
        <v>18</v>
      </c>
      <c r="B23" s="9" t="s">
        <v>63</v>
      </c>
      <c r="C23" s="10" t="s">
        <v>64</v>
      </c>
      <c r="D23" s="13" t="s">
        <v>68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 x14ac:dyDescent="0.2">
      <c r="A24" s="8">
        <v>19</v>
      </c>
      <c r="B24" s="9" t="s">
        <v>236</v>
      </c>
      <c r="C24" s="2" t="s">
        <v>237</v>
      </c>
      <c r="D24" s="13" t="s">
        <v>68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 x14ac:dyDescent="0.2">
      <c r="A25" s="8">
        <v>20</v>
      </c>
      <c r="B25" s="16" t="s">
        <v>288</v>
      </c>
      <c r="C25" s="2" t="s">
        <v>1372</v>
      </c>
      <c r="D25" s="13" t="s">
        <v>300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 x14ac:dyDescent="0.2">
      <c r="A26" s="8">
        <v>21</v>
      </c>
      <c r="B26" s="16" t="s">
        <v>1357</v>
      </c>
      <c r="C26" s="10" t="s">
        <v>101</v>
      </c>
      <c r="D26" s="13" t="s">
        <v>119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 x14ac:dyDescent="0.2">
      <c r="A27" s="8">
        <v>22</v>
      </c>
      <c r="B27" s="2" t="s">
        <v>77</v>
      </c>
      <c r="C27" s="2" t="s">
        <v>78</v>
      </c>
      <c r="D27" s="8" t="s">
        <v>87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 x14ac:dyDescent="0.2">
      <c r="A28" s="8">
        <v>23</v>
      </c>
      <c r="B28" s="16" t="s">
        <v>80</v>
      </c>
      <c r="C28" s="10" t="s">
        <v>78</v>
      </c>
      <c r="D28" s="13" t="s">
        <v>87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 x14ac:dyDescent="0.2">
      <c r="A29" s="8">
        <v>24</v>
      </c>
      <c r="B29" s="9" t="s">
        <v>1265</v>
      </c>
      <c r="C29" s="10" t="s">
        <v>1266</v>
      </c>
      <c r="D29" s="13" t="s">
        <v>87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 x14ac:dyDescent="0.2">
      <c r="A30" s="8">
        <v>25</v>
      </c>
      <c r="B30" s="16" t="s">
        <v>82</v>
      </c>
      <c r="C30" s="10" t="s">
        <v>1213</v>
      </c>
      <c r="D30" s="13" t="s">
        <v>1373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 x14ac:dyDescent="0.2">
      <c r="A31" s="8">
        <v>26</v>
      </c>
      <c r="B31" s="9" t="s">
        <v>219</v>
      </c>
      <c r="C31" s="15" t="s">
        <v>1374</v>
      </c>
      <c r="D31" s="13" t="s">
        <v>206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 x14ac:dyDescent="0.2">
      <c r="A32" s="8">
        <v>27</v>
      </c>
      <c r="B32" s="16" t="s">
        <v>85</v>
      </c>
      <c r="C32" s="2" t="s">
        <v>1267</v>
      </c>
      <c r="D32" s="8" t="s">
        <v>206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 x14ac:dyDescent="0.2">
      <c r="A33" s="8">
        <v>28</v>
      </c>
      <c r="B33" s="16" t="s">
        <v>89</v>
      </c>
      <c r="C33" s="15" t="s">
        <v>90</v>
      </c>
      <c r="D33" s="13" t="s">
        <v>87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 x14ac:dyDescent="0.2">
      <c r="A34" s="8">
        <v>29</v>
      </c>
      <c r="B34" s="16" t="s">
        <v>92</v>
      </c>
      <c r="C34" s="2" t="s">
        <v>1375</v>
      </c>
      <c r="D34" s="8" t="s">
        <v>105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 x14ac:dyDescent="0.2">
      <c r="A35" s="8">
        <v>30</v>
      </c>
      <c r="B35" s="16" t="s">
        <v>1191</v>
      </c>
      <c r="C35" s="10" t="s">
        <v>101</v>
      </c>
      <c r="D35" s="13" t="s">
        <v>105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 x14ac:dyDescent="0.2">
      <c r="A36" s="8">
        <v>31</v>
      </c>
      <c r="B36" s="16" t="s">
        <v>1358</v>
      </c>
      <c r="C36" s="10" t="s">
        <v>101</v>
      </c>
      <c r="D36" s="13" t="s">
        <v>105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 x14ac:dyDescent="0.2">
      <c r="A37" s="8"/>
      <c r="B37" s="18" t="s">
        <v>111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 x14ac:dyDescent="0.2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 x14ac:dyDescent="0.2">
      <c r="A39" s="8"/>
      <c r="B39" s="18" t="s">
        <v>112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 x14ac:dyDescent="0.2">
      <c r="A40" s="8">
        <v>1</v>
      </c>
      <c r="B40" s="16" t="s">
        <v>113</v>
      </c>
      <c r="C40" s="2" t="s">
        <v>114</v>
      </c>
      <c r="D40" s="8" t="s">
        <v>115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 x14ac:dyDescent="0.2">
      <c r="A41" s="8">
        <v>2</v>
      </c>
      <c r="B41" s="16" t="s">
        <v>116</v>
      </c>
      <c r="C41" s="2" t="s">
        <v>799</v>
      </c>
      <c r="D41" s="8" t="s">
        <v>108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 x14ac:dyDescent="0.2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 x14ac:dyDescent="0.2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 x14ac:dyDescent="0.2">
      <c r="A44" s="8"/>
      <c r="B44" s="21" t="s">
        <v>125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 x14ac:dyDescent="0.2">
      <c r="A45" s="8">
        <v>1</v>
      </c>
      <c r="B45" s="9" t="s">
        <v>536</v>
      </c>
      <c r="C45" s="2" t="s">
        <v>537</v>
      </c>
      <c r="D45" s="8" t="s">
        <v>115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 x14ac:dyDescent="0.2">
      <c r="A46" s="8">
        <v>2</v>
      </c>
      <c r="B46" s="9" t="s">
        <v>538</v>
      </c>
      <c r="C46" s="2" t="s">
        <v>43</v>
      </c>
      <c r="D46" s="8" t="s">
        <v>131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 x14ac:dyDescent="0.2">
      <c r="A47" s="8">
        <v>3</v>
      </c>
      <c r="B47" s="9" t="s">
        <v>126</v>
      </c>
      <c r="C47" s="2" t="s">
        <v>130</v>
      </c>
      <c r="D47" s="8" t="s">
        <v>131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 x14ac:dyDescent="0.2">
      <c r="A48" s="8">
        <v>4</v>
      </c>
      <c r="B48" s="9" t="s">
        <v>129</v>
      </c>
      <c r="C48" s="2" t="s">
        <v>130</v>
      </c>
      <c r="D48" s="8" t="s">
        <v>131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 x14ac:dyDescent="0.2">
      <c r="A49" s="8">
        <v>5</v>
      </c>
      <c r="B49" s="9" t="s">
        <v>132</v>
      </c>
      <c r="C49" s="2" t="s">
        <v>130</v>
      </c>
      <c r="D49" s="8" t="s">
        <v>38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 x14ac:dyDescent="0.2">
      <c r="A50" s="8">
        <v>6</v>
      </c>
      <c r="B50" s="9" t="s">
        <v>133</v>
      </c>
      <c r="C50" s="2" t="s">
        <v>45</v>
      </c>
      <c r="D50" s="8" t="s">
        <v>176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 x14ac:dyDescent="0.2">
      <c r="A51" s="8">
        <v>7</v>
      </c>
      <c r="B51" s="12" t="s">
        <v>134</v>
      </c>
      <c r="C51" s="2" t="s">
        <v>156</v>
      </c>
      <c r="D51" s="14" t="s">
        <v>176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 x14ac:dyDescent="0.2">
      <c r="A52" s="8">
        <v>8</v>
      </c>
      <c r="B52" s="9" t="s">
        <v>1270</v>
      </c>
      <c r="C52" s="2" t="s">
        <v>156</v>
      </c>
      <c r="D52" s="8" t="s">
        <v>46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 x14ac:dyDescent="0.2">
      <c r="A53" s="8">
        <v>9</v>
      </c>
      <c r="B53" s="9" t="s">
        <v>44</v>
      </c>
      <c r="C53" s="2" t="s">
        <v>552</v>
      </c>
      <c r="D53" s="8" t="s">
        <v>534</v>
      </c>
      <c r="E53" s="70">
        <v>25523.45</v>
      </c>
      <c r="F53" s="70">
        <f>0.025*E53</f>
        <v>638.08624999999995</v>
      </c>
      <c r="G53" s="70">
        <f>'[19]April 2022'!$H$46</f>
        <v>618.53150000000005</v>
      </c>
      <c r="H53" s="70">
        <f t="shared" si="0"/>
        <v>19.554749999999999</v>
      </c>
      <c r="I53" s="11"/>
    </row>
    <row r="54" spans="1:9" ht="20.100000000000001" customHeight="1" x14ac:dyDescent="0.2">
      <c r="A54" s="8">
        <v>10</v>
      </c>
      <c r="B54" s="9" t="s">
        <v>142</v>
      </c>
      <c r="C54" s="2" t="s">
        <v>139</v>
      </c>
      <c r="D54" s="8" t="s">
        <v>96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 x14ac:dyDescent="0.2">
      <c r="A55" s="8">
        <v>11</v>
      </c>
      <c r="B55" s="9" t="s">
        <v>539</v>
      </c>
      <c r="C55" s="2" t="s">
        <v>139</v>
      </c>
      <c r="D55" s="8" t="s">
        <v>96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 x14ac:dyDescent="0.2">
      <c r="A56" s="8">
        <v>12</v>
      </c>
      <c r="B56" s="9" t="s">
        <v>143</v>
      </c>
      <c r="C56" s="2" t="s">
        <v>139</v>
      </c>
      <c r="D56" s="8" t="s">
        <v>96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 x14ac:dyDescent="0.5">
      <c r="A57" s="8"/>
      <c r="B57" s="18" t="s">
        <v>111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 x14ac:dyDescent="0.2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 x14ac:dyDescent="0.2">
      <c r="A59" s="8"/>
      <c r="B59" s="18" t="s">
        <v>145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 x14ac:dyDescent="0.2">
      <c r="A60" s="8">
        <v>1</v>
      </c>
      <c r="B60" s="9" t="s">
        <v>540</v>
      </c>
      <c r="C60" s="10" t="s">
        <v>147</v>
      </c>
      <c r="D60" s="13" t="s">
        <v>115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 x14ac:dyDescent="0.5">
      <c r="A61" s="8"/>
      <c r="B61" s="18" t="s">
        <v>111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 x14ac:dyDescent="0.2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 x14ac:dyDescent="0.2">
      <c r="A63" s="8"/>
      <c r="B63" s="18" t="s">
        <v>151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 x14ac:dyDescent="0.2">
      <c r="A64" s="8">
        <v>1</v>
      </c>
      <c r="B64" s="9" t="s">
        <v>541</v>
      </c>
      <c r="C64" s="15" t="s">
        <v>542</v>
      </c>
      <c r="D64" s="8" t="s">
        <v>115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 x14ac:dyDescent="0.2">
      <c r="A65" s="8">
        <v>2</v>
      </c>
      <c r="B65" s="16" t="s">
        <v>543</v>
      </c>
      <c r="C65" s="15" t="s">
        <v>544</v>
      </c>
      <c r="D65" s="13" t="s">
        <v>1200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 x14ac:dyDescent="0.2">
      <c r="A66" s="8">
        <v>3</v>
      </c>
      <c r="B66" s="9" t="s">
        <v>155</v>
      </c>
      <c r="C66" s="2" t="s">
        <v>158</v>
      </c>
      <c r="D66" s="8" t="s">
        <v>534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 x14ac:dyDescent="0.2">
      <c r="A67" s="8">
        <v>4</v>
      </c>
      <c r="B67" s="16" t="s">
        <v>545</v>
      </c>
      <c r="C67" s="15" t="s">
        <v>158</v>
      </c>
      <c r="D67" s="13" t="s">
        <v>1199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 x14ac:dyDescent="0.2">
      <c r="A68" s="8">
        <v>5</v>
      </c>
      <c r="B68" s="12" t="s">
        <v>546</v>
      </c>
      <c r="C68" s="15" t="s">
        <v>156</v>
      </c>
      <c r="D68" s="13" t="s">
        <v>176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 x14ac:dyDescent="0.2">
      <c r="A69" s="8">
        <v>6</v>
      </c>
      <c r="B69" s="9" t="s">
        <v>161</v>
      </c>
      <c r="C69" s="2" t="s">
        <v>139</v>
      </c>
      <c r="D69" s="8" t="s">
        <v>1376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 x14ac:dyDescent="0.2">
      <c r="A70" s="8">
        <v>7</v>
      </c>
      <c r="B70" s="9" t="s">
        <v>1278</v>
      </c>
      <c r="C70" s="15" t="s">
        <v>70</v>
      </c>
      <c r="D70" s="13" t="s">
        <v>162</v>
      </c>
      <c r="E70" s="70">
        <f>22837.82</f>
        <v>22837.82</v>
      </c>
      <c r="F70" s="70">
        <f>0.025*E70</f>
        <v>570.94550000000004</v>
      </c>
      <c r="G70" s="70">
        <f>'[19]April 2022'!$H$41</f>
        <v>538.02200000000005</v>
      </c>
      <c r="H70" s="70">
        <f t="shared" si="0"/>
        <v>32.923499999999997</v>
      </c>
      <c r="I70" s="11"/>
    </row>
    <row r="71" spans="1:9" ht="20.100000000000001" customHeight="1" x14ac:dyDescent="0.2">
      <c r="A71" s="8">
        <v>8</v>
      </c>
      <c r="B71" s="9" t="s">
        <v>163</v>
      </c>
      <c r="C71" s="15" t="s">
        <v>70</v>
      </c>
      <c r="D71" s="13" t="s">
        <v>137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 x14ac:dyDescent="0.2">
      <c r="A72" s="8">
        <v>9</v>
      </c>
      <c r="B72" s="9" t="s">
        <v>164</v>
      </c>
      <c r="C72" s="15" t="s">
        <v>70</v>
      </c>
      <c r="D72" s="13" t="s">
        <v>137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 x14ac:dyDescent="0.2">
      <c r="A73" s="8">
        <v>10</v>
      </c>
      <c r="B73" s="9" t="s">
        <v>165</v>
      </c>
      <c r="C73" s="2" t="s">
        <v>166</v>
      </c>
      <c r="D73" s="8" t="s">
        <v>68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 x14ac:dyDescent="0.2">
      <c r="A74" s="8">
        <v>11</v>
      </c>
      <c r="B74" s="9" t="s">
        <v>1359</v>
      </c>
      <c r="C74" s="15" t="s">
        <v>139</v>
      </c>
      <c r="D74" s="8" t="s">
        <v>76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 x14ac:dyDescent="0.2">
      <c r="A75" s="8">
        <v>12</v>
      </c>
      <c r="B75" s="9" t="s">
        <v>81</v>
      </c>
      <c r="C75" s="15" t="s">
        <v>67</v>
      </c>
      <c r="D75" s="8" t="s">
        <v>87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 x14ac:dyDescent="0.2">
      <c r="A76" s="8">
        <v>13</v>
      </c>
      <c r="B76" s="12" t="s">
        <v>66</v>
      </c>
      <c r="C76" s="15" t="s">
        <v>67</v>
      </c>
      <c r="D76" s="8" t="s">
        <v>105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 x14ac:dyDescent="0.5">
      <c r="A77" s="8"/>
      <c r="B77" s="18" t="s">
        <v>111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 x14ac:dyDescent="0.2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 x14ac:dyDescent="0.2">
      <c r="A79" s="8"/>
      <c r="B79" s="18" t="s">
        <v>169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 x14ac:dyDescent="0.2">
      <c r="A80" s="8">
        <v>1</v>
      </c>
      <c r="B80" s="9" t="s">
        <v>170</v>
      </c>
      <c r="C80" s="2" t="s">
        <v>171</v>
      </c>
      <c r="D80" s="8" t="s">
        <v>115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 x14ac:dyDescent="0.2">
      <c r="A81" s="8">
        <v>2</v>
      </c>
      <c r="B81" s="12" t="s">
        <v>547</v>
      </c>
      <c r="C81" s="2" t="s">
        <v>548</v>
      </c>
      <c r="D81" s="13" t="s">
        <v>1200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 x14ac:dyDescent="0.2">
      <c r="A82" s="8">
        <v>3</v>
      </c>
      <c r="B82" s="12" t="s">
        <v>1360</v>
      </c>
      <c r="C82" s="2" t="s">
        <v>1361</v>
      </c>
      <c r="D82" s="13" t="s">
        <v>1200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 x14ac:dyDescent="0.2">
      <c r="A83" s="8">
        <v>4</v>
      </c>
      <c r="B83" s="9" t="s">
        <v>174</v>
      </c>
      <c r="C83" s="2" t="s">
        <v>1214</v>
      </c>
      <c r="D83" s="13" t="s">
        <v>534</v>
      </c>
      <c r="E83" s="70">
        <v>25523.45</v>
      </c>
      <c r="F83" s="70">
        <f>0.025*E83</f>
        <v>638.08624999999995</v>
      </c>
      <c r="G83" s="70">
        <f>'[19]April 2022'!$H$38</f>
        <v>618.53150000000005</v>
      </c>
      <c r="H83" s="70">
        <f t="shared" si="6"/>
        <v>19.554749999999999</v>
      </c>
      <c r="I83" s="11"/>
    </row>
    <row r="84" spans="1:9" ht="20.100000000000001" customHeight="1" x14ac:dyDescent="0.2">
      <c r="A84" s="8">
        <v>5</v>
      </c>
      <c r="B84" s="9" t="s">
        <v>181</v>
      </c>
      <c r="C84" s="2" t="s">
        <v>184</v>
      </c>
      <c r="D84" s="8" t="s">
        <v>76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 x14ac:dyDescent="0.5">
      <c r="A85" s="8"/>
      <c r="B85" s="18" t="s">
        <v>111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 x14ac:dyDescent="0.2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 x14ac:dyDescent="0.2">
      <c r="A87" s="8"/>
      <c r="B87" s="18" t="s">
        <v>187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 x14ac:dyDescent="0.2">
      <c r="A88" s="8">
        <v>1</v>
      </c>
      <c r="B88" s="9" t="s">
        <v>1377</v>
      </c>
      <c r="C88" s="2" t="s">
        <v>1378</v>
      </c>
      <c r="D88" s="8" t="s">
        <v>154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 x14ac:dyDescent="0.2">
      <c r="A89" s="8">
        <v>2</v>
      </c>
      <c r="B89" s="9" t="s">
        <v>190</v>
      </c>
      <c r="C89" s="2" t="s">
        <v>130</v>
      </c>
      <c r="D89" s="8" t="s">
        <v>131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 x14ac:dyDescent="0.2">
      <c r="A90" s="8">
        <v>3</v>
      </c>
      <c r="B90" s="9" t="s">
        <v>188</v>
      </c>
      <c r="C90" s="2" t="s">
        <v>130</v>
      </c>
      <c r="D90" s="8" t="s">
        <v>131</v>
      </c>
      <c r="E90" s="70">
        <v>33507.5</v>
      </c>
      <c r="F90" s="70">
        <f>0.025*E90</f>
        <v>837.6875</v>
      </c>
      <c r="G90" s="70">
        <f>'[19]April 2022'!$H$37</f>
        <v>837.6875</v>
      </c>
      <c r="H90" s="70">
        <f t="shared" si="6"/>
        <v>0</v>
      </c>
      <c r="I90" s="11"/>
    </row>
    <row r="91" spans="1:9" ht="20.100000000000001" customHeight="1" x14ac:dyDescent="0.2">
      <c r="A91" s="8">
        <v>4</v>
      </c>
      <c r="B91" s="12" t="s">
        <v>152</v>
      </c>
      <c r="C91" s="2" t="s">
        <v>156</v>
      </c>
      <c r="D91" s="8" t="s">
        <v>41</v>
      </c>
      <c r="E91" s="70">
        <f>28489.81</f>
        <v>28489.81</v>
      </c>
      <c r="F91" s="70">
        <f>0.025*E91</f>
        <v>712.24525000000006</v>
      </c>
      <c r="G91" s="70">
        <f>'[19]April 2022'!$H$44</f>
        <v>690.28075000000001</v>
      </c>
      <c r="H91" s="70">
        <f t="shared" si="6"/>
        <v>21.964500000000001</v>
      </c>
      <c r="I91" s="11"/>
    </row>
    <row r="92" spans="1:9" ht="20.100000000000001" customHeight="1" x14ac:dyDescent="0.2">
      <c r="A92" s="8">
        <v>5</v>
      </c>
      <c r="B92" s="9" t="s">
        <v>193</v>
      </c>
      <c r="C92" s="2" t="s">
        <v>45</v>
      </c>
      <c r="D92" s="8" t="s">
        <v>176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 x14ac:dyDescent="0.2">
      <c r="A93" s="8">
        <v>6</v>
      </c>
      <c r="B93" s="9" t="s">
        <v>194</v>
      </c>
      <c r="C93" s="2" t="s">
        <v>552</v>
      </c>
      <c r="D93" s="13" t="s">
        <v>534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 x14ac:dyDescent="0.2">
      <c r="A94" s="8">
        <v>7</v>
      </c>
      <c r="B94" s="9" t="s">
        <v>195</v>
      </c>
      <c r="C94" s="10" t="s">
        <v>158</v>
      </c>
      <c r="D94" s="13" t="s">
        <v>1199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 x14ac:dyDescent="0.2">
      <c r="A95" s="8">
        <v>8</v>
      </c>
      <c r="B95" s="9" t="s">
        <v>196</v>
      </c>
      <c r="C95" s="10" t="s">
        <v>158</v>
      </c>
      <c r="D95" s="13" t="s">
        <v>1199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 x14ac:dyDescent="0.2">
      <c r="A96" s="8">
        <v>9</v>
      </c>
      <c r="B96" s="9" t="s">
        <v>198</v>
      </c>
      <c r="C96" s="15" t="s">
        <v>70</v>
      </c>
      <c r="D96" s="13" t="s">
        <v>137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 x14ac:dyDescent="0.2">
      <c r="A97" s="8">
        <v>10</v>
      </c>
      <c r="B97" s="9" t="s">
        <v>202</v>
      </c>
      <c r="C97" s="2" t="s">
        <v>203</v>
      </c>
      <c r="D97" s="8" t="s">
        <v>73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 x14ac:dyDescent="0.2">
      <c r="A98" s="8">
        <v>11</v>
      </c>
      <c r="B98" s="9" t="s">
        <v>204</v>
      </c>
      <c r="C98" s="15" t="s">
        <v>205</v>
      </c>
      <c r="D98" s="13" t="s">
        <v>105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 x14ac:dyDescent="0.5">
      <c r="A99" s="8"/>
      <c r="B99" s="18" t="s">
        <v>111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 x14ac:dyDescent="0.2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 x14ac:dyDescent="0.2">
      <c r="A101" s="8"/>
      <c r="B101" s="18" t="s">
        <v>207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 x14ac:dyDescent="0.2">
      <c r="A102" s="8">
        <v>1</v>
      </c>
      <c r="B102" s="16" t="s">
        <v>530</v>
      </c>
      <c r="C102" s="8" t="s">
        <v>531</v>
      </c>
      <c r="D102" s="13" t="s">
        <v>35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 x14ac:dyDescent="0.2">
      <c r="A103" s="8">
        <v>2</v>
      </c>
      <c r="B103" s="9" t="s">
        <v>36</v>
      </c>
      <c r="C103" s="2" t="s">
        <v>212</v>
      </c>
      <c r="D103" s="8" t="s">
        <v>176</v>
      </c>
      <c r="E103" s="70">
        <v>27611.23</v>
      </c>
      <c r="F103" s="70">
        <f>0.025*E103</f>
        <v>690.28075000000001</v>
      </c>
      <c r="G103" s="70">
        <f>'[19]April 2022'!$H$54</f>
        <v>668.31624999999997</v>
      </c>
      <c r="H103" s="70">
        <f t="shared" si="6"/>
        <v>21.964499999999902</v>
      </c>
      <c r="I103" s="11"/>
    </row>
    <row r="104" spans="1:9" ht="20.100000000000001" customHeight="1" x14ac:dyDescent="0.2">
      <c r="A104" s="8">
        <v>3</v>
      </c>
      <c r="B104" s="16" t="s">
        <v>1379</v>
      </c>
      <c r="C104" s="2" t="s">
        <v>1380</v>
      </c>
      <c r="D104" s="13" t="s">
        <v>1199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 x14ac:dyDescent="0.2">
      <c r="A105" s="8">
        <v>4</v>
      </c>
      <c r="B105" s="9" t="s">
        <v>217</v>
      </c>
      <c r="C105" s="2" t="s">
        <v>218</v>
      </c>
      <c r="D105" s="13" t="s">
        <v>68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 x14ac:dyDescent="0.5">
      <c r="A106" s="2"/>
      <c r="B106" s="18" t="s">
        <v>111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 x14ac:dyDescent="0.2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 x14ac:dyDescent="0.2">
      <c r="A108" s="2"/>
      <c r="B108" s="18" t="s">
        <v>221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 x14ac:dyDescent="0.2">
      <c r="A109" s="2">
        <v>1</v>
      </c>
      <c r="B109" s="9" t="s">
        <v>222</v>
      </c>
      <c r="C109" s="10" t="s">
        <v>223</v>
      </c>
      <c r="D109" s="13" t="s">
        <v>115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 x14ac:dyDescent="0.2">
      <c r="A110" s="2">
        <v>2</v>
      </c>
      <c r="B110" s="9" t="s">
        <v>224</v>
      </c>
      <c r="C110" s="2" t="s">
        <v>225</v>
      </c>
      <c r="D110" s="14" t="s">
        <v>35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 x14ac:dyDescent="0.2">
      <c r="A111" s="2">
        <v>3</v>
      </c>
      <c r="B111" s="9" t="s">
        <v>226</v>
      </c>
      <c r="C111" s="2" t="s">
        <v>227</v>
      </c>
      <c r="D111" s="8" t="s">
        <v>52</v>
      </c>
      <c r="E111" s="70">
        <v>26339.3</v>
      </c>
      <c r="F111" s="70">
        <f>0.025*E111</f>
        <v>658.48249999999996</v>
      </c>
      <c r="G111" s="70">
        <f>'[19]April 2022'!$H$35</f>
        <v>658.48249999999996</v>
      </c>
      <c r="H111" s="70">
        <f t="shared" si="6"/>
        <v>0</v>
      </c>
      <c r="I111" s="11"/>
    </row>
    <row r="112" spans="1:9" ht="20.100000000000001" customHeight="1" x14ac:dyDescent="0.2">
      <c r="A112" s="2">
        <v>4</v>
      </c>
      <c r="B112" s="9" t="s">
        <v>228</v>
      </c>
      <c r="C112" s="2" t="s">
        <v>227</v>
      </c>
      <c r="D112" s="8" t="s">
        <v>52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 x14ac:dyDescent="0.2">
      <c r="A113" s="2">
        <v>5</v>
      </c>
      <c r="B113" s="9" t="s">
        <v>230</v>
      </c>
      <c r="C113" s="2" t="s">
        <v>231</v>
      </c>
      <c r="D113" s="13" t="s">
        <v>554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 x14ac:dyDescent="0.2">
      <c r="A114" s="2">
        <v>6</v>
      </c>
      <c r="B114" s="16" t="s">
        <v>233</v>
      </c>
      <c r="C114" s="2" t="s">
        <v>231</v>
      </c>
      <c r="D114" s="8" t="s">
        <v>206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 x14ac:dyDescent="0.2">
      <c r="A115" s="2">
        <v>7</v>
      </c>
      <c r="B115" s="16" t="s">
        <v>234</v>
      </c>
      <c r="C115" s="2" t="s">
        <v>231</v>
      </c>
      <c r="D115" s="13" t="s">
        <v>105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 x14ac:dyDescent="0.5">
      <c r="A116" s="2"/>
      <c r="B116" s="18" t="s">
        <v>111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 x14ac:dyDescent="0.2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 x14ac:dyDescent="0.2">
      <c r="A118" s="2"/>
      <c r="B118" s="18" t="s">
        <v>250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 x14ac:dyDescent="0.2">
      <c r="A119" s="2">
        <v>1</v>
      </c>
      <c r="B119" s="9" t="s">
        <v>251</v>
      </c>
      <c r="C119" s="10" t="s">
        <v>252</v>
      </c>
      <c r="D119" s="13" t="s">
        <v>115</v>
      </c>
      <c r="E119" s="70">
        <v>81740.02</v>
      </c>
      <c r="F119" s="70">
        <f>0.025*E119</f>
        <v>2043.5005000000001</v>
      </c>
      <c r="G119" s="70">
        <f>'[19]April 2022'!$H$21</f>
        <v>2043.5005000000001</v>
      </c>
      <c r="H119" s="70">
        <f t="shared" si="6"/>
        <v>0</v>
      </c>
      <c r="I119" s="11"/>
    </row>
    <row r="120" spans="1:9" ht="20.100000000000001" customHeight="1" x14ac:dyDescent="0.2">
      <c r="A120" s="2" t="s">
        <v>1381</v>
      </c>
      <c r="B120" s="9" t="s">
        <v>1382</v>
      </c>
      <c r="C120" s="10" t="s">
        <v>1383</v>
      </c>
      <c r="D120" s="13" t="s">
        <v>154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 x14ac:dyDescent="0.2">
      <c r="A121" s="2">
        <v>3</v>
      </c>
      <c r="B121" s="9" t="s">
        <v>253</v>
      </c>
      <c r="C121" s="10" t="s">
        <v>256</v>
      </c>
      <c r="D121" s="13" t="s">
        <v>131</v>
      </c>
      <c r="E121" s="70">
        <v>33507.5</v>
      </c>
      <c r="F121" s="70">
        <f>0.025*E121</f>
        <v>837.6875</v>
      </c>
      <c r="G121" s="70">
        <f>'[19]April 2022'!$H$20</f>
        <v>837.6875</v>
      </c>
      <c r="H121" s="70">
        <f t="shared" si="6"/>
        <v>0</v>
      </c>
      <c r="I121" s="11"/>
    </row>
    <row r="122" spans="1:9" ht="20.100000000000001" customHeight="1" x14ac:dyDescent="0.2">
      <c r="A122" s="2">
        <v>4</v>
      </c>
      <c r="B122" s="12" t="s">
        <v>255</v>
      </c>
      <c r="C122" s="10" t="s">
        <v>256</v>
      </c>
      <c r="D122" s="13" t="s">
        <v>131</v>
      </c>
      <c r="E122" s="70">
        <v>33507.5</v>
      </c>
      <c r="F122" s="70">
        <f>0.025*E122</f>
        <v>837.6875</v>
      </c>
      <c r="G122" s="70">
        <f>'[19]April 2022'!$H$22</f>
        <v>837.6875</v>
      </c>
      <c r="H122" s="70">
        <f t="shared" si="6"/>
        <v>0</v>
      </c>
      <c r="I122" s="11"/>
    </row>
    <row r="123" spans="1:9" ht="20.100000000000001" customHeight="1" x14ac:dyDescent="0.2">
      <c r="A123" s="2">
        <v>5</v>
      </c>
      <c r="B123" s="12" t="s">
        <v>556</v>
      </c>
      <c r="C123" s="10" t="s">
        <v>256</v>
      </c>
      <c r="D123" s="13" t="s">
        <v>49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 x14ac:dyDescent="0.2">
      <c r="A124" s="2">
        <v>6</v>
      </c>
      <c r="B124" s="9" t="s">
        <v>257</v>
      </c>
      <c r="C124" s="10" t="s">
        <v>258</v>
      </c>
      <c r="D124" s="13" t="s">
        <v>46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 x14ac:dyDescent="0.2">
      <c r="A125" s="2">
        <v>7</v>
      </c>
      <c r="B125" s="9" t="s">
        <v>259</v>
      </c>
      <c r="C125" s="10" t="s">
        <v>489</v>
      </c>
      <c r="D125" s="13" t="s">
        <v>534</v>
      </c>
      <c r="E125" s="70">
        <v>25523.45</v>
      </c>
      <c r="F125" s="70">
        <f>0.025*E125</f>
        <v>638.08624999999995</v>
      </c>
      <c r="G125" s="70">
        <f>'[19]April 2022'!$H$48</f>
        <v>618.53150000000005</v>
      </c>
      <c r="H125" s="70">
        <f t="shared" si="6"/>
        <v>19.554749999999999</v>
      </c>
      <c r="I125" s="11"/>
    </row>
    <row r="126" spans="1:9" ht="20.100000000000001" customHeight="1" x14ac:dyDescent="0.2">
      <c r="A126" s="2">
        <v>8</v>
      </c>
      <c r="B126" s="9" t="s">
        <v>260</v>
      </c>
      <c r="C126" s="10" t="s">
        <v>1216</v>
      </c>
      <c r="D126" s="13" t="s">
        <v>534</v>
      </c>
      <c r="E126" s="70">
        <v>25523.45</v>
      </c>
      <c r="F126" s="70">
        <f>0.025*E126</f>
        <v>638.08624999999995</v>
      </c>
      <c r="G126" s="70">
        <f>'[19]April 2022'!$H$24</f>
        <v>618.53150000000005</v>
      </c>
      <c r="H126" s="70">
        <f t="shared" si="6"/>
        <v>19.554749999999999</v>
      </c>
      <c r="I126" s="11"/>
    </row>
    <row r="127" spans="1:9" ht="20.100000000000001" customHeight="1" x14ac:dyDescent="0.2">
      <c r="A127" s="2">
        <v>9</v>
      </c>
      <c r="B127" s="16" t="s">
        <v>1384</v>
      </c>
      <c r="C127" s="10" t="s">
        <v>1385</v>
      </c>
      <c r="D127" s="13" t="s">
        <v>535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 x14ac:dyDescent="0.2">
      <c r="A128" s="2">
        <v>10</v>
      </c>
      <c r="B128" s="9" t="s">
        <v>263</v>
      </c>
      <c r="C128" s="10" t="s">
        <v>264</v>
      </c>
      <c r="D128" s="8" t="s">
        <v>87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 x14ac:dyDescent="0.2">
      <c r="A129" s="2">
        <v>11</v>
      </c>
      <c r="B129" s="16" t="s">
        <v>265</v>
      </c>
      <c r="C129" s="10" t="s">
        <v>266</v>
      </c>
      <c r="D129" s="13" t="s">
        <v>105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 x14ac:dyDescent="0.5">
      <c r="A130" s="2"/>
      <c r="B130" s="18" t="s">
        <v>111</v>
      </c>
      <c r="C130" s="24" t="s">
        <v>269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 x14ac:dyDescent="0.2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 x14ac:dyDescent="0.2">
      <c r="A132" s="2"/>
      <c r="B132" s="18" t="s">
        <v>270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 x14ac:dyDescent="0.2">
      <c r="A133" s="25">
        <v>1</v>
      </c>
      <c r="B133" s="9" t="s">
        <v>557</v>
      </c>
      <c r="C133" s="10" t="s">
        <v>558</v>
      </c>
      <c r="D133" s="13" t="s">
        <v>115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 x14ac:dyDescent="0.2">
      <c r="A134" s="25">
        <v>2</v>
      </c>
      <c r="B134" s="9" t="s">
        <v>559</v>
      </c>
      <c r="C134" s="10" t="s">
        <v>560</v>
      </c>
      <c r="D134" s="13" t="s">
        <v>154</v>
      </c>
      <c r="E134" s="70">
        <v>42653.17</v>
      </c>
      <c r="H134" s="70">
        <f t="shared" si="6"/>
        <v>0</v>
      </c>
      <c r="I134" s="11"/>
    </row>
    <row r="135" spans="1:9" ht="20.100000000000001" customHeight="1" x14ac:dyDescent="0.2">
      <c r="A135" s="25">
        <v>3</v>
      </c>
      <c r="B135" s="12" t="s">
        <v>274</v>
      </c>
      <c r="C135" s="2" t="s">
        <v>275</v>
      </c>
      <c r="D135" s="14" t="s">
        <v>35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 x14ac:dyDescent="0.2">
      <c r="A136" s="25">
        <v>4</v>
      </c>
      <c r="B136" s="9" t="s">
        <v>276</v>
      </c>
      <c r="C136" s="10" t="s">
        <v>561</v>
      </c>
      <c r="D136" s="13" t="s">
        <v>176</v>
      </c>
      <c r="E136" s="70">
        <v>27611.23</v>
      </c>
      <c r="F136" s="70">
        <f>0.025*E136</f>
        <v>690.28075000000001</v>
      </c>
      <c r="G136" s="70">
        <f>'[19]April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 x14ac:dyDescent="0.2">
      <c r="A137" s="25">
        <v>5</v>
      </c>
      <c r="B137" s="9" t="s">
        <v>278</v>
      </c>
      <c r="C137" s="2" t="s">
        <v>562</v>
      </c>
      <c r="D137" s="13" t="s">
        <v>176</v>
      </c>
      <c r="E137" s="70">
        <v>27611.23</v>
      </c>
      <c r="F137" s="70">
        <f>0.025*E137</f>
        <v>690.28075000000001</v>
      </c>
      <c r="G137" s="70">
        <f>'[19]April 2022'!$H$50</f>
        <v>668.31624999999997</v>
      </c>
      <c r="H137" s="70">
        <f t="shared" si="14"/>
        <v>21.964499999999902</v>
      </c>
      <c r="I137" s="11"/>
    </row>
    <row r="138" spans="1:9" ht="20.100000000000001" customHeight="1" x14ac:dyDescent="0.2">
      <c r="A138" s="25">
        <v>6</v>
      </c>
      <c r="B138" s="9" t="s">
        <v>211</v>
      </c>
      <c r="C138" s="2" t="s">
        <v>564</v>
      </c>
      <c r="D138" s="13" t="s">
        <v>534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 x14ac:dyDescent="0.2">
      <c r="A139" s="25">
        <v>7</v>
      </c>
      <c r="B139" s="9" t="s">
        <v>213</v>
      </c>
      <c r="C139" s="10" t="s">
        <v>563</v>
      </c>
      <c r="D139" s="13" t="s">
        <v>162</v>
      </c>
      <c r="E139" s="70">
        <f>22837.82</f>
        <v>22837.82</v>
      </c>
      <c r="F139" s="70">
        <f>0.025*E139</f>
        <v>570.94550000000004</v>
      </c>
      <c r="G139" s="70">
        <f>'[19]April 2022'!$H$40</f>
        <v>538.02200000000005</v>
      </c>
      <c r="H139" s="70">
        <f t="shared" si="14"/>
        <v>32.923499999999997</v>
      </c>
      <c r="I139" s="11"/>
    </row>
    <row r="140" spans="1:9" ht="20.100000000000001" customHeight="1" x14ac:dyDescent="0.2">
      <c r="A140" s="25">
        <v>8</v>
      </c>
      <c r="B140" s="9" t="s">
        <v>281</v>
      </c>
      <c r="C140" s="10" t="s">
        <v>563</v>
      </c>
      <c r="D140" s="13" t="s">
        <v>162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 x14ac:dyDescent="0.2">
      <c r="A141" s="25">
        <v>9</v>
      </c>
      <c r="B141" s="9" t="s">
        <v>282</v>
      </c>
      <c r="C141" s="2" t="s">
        <v>564</v>
      </c>
      <c r="D141" s="13" t="s">
        <v>162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 x14ac:dyDescent="0.2">
      <c r="A142" s="25">
        <v>10</v>
      </c>
      <c r="B142" s="9" t="s">
        <v>284</v>
      </c>
      <c r="C142" s="10" t="s">
        <v>565</v>
      </c>
      <c r="D142" s="13" t="s">
        <v>68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 x14ac:dyDescent="0.2">
      <c r="A143" s="25">
        <v>11</v>
      </c>
      <c r="B143" s="9" t="s">
        <v>286</v>
      </c>
      <c r="C143" s="10" t="s">
        <v>1218</v>
      </c>
      <c r="D143" s="13" t="s">
        <v>300</v>
      </c>
      <c r="E143" s="186">
        <v>18779.3</v>
      </c>
      <c r="F143" s="70">
        <f>0.025*E143</f>
        <v>469.48250000000002</v>
      </c>
      <c r="G143" s="70">
        <f>'[19]April 2022'!$H$43</f>
        <v>457.041</v>
      </c>
      <c r="H143" s="70">
        <f t="shared" si="14"/>
        <v>12.4415</v>
      </c>
      <c r="I143" s="11"/>
    </row>
    <row r="144" spans="1:9" ht="20.100000000000001" customHeight="1" x14ac:dyDescent="0.2">
      <c r="A144" s="25">
        <v>12</v>
      </c>
      <c r="B144" s="9" t="s">
        <v>60</v>
      </c>
      <c r="C144" s="10" t="s">
        <v>565</v>
      </c>
      <c r="D144" s="13" t="s">
        <v>162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 x14ac:dyDescent="0.2">
      <c r="A145" s="25">
        <v>13</v>
      </c>
      <c r="B145" s="9" t="s">
        <v>290</v>
      </c>
      <c r="C145" s="2" t="s">
        <v>566</v>
      </c>
      <c r="D145" s="13" t="s">
        <v>76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 x14ac:dyDescent="0.2">
      <c r="A146" s="25">
        <v>14</v>
      </c>
      <c r="B146" s="9" t="s">
        <v>291</v>
      </c>
      <c r="C146" s="2" t="s">
        <v>566</v>
      </c>
      <c r="D146" s="13" t="s">
        <v>119</v>
      </c>
      <c r="E146" s="186">
        <v>18281.64</v>
      </c>
      <c r="F146" s="70">
        <f>0.025*E146</f>
        <v>457.041</v>
      </c>
      <c r="G146" s="70">
        <f>'[19]April 2022'!$H$36</f>
        <v>444.60250000000002</v>
      </c>
      <c r="H146" s="70">
        <f t="shared" si="14"/>
        <v>12.438499999999999</v>
      </c>
      <c r="I146" s="11"/>
    </row>
    <row r="147" spans="1:9" ht="20.100000000000001" customHeight="1" x14ac:dyDescent="0.2">
      <c r="A147" s="25">
        <v>15</v>
      </c>
      <c r="B147" s="9" t="s">
        <v>293</v>
      </c>
      <c r="C147" s="2" t="s">
        <v>566</v>
      </c>
      <c r="D147" s="13" t="s">
        <v>119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 x14ac:dyDescent="0.2">
      <c r="A148" s="25">
        <v>16</v>
      </c>
      <c r="B148" s="9" t="s">
        <v>294</v>
      </c>
      <c r="C148" s="10" t="s">
        <v>295</v>
      </c>
      <c r="D148" s="13" t="s">
        <v>73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 x14ac:dyDescent="0.2">
      <c r="A149" s="25">
        <v>17</v>
      </c>
      <c r="B149" s="9" t="s">
        <v>1201</v>
      </c>
      <c r="C149" s="10" t="s">
        <v>297</v>
      </c>
      <c r="D149" s="8" t="s">
        <v>96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 x14ac:dyDescent="0.2">
      <c r="A150" s="25">
        <v>18</v>
      </c>
      <c r="B150" s="9" t="s">
        <v>298</v>
      </c>
      <c r="C150" s="10" t="s">
        <v>299</v>
      </c>
      <c r="D150" s="13" t="s">
        <v>76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 x14ac:dyDescent="0.2">
      <c r="A151" s="25">
        <v>19</v>
      </c>
      <c r="B151" s="9" t="s">
        <v>301</v>
      </c>
      <c r="C151" s="10" t="s">
        <v>302</v>
      </c>
      <c r="D151" s="13" t="s">
        <v>87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 x14ac:dyDescent="0.2">
      <c r="A152" s="25">
        <v>20</v>
      </c>
      <c r="B152" s="9" t="s">
        <v>303</v>
      </c>
      <c r="C152" s="10" t="s">
        <v>304</v>
      </c>
      <c r="D152" s="13" t="s">
        <v>76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 x14ac:dyDescent="0.2">
      <c r="A153" s="25">
        <v>21</v>
      </c>
      <c r="B153" s="9" t="s">
        <v>305</v>
      </c>
      <c r="C153" s="10" t="s">
        <v>306</v>
      </c>
      <c r="D153" s="13" t="s">
        <v>87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 x14ac:dyDescent="0.2">
      <c r="A154" s="25">
        <v>22</v>
      </c>
      <c r="B154" s="16" t="s">
        <v>307</v>
      </c>
      <c r="C154" s="10" t="s">
        <v>315</v>
      </c>
      <c r="D154" s="13" t="s">
        <v>1373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 x14ac:dyDescent="0.2">
      <c r="A155" s="25">
        <v>23</v>
      </c>
      <c r="B155" s="16" t="s">
        <v>1386</v>
      </c>
      <c r="C155" s="10" t="s">
        <v>313</v>
      </c>
      <c r="D155" s="13" t="s">
        <v>105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 x14ac:dyDescent="0.2">
      <c r="A156" s="25">
        <v>24</v>
      </c>
      <c r="B156" s="16" t="s">
        <v>312</v>
      </c>
      <c r="C156" s="10" t="s">
        <v>313</v>
      </c>
      <c r="D156" s="13" t="s">
        <v>108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 x14ac:dyDescent="0.2">
      <c r="A157" s="25">
        <v>25</v>
      </c>
      <c r="B157" s="16" t="s">
        <v>314</v>
      </c>
      <c r="C157" s="10" t="s">
        <v>315</v>
      </c>
      <c r="D157" s="13" t="s">
        <v>108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 x14ac:dyDescent="0.2">
      <c r="A158" s="25">
        <v>26</v>
      </c>
      <c r="B158" s="16" t="s">
        <v>316</v>
      </c>
      <c r="C158" s="10" t="s">
        <v>317</v>
      </c>
      <c r="D158" s="13" t="s">
        <v>105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 x14ac:dyDescent="0.2">
      <c r="A159" s="25">
        <v>27</v>
      </c>
      <c r="B159" s="16" t="s">
        <v>318</v>
      </c>
      <c r="C159" s="10" t="s">
        <v>319</v>
      </c>
      <c r="D159" s="13" t="s">
        <v>105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 x14ac:dyDescent="0.2">
      <c r="A160" s="25">
        <v>28</v>
      </c>
      <c r="B160" s="9" t="s">
        <v>329</v>
      </c>
      <c r="C160" s="10" t="s">
        <v>330</v>
      </c>
      <c r="D160" s="13" t="s">
        <v>348</v>
      </c>
      <c r="E160" s="192">
        <f>10527.6</f>
        <v>10527.6</v>
      </c>
      <c r="F160" s="70">
        <f>0.025*E160</f>
        <v>263.19</v>
      </c>
      <c r="G160" s="70">
        <f>'[19]April 2022'!$H$39</f>
        <v>226.2535</v>
      </c>
      <c r="H160" s="70">
        <f t="shared" si="14"/>
        <v>36.936500000000002</v>
      </c>
      <c r="I160" s="11"/>
    </row>
    <row r="161" spans="1:9" ht="20.100000000000001" customHeight="1" x14ac:dyDescent="0.2">
      <c r="A161" s="25">
        <v>29</v>
      </c>
      <c r="B161" s="9" t="s">
        <v>332</v>
      </c>
      <c r="C161" s="10" t="s">
        <v>330</v>
      </c>
      <c r="D161" s="13" t="s">
        <v>348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 x14ac:dyDescent="0.2">
      <c r="A162" s="25">
        <v>30</v>
      </c>
      <c r="B162" s="9" t="s">
        <v>333</v>
      </c>
      <c r="C162" s="10" t="s">
        <v>330</v>
      </c>
      <c r="D162" s="13" t="s">
        <v>348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 x14ac:dyDescent="0.2">
      <c r="A163" s="25">
        <v>31</v>
      </c>
      <c r="B163" s="9" t="s">
        <v>921</v>
      </c>
      <c r="C163" s="10" t="s">
        <v>330</v>
      </c>
      <c r="D163" s="13" t="s">
        <v>348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 x14ac:dyDescent="0.2">
      <c r="A164" s="25">
        <v>32</v>
      </c>
      <c r="B164" s="9" t="s">
        <v>334</v>
      </c>
      <c r="C164" s="10" t="s">
        <v>330</v>
      </c>
      <c r="D164" s="13" t="s">
        <v>348</v>
      </c>
      <c r="E164" s="192">
        <f t="shared" si="16"/>
        <v>10527.6</v>
      </c>
      <c r="F164" s="70">
        <v>263.19</v>
      </c>
      <c r="G164" s="70">
        <f>'[19]April 2022'!$H$51</f>
        <v>226.2535</v>
      </c>
      <c r="H164" s="70">
        <f t="shared" si="14"/>
        <v>36.936500000000002</v>
      </c>
      <c r="I164" s="11"/>
    </row>
    <row r="165" spans="1:9" ht="20.100000000000001" customHeight="1" x14ac:dyDescent="0.2">
      <c r="A165" s="25">
        <v>33</v>
      </c>
      <c r="B165" s="9" t="s">
        <v>335</v>
      </c>
      <c r="C165" s="10" t="s">
        <v>330</v>
      </c>
      <c r="D165" s="13" t="s">
        <v>348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 x14ac:dyDescent="0.2">
      <c r="A166" s="25">
        <v>34</v>
      </c>
      <c r="B166" s="9" t="s">
        <v>336</v>
      </c>
      <c r="C166" s="10" t="s">
        <v>330</v>
      </c>
      <c r="D166" s="13" t="s">
        <v>345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 x14ac:dyDescent="0.2">
      <c r="A167" s="25">
        <v>35</v>
      </c>
      <c r="B167" s="9" t="s">
        <v>338</v>
      </c>
      <c r="C167" s="10" t="s">
        <v>330</v>
      </c>
      <c r="D167" s="13" t="s">
        <v>345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 x14ac:dyDescent="0.2">
      <c r="A168" s="25">
        <v>36</v>
      </c>
      <c r="B168" s="9" t="s">
        <v>1365</v>
      </c>
      <c r="C168" s="10" t="s">
        <v>330</v>
      </c>
      <c r="D168" s="13" t="s">
        <v>345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 x14ac:dyDescent="0.2">
      <c r="A169" s="25">
        <v>37</v>
      </c>
      <c r="B169" s="12" t="s">
        <v>339</v>
      </c>
      <c r="C169" s="10" t="s">
        <v>330</v>
      </c>
      <c r="D169" s="13" t="s">
        <v>345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 x14ac:dyDescent="0.2">
      <c r="A170" s="25">
        <v>38</v>
      </c>
      <c r="B170" s="9" t="s">
        <v>340</v>
      </c>
      <c r="C170" s="10" t="s">
        <v>330</v>
      </c>
      <c r="D170" s="13" t="s">
        <v>345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 x14ac:dyDescent="0.2">
      <c r="A171" s="25">
        <v>39</v>
      </c>
      <c r="B171" s="16" t="s">
        <v>341</v>
      </c>
      <c r="C171" s="10" t="s">
        <v>330</v>
      </c>
      <c r="D171" s="13" t="s">
        <v>345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 x14ac:dyDescent="0.2">
      <c r="A172" s="25">
        <v>40</v>
      </c>
      <c r="B172" s="16" t="s">
        <v>342</v>
      </c>
      <c r="C172" s="10" t="s">
        <v>330</v>
      </c>
      <c r="D172" s="13" t="s">
        <v>345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 x14ac:dyDescent="0.2">
      <c r="A173" s="25">
        <v>41</v>
      </c>
      <c r="B173" s="9" t="s">
        <v>343</v>
      </c>
      <c r="C173" s="10" t="s">
        <v>350</v>
      </c>
      <c r="D173" s="13" t="s">
        <v>354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 x14ac:dyDescent="0.2">
      <c r="A174" s="25">
        <v>42</v>
      </c>
      <c r="B174" s="9" t="s">
        <v>346</v>
      </c>
      <c r="C174" s="10" t="s">
        <v>350</v>
      </c>
      <c r="D174" s="13" t="s">
        <v>354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 x14ac:dyDescent="0.2">
      <c r="A175" s="25">
        <v>43</v>
      </c>
      <c r="B175" s="16" t="s">
        <v>347</v>
      </c>
      <c r="C175" s="10" t="s">
        <v>350</v>
      </c>
      <c r="D175" s="13" t="s">
        <v>1197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 x14ac:dyDescent="0.2">
      <c r="A176" s="25">
        <v>44</v>
      </c>
      <c r="B176" s="9" t="s">
        <v>349</v>
      </c>
      <c r="C176" s="10" t="s">
        <v>350</v>
      </c>
      <c r="D176" s="13" t="s">
        <v>1202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 x14ac:dyDescent="0.2">
      <c r="A177" s="25">
        <v>45</v>
      </c>
      <c r="B177" s="9" t="s">
        <v>352</v>
      </c>
      <c r="C177" s="10" t="s">
        <v>353</v>
      </c>
      <c r="D177" s="13" t="s">
        <v>1203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 x14ac:dyDescent="0.2">
      <c r="A178" s="25">
        <v>46</v>
      </c>
      <c r="B178" s="9" t="s">
        <v>355</v>
      </c>
      <c r="C178" s="10" t="s">
        <v>353</v>
      </c>
      <c r="D178" s="13" t="s">
        <v>1203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 x14ac:dyDescent="0.2">
      <c r="A179" s="25">
        <v>47</v>
      </c>
      <c r="B179" s="9" t="s">
        <v>356</v>
      </c>
      <c r="C179" s="10" t="s">
        <v>353</v>
      </c>
      <c r="D179" s="13" t="s">
        <v>1203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 x14ac:dyDescent="0.2">
      <c r="A180" s="25">
        <v>48</v>
      </c>
      <c r="B180" s="9" t="s">
        <v>357</v>
      </c>
      <c r="C180" s="10" t="s">
        <v>353</v>
      </c>
      <c r="D180" s="13" t="s">
        <v>1203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 x14ac:dyDescent="0.2">
      <c r="A181" s="25">
        <v>49</v>
      </c>
      <c r="B181" s="9" t="s">
        <v>358</v>
      </c>
      <c r="C181" s="10" t="s">
        <v>353</v>
      </c>
      <c r="D181" s="13" t="s">
        <v>1203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 x14ac:dyDescent="0.2">
      <c r="A182" s="25">
        <v>50</v>
      </c>
      <c r="B182" s="16" t="s">
        <v>359</v>
      </c>
      <c r="C182" s="10" t="s">
        <v>353</v>
      </c>
      <c r="D182" s="13" t="s">
        <v>1203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 x14ac:dyDescent="0.2">
      <c r="A183" s="25">
        <v>51</v>
      </c>
      <c r="B183" s="16" t="s">
        <v>360</v>
      </c>
      <c r="C183" s="10" t="s">
        <v>353</v>
      </c>
      <c r="D183" s="13" t="s">
        <v>1203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 x14ac:dyDescent="0.2">
      <c r="A184" s="25">
        <v>52</v>
      </c>
      <c r="B184" s="9" t="s">
        <v>493</v>
      </c>
      <c r="C184" s="10" t="s">
        <v>350</v>
      </c>
      <c r="D184" s="13" t="s">
        <v>1203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 x14ac:dyDescent="0.2">
      <c r="A185" s="25">
        <v>53</v>
      </c>
      <c r="B185" s="9" t="s">
        <v>361</v>
      </c>
      <c r="C185" s="10" t="s">
        <v>350</v>
      </c>
      <c r="D185" s="13" t="s">
        <v>1203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 x14ac:dyDescent="0.2">
      <c r="A186" s="25">
        <v>54</v>
      </c>
      <c r="B186" s="16" t="s">
        <v>362</v>
      </c>
      <c r="C186" s="10" t="s">
        <v>353</v>
      </c>
      <c r="D186" s="13" t="s">
        <v>1219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 x14ac:dyDescent="0.2">
      <c r="A187" s="25">
        <v>55</v>
      </c>
      <c r="B187" s="16" t="s">
        <v>367</v>
      </c>
      <c r="C187" s="10" t="s">
        <v>353</v>
      </c>
      <c r="D187" s="13" t="s">
        <v>371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 x14ac:dyDescent="0.5">
      <c r="A188" s="25"/>
      <c r="B188" s="6" t="s">
        <v>111</v>
      </c>
      <c r="C188" s="26" t="s">
        <v>1366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 x14ac:dyDescent="0.2">
      <c r="A189" s="2"/>
      <c r="B189" s="28" t="s">
        <v>379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 x14ac:dyDescent="0.2">
      <c r="B190" s="31"/>
      <c r="D190" s="32"/>
      <c r="E190" s="32"/>
      <c r="F190" s="194"/>
      <c r="G190" s="194"/>
      <c r="H190" s="195"/>
      <c r="I190" s="33"/>
    </row>
    <row r="191" spans="1:9" ht="65.25" customHeight="1" x14ac:dyDescent="0.2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B180"/>
  <sheetViews>
    <sheetView workbookViewId="0">
      <selection activeCell="F6" sqref="F6"/>
    </sheetView>
  </sheetViews>
  <sheetFormatPr defaultColWidth="9.16796875" defaultRowHeight="12.75" x14ac:dyDescent="0.15"/>
  <cols>
    <col min="1" max="1" width="3.234375" style="179" customWidth="1"/>
    <col min="2" max="2" width="35.33203125" style="179" customWidth="1"/>
    <col min="3" max="3" width="12.67578125" style="179" customWidth="1"/>
    <col min="4" max="4" width="9.3046875" style="179" customWidth="1"/>
    <col min="5" max="5" width="12.67578125" style="179" customWidth="1"/>
    <col min="6" max="6" width="12" style="179" customWidth="1"/>
    <col min="7" max="7" width="9.3046875" style="179" customWidth="1"/>
    <col min="8" max="8" width="9.16796875" style="179"/>
    <col min="9" max="9" width="12.67578125" style="179" customWidth="1"/>
    <col min="10" max="10" width="10.11328125" style="179" customWidth="1"/>
    <col min="11" max="11" width="9.3046875" style="179" customWidth="1"/>
    <col min="12" max="14" width="11.73046875" style="179" customWidth="1"/>
    <col min="15" max="15" width="12.67578125" style="179" customWidth="1"/>
    <col min="16" max="19" width="9.3046875" style="179" customWidth="1"/>
    <col min="20" max="20" width="10.11328125" style="179" customWidth="1"/>
    <col min="21" max="22" width="11.73046875" style="179" customWidth="1"/>
    <col min="23" max="23" width="9.3046875" style="179" customWidth="1"/>
    <col min="24" max="24" width="10.11328125" style="179" customWidth="1"/>
    <col min="25" max="25" width="9.16796875" style="179"/>
    <col min="26" max="27" width="11.73046875" style="179" customWidth="1"/>
    <col min="28" max="28" width="9.3046875" style="179" customWidth="1"/>
    <col min="29" max="16384" width="9.16796875" style="179"/>
  </cols>
  <sheetData>
    <row r="1" spans="1:28" x14ac:dyDescent="0.15">
      <c r="A1" s="180" t="s">
        <v>0</v>
      </c>
    </row>
    <row r="2" spans="1:28" x14ac:dyDescent="0.15">
      <c r="A2" s="180" t="s">
        <v>498</v>
      </c>
    </row>
    <row r="3" spans="1:28" x14ac:dyDescent="0.15">
      <c r="A3" s="180" t="s">
        <v>1389</v>
      </c>
    </row>
    <row r="4" spans="1:28" ht="90" customHeight="1" x14ac:dyDescent="0.15">
      <c r="A4" s="181" t="s">
        <v>500</v>
      </c>
      <c r="B4" s="181" t="s">
        <v>501</v>
      </c>
      <c r="C4" s="181" t="s">
        <v>502</v>
      </c>
      <c r="D4" s="181" t="s">
        <v>503</v>
      </c>
      <c r="E4" s="181" t="s">
        <v>504</v>
      </c>
      <c r="F4" s="181" t="s">
        <v>505</v>
      </c>
      <c r="G4" s="181" t="s">
        <v>506</v>
      </c>
      <c r="H4" s="181" t="s">
        <v>507</v>
      </c>
      <c r="I4" s="181" t="s">
        <v>508</v>
      </c>
      <c r="J4" s="181"/>
      <c r="K4" s="181"/>
      <c r="L4" s="181"/>
      <c r="M4" s="181" t="s">
        <v>509</v>
      </c>
      <c r="N4" s="181" t="s">
        <v>510</v>
      </c>
      <c r="O4" s="181" t="s">
        <v>511</v>
      </c>
      <c r="P4" s="181" t="s">
        <v>512</v>
      </c>
      <c r="Q4" s="181" t="s">
        <v>513</v>
      </c>
      <c r="R4" s="181" t="s">
        <v>514</v>
      </c>
      <c r="S4" s="181" t="s">
        <v>515</v>
      </c>
      <c r="T4" s="181" t="s">
        <v>516</v>
      </c>
      <c r="U4" s="181" t="s">
        <v>517</v>
      </c>
      <c r="V4" s="181" t="s">
        <v>518</v>
      </c>
      <c r="W4" s="181"/>
      <c r="X4" s="181" t="s">
        <v>519</v>
      </c>
      <c r="Y4" s="181" t="s">
        <v>520</v>
      </c>
      <c r="Z4" s="181" t="s">
        <v>521</v>
      </c>
      <c r="AA4" s="181" t="s">
        <v>1390</v>
      </c>
      <c r="AB4" s="181" t="s">
        <v>648</v>
      </c>
    </row>
    <row r="5" spans="1:28" x14ac:dyDescent="0.15">
      <c r="A5">
        <v>1</v>
      </c>
      <c r="B5" s="179" t="s">
        <v>23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 x14ac:dyDescent="0.15">
      <c r="A6">
        <v>3</v>
      </c>
      <c r="B6" s="179" t="s">
        <v>1261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 x14ac:dyDescent="0.15">
      <c r="A7">
        <v>4</v>
      </c>
      <c r="B7" s="179" t="s">
        <v>1351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 x14ac:dyDescent="0.15">
      <c r="A8">
        <v>5</v>
      </c>
      <c r="B8" s="179" t="s">
        <v>26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 x14ac:dyDescent="0.15">
      <c r="A9">
        <v>6</v>
      </c>
      <c r="B9" s="179" t="s">
        <v>29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 x14ac:dyDescent="0.15">
      <c r="A10">
        <v>7</v>
      </c>
      <c r="B10" s="179" t="s">
        <v>208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 x14ac:dyDescent="0.15">
      <c r="A11">
        <v>8</v>
      </c>
      <c r="B11" s="179" t="s">
        <v>31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 x14ac:dyDescent="0.15">
      <c r="A12">
        <v>9</v>
      </c>
      <c r="B12" s="179" t="s">
        <v>271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 x14ac:dyDescent="0.15">
      <c r="A13">
        <v>10</v>
      </c>
      <c r="B13" s="179" t="s">
        <v>33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 x14ac:dyDescent="0.15">
      <c r="A14">
        <v>11</v>
      </c>
      <c r="B14" s="179" t="s">
        <v>550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 x14ac:dyDescent="0.15">
      <c r="A15">
        <v>12</v>
      </c>
      <c r="B15" s="179" t="s">
        <v>1353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 x14ac:dyDescent="0.15">
      <c r="A16">
        <v>13</v>
      </c>
      <c r="B16" s="179" t="s">
        <v>1264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 x14ac:dyDescent="0.15">
      <c r="A17">
        <v>14</v>
      </c>
      <c r="B17" s="179" t="s">
        <v>1355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 x14ac:dyDescent="0.15">
      <c r="A18">
        <v>15</v>
      </c>
      <c r="B18" s="179" t="s">
        <v>39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 x14ac:dyDescent="0.15">
      <c r="A19">
        <v>16</v>
      </c>
      <c r="B19" s="179" t="s">
        <v>50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 x14ac:dyDescent="0.15">
      <c r="A20">
        <v>17</v>
      </c>
      <c r="B20" s="179" t="s">
        <v>53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 x14ac:dyDescent="0.15">
      <c r="A21">
        <v>18</v>
      </c>
      <c r="B21" s="179" t="s">
        <v>177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 x14ac:dyDescent="0.15">
      <c r="A22">
        <v>19</v>
      </c>
      <c r="B22" s="179" t="s">
        <v>63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 x14ac:dyDescent="0.15">
      <c r="A23">
        <v>20</v>
      </c>
      <c r="B23" s="179" t="s">
        <v>236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 x14ac:dyDescent="0.15">
      <c r="A24">
        <v>21</v>
      </c>
      <c r="B24" s="179" t="s">
        <v>288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 x14ac:dyDescent="0.15">
      <c r="A25">
        <v>22</v>
      </c>
      <c r="B25" s="179" t="s">
        <v>1357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 x14ac:dyDescent="0.15">
      <c r="A26">
        <v>23</v>
      </c>
      <c r="B26" s="179" t="s">
        <v>77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 x14ac:dyDescent="0.15">
      <c r="A27">
        <v>24</v>
      </c>
      <c r="B27" s="179" t="s">
        <v>80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 x14ac:dyDescent="0.15">
      <c r="A28">
        <v>25</v>
      </c>
      <c r="B28" s="179" t="s">
        <v>1265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 x14ac:dyDescent="0.15">
      <c r="A29">
        <v>26</v>
      </c>
      <c r="B29" s="179" t="s">
        <v>82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 x14ac:dyDescent="0.15">
      <c r="A30">
        <v>27</v>
      </c>
      <c r="B30" s="179" t="s">
        <v>219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 x14ac:dyDescent="0.15">
      <c r="A31">
        <v>28</v>
      </c>
      <c r="B31" s="179" t="s">
        <v>85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 x14ac:dyDescent="0.15">
      <c r="A32">
        <v>29</v>
      </c>
      <c r="B32" s="179" t="s">
        <v>89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 x14ac:dyDescent="0.15">
      <c r="A33">
        <v>30</v>
      </c>
      <c r="B33" s="179" t="s">
        <v>92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 x14ac:dyDescent="0.15">
      <c r="A34">
        <v>31</v>
      </c>
      <c r="B34" s="179" t="s">
        <v>1191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 x14ac:dyDescent="0.15">
      <c r="A35">
        <v>32</v>
      </c>
      <c r="B35" s="179" t="s">
        <v>1358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 x14ac:dyDescent="0.15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 x14ac:dyDescent="0.15">
      <c r="A37"/>
    </row>
    <row r="38" spans="1:28" x14ac:dyDescent="0.15">
      <c r="A38">
        <v>33</v>
      </c>
      <c r="B38" s="179" t="s">
        <v>113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 x14ac:dyDescent="0.15">
      <c r="A39">
        <v>34</v>
      </c>
      <c r="B39" s="179" t="s">
        <v>116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 x14ac:dyDescent="0.15">
      <c r="A40"/>
    </row>
    <row r="41" spans="1:28" x14ac:dyDescent="0.15">
      <c r="A41"/>
    </row>
    <row r="42" spans="1:28" x14ac:dyDescent="0.15">
      <c r="A42">
        <v>35</v>
      </c>
      <c r="B42" s="179" t="s">
        <v>536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 x14ac:dyDescent="0.15">
      <c r="A43">
        <v>36</v>
      </c>
      <c r="B43" s="179" t="s">
        <v>538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 x14ac:dyDescent="0.15">
      <c r="A44">
        <v>37</v>
      </c>
      <c r="B44" s="179" t="s">
        <v>126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 x14ac:dyDescent="0.15">
      <c r="A45">
        <v>38</v>
      </c>
      <c r="B45" s="179" t="s">
        <v>129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 x14ac:dyDescent="0.15">
      <c r="A46">
        <v>39</v>
      </c>
      <c r="B46" s="179" t="s">
        <v>132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 x14ac:dyDescent="0.15">
      <c r="A47">
        <v>40</v>
      </c>
      <c r="B47" s="179" t="s">
        <v>133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 x14ac:dyDescent="0.15">
      <c r="A48">
        <v>41</v>
      </c>
      <c r="B48" s="179" t="s">
        <v>134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 x14ac:dyDescent="0.15">
      <c r="A49">
        <v>42</v>
      </c>
      <c r="B49" s="179" t="s">
        <v>1270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 x14ac:dyDescent="0.15">
      <c r="A50">
        <v>43</v>
      </c>
      <c r="B50" s="179" t="s">
        <v>44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 x14ac:dyDescent="0.15">
      <c r="A51">
        <v>44</v>
      </c>
      <c r="B51" s="179" t="s">
        <v>142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 x14ac:dyDescent="0.15">
      <c r="A52">
        <v>45</v>
      </c>
      <c r="B52" s="179" t="s">
        <v>539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 x14ac:dyDescent="0.15">
      <c r="A53">
        <v>46</v>
      </c>
      <c r="B53" s="179" t="s">
        <v>143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 x14ac:dyDescent="0.15">
      <c r="A54"/>
    </row>
    <row r="55" spans="1:28" x14ac:dyDescent="0.15">
      <c r="A55"/>
    </row>
    <row r="56" spans="1:28" x14ac:dyDescent="0.15">
      <c r="A56">
        <v>47</v>
      </c>
      <c r="B56" s="179" t="s">
        <v>540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 x14ac:dyDescent="0.15">
      <c r="A57">
        <v>48</v>
      </c>
      <c r="B57" s="179" t="s">
        <v>148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 x14ac:dyDescent="0.15">
      <c r="A58"/>
    </row>
    <row r="59" spans="1:28" x14ac:dyDescent="0.15">
      <c r="A59"/>
    </row>
    <row r="60" spans="1:28" x14ac:dyDescent="0.15">
      <c r="A60">
        <v>49</v>
      </c>
      <c r="B60" s="179" t="s">
        <v>541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 x14ac:dyDescent="0.15">
      <c r="A61">
        <v>50</v>
      </c>
      <c r="B61" s="179" t="s">
        <v>543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 x14ac:dyDescent="0.15">
      <c r="A62">
        <v>51</v>
      </c>
      <c r="B62" s="179" t="s">
        <v>155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 x14ac:dyDescent="0.15">
      <c r="A63">
        <v>52</v>
      </c>
      <c r="B63" s="179" t="s">
        <v>545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 x14ac:dyDescent="0.15">
      <c r="A64">
        <v>53</v>
      </c>
      <c r="B64" s="179" t="s">
        <v>546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 x14ac:dyDescent="0.15">
      <c r="A65">
        <v>54</v>
      </c>
      <c r="B65" s="179" t="s">
        <v>161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 x14ac:dyDescent="0.15">
      <c r="A66">
        <v>55</v>
      </c>
      <c r="B66" s="179" t="s">
        <v>1278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 x14ac:dyDescent="0.15">
      <c r="A67">
        <v>56</v>
      </c>
      <c r="B67" s="179" t="s">
        <v>163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 x14ac:dyDescent="0.15">
      <c r="A68">
        <v>57</v>
      </c>
      <c r="B68" s="179" t="s">
        <v>164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 x14ac:dyDescent="0.15">
      <c r="A69">
        <v>58</v>
      </c>
      <c r="B69" s="179" t="s">
        <v>165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 x14ac:dyDescent="0.15">
      <c r="A70">
        <v>59</v>
      </c>
      <c r="B70" s="179" t="s">
        <v>1359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 x14ac:dyDescent="0.15">
      <c r="A71">
        <v>60</v>
      </c>
      <c r="B71" s="179" t="s">
        <v>81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 x14ac:dyDescent="0.15">
      <c r="A72">
        <v>61</v>
      </c>
      <c r="B72" s="179" t="s">
        <v>66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 x14ac:dyDescent="0.15">
      <c r="A73"/>
    </row>
    <row r="74" spans="1:28" x14ac:dyDescent="0.15">
      <c r="A74"/>
    </row>
    <row r="75" spans="1:28" x14ac:dyDescent="0.15">
      <c r="A75">
        <v>62</v>
      </c>
      <c r="B75" s="179" t="s">
        <v>170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 x14ac:dyDescent="0.15">
      <c r="A76">
        <v>63</v>
      </c>
      <c r="B76" s="179" t="s">
        <v>547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 x14ac:dyDescent="0.15">
      <c r="A77">
        <v>64</v>
      </c>
      <c r="B77" s="179" t="s">
        <v>1360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 x14ac:dyDescent="0.15">
      <c r="A78">
        <v>65</v>
      </c>
      <c r="B78" s="179" t="s">
        <v>174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 x14ac:dyDescent="0.15">
      <c r="A79"/>
      <c r="B79" s="179" t="s">
        <v>181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 x14ac:dyDescent="0.15">
      <c r="A80"/>
    </row>
    <row r="81" spans="1:28" x14ac:dyDescent="0.15">
      <c r="A81"/>
    </row>
    <row r="82" spans="1:28" x14ac:dyDescent="0.15">
      <c r="A82">
        <v>66</v>
      </c>
      <c r="B82" s="179" t="s">
        <v>1377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 x14ac:dyDescent="0.15">
      <c r="A83">
        <v>67</v>
      </c>
      <c r="B83" s="179" t="s">
        <v>190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 x14ac:dyDescent="0.15">
      <c r="A84">
        <v>68</v>
      </c>
      <c r="B84" s="179" t="s">
        <v>188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 x14ac:dyDescent="0.15">
      <c r="A85">
        <v>69</v>
      </c>
      <c r="B85" s="179" t="s">
        <v>152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 x14ac:dyDescent="0.15">
      <c r="A86">
        <v>70</v>
      </c>
      <c r="B86" s="179" t="s">
        <v>193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 x14ac:dyDescent="0.15">
      <c r="A87">
        <v>71</v>
      </c>
      <c r="B87" s="179" t="s">
        <v>194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 x14ac:dyDescent="0.15">
      <c r="A88">
        <v>72</v>
      </c>
      <c r="B88" s="179" t="s">
        <v>195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 x14ac:dyDescent="0.15">
      <c r="A89">
        <v>73</v>
      </c>
      <c r="B89" s="179" t="s">
        <v>196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 x14ac:dyDescent="0.15">
      <c r="A90">
        <v>74</v>
      </c>
      <c r="B90" s="179" t="s">
        <v>198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 x14ac:dyDescent="0.15">
      <c r="A91">
        <v>75</v>
      </c>
      <c r="B91" s="179" t="s">
        <v>202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 x14ac:dyDescent="0.15">
      <c r="A92">
        <v>76</v>
      </c>
      <c r="B92" s="179" t="s">
        <v>204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 x14ac:dyDescent="0.15">
      <c r="A93"/>
    </row>
    <row r="94" spans="1:28" x14ac:dyDescent="0.15">
      <c r="A94"/>
    </row>
    <row r="95" spans="1:28" x14ac:dyDescent="0.15">
      <c r="A95"/>
    </row>
    <row r="96" spans="1:28" x14ac:dyDescent="0.15">
      <c r="A96">
        <v>78</v>
      </c>
      <c r="B96" s="179" t="s">
        <v>530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 x14ac:dyDescent="0.15">
      <c r="A97">
        <v>79</v>
      </c>
      <c r="B97" s="179" t="s">
        <v>36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 x14ac:dyDescent="0.15">
      <c r="A98">
        <v>80</v>
      </c>
      <c r="B98" s="179" t="s">
        <v>1379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 x14ac:dyDescent="0.15">
      <c r="A99">
        <v>81</v>
      </c>
      <c r="B99" s="179" t="s">
        <v>217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 x14ac:dyDescent="0.15">
      <c r="A100"/>
    </row>
    <row r="101" spans="1:28" x14ac:dyDescent="0.15">
      <c r="A101"/>
    </row>
    <row r="102" spans="1:28" x14ac:dyDescent="0.15">
      <c r="A102">
        <v>83</v>
      </c>
      <c r="B102" s="179" t="s">
        <v>222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 x14ac:dyDescent="0.15">
      <c r="A103">
        <v>84</v>
      </c>
      <c r="B103" s="179" t="s">
        <v>224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 x14ac:dyDescent="0.15">
      <c r="A104">
        <v>85</v>
      </c>
      <c r="B104" s="179" t="s">
        <v>226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 x14ac:dyDescent="0.15">
      <c r="A105">
        <v>86</v>
      </c>
      <c r="B105" s="179" t="s">
        <v>228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 x14ac:dyDescent="0.15">
      <c r="A106">
        <v>87</v>
      </c>
      <c r="B106" s="179" t="s">
        <v>230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 x14ac:dyDescent="0.15">
      <c r="A107">
        <v>88</v>
      </c>
      <c r="B107" s="179" t="s">
        <v>233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 x14ac:dyDescent="0.15">
      <c r="A108">
        <v>89</v>
      </c>
      <c r="B108" s="179" t="s">
        <v>234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 x14ac:dyDescent="0.15">
      <c r="A109"/>
      <c r="O109" s="179">
        <v>0</v>
      </c>
      <c r="P109" s="179">
        <v>0</v>
      </c>
      <c r="T109" s="179">
        <v>0</v>
      </c>
    </row>
    <row r="110" spans="1:28" x14ac:dyDescent="0.15">
      <c r="A110"/>
      <c r="O110" s="179">
        <v>0</v>
      </c>
      <c r="P110" s="179">
        <v>0</v>
      </c>
      <c r="T110" s="179">
        <v>0</v>
      </c>
    </row>
    <row r="111" spans="1:28" x14ac:dyDescent="0.15">
      <c r="A111"/>
      <c r="B111" s="179" t="s">
        <v>251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 x14ac:dyDescent="0.15">
      <c r="A112">
        <v>90</v>
      </c>
      <c r="B112" s="179" t="s">
        <v>1382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 x14ac:dyDescent="0.15">
      <c r="A113">
        <v>91</v>
      </c>
      <c r="B113" s="179" t="s">
        <v>253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 x14ac:dyDescent="0.15">
      <c r="A114">
        <v>92</v>
      </c>
      <c r="B114" s="179" t="s">
        <v>255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 x14ac:dyDescent="0.15">
      <c r="A115">
        <v>93</v>
      </c>
      <c r="B115" s="179" t="s">
        <v>556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 x14ac:dyDescent="0.15">
      <c r="A116">
        <v>94</v>
      </c>
      <c r="B116" s="179" t="s">
        <v>257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 x14ac:dyDescent="0.15">
      <c r="A117">
        <v>95</v>
      </c>
      <c r="B117" s="179" t="s">
        <v>259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 x14ac:dyDescent="0.15">
      <c r="A118">
        <v>96</v>
      </c>
      <c r="B118" s="179" t="s">
        <v>260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 x14ac:dyDescent="0.15">
      <c r="A119">
        <v>97</v>
      </c>
      <c r="B119" s="179" t="s">
        <v>1384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 x14ac:dyDescent="0.15">
      <c r="A120">
        <v>98</v>
      </c>
      <c r="B120" s="179" t="s">
        <v>263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 x14ac:dyDescent="0.15">
      <c r="A121">
        <v>99</v>
      </c>
      <c r="B121" s="179" t="s">
        <v>265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 x14ac:dyDescent="0.15">
      <c r="A122"/>
    </row>
    <row r="123" spans="1:28" x14ac:dyDescent="0.15">
      <c r="A123"/>
    </row>
    <row r="124" spans="1:28" x14ac:dyDescent="0.15">
      <c r="A124">
        <v>101</v>
      </c>
      <c r="B124" s="179" t="s">
        <v>557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 x14ac:dyDescent="0.15">
      <c r="A125">
        <v>103</v>
      </c>
      <c r="B125" s="179" t="s">
        <v>559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 x14ac:dyDescent="0.15">
      <c r="A126">
        <v>105</v>
      </c>
      <c r="B126" s="179" t="s">
        <v>274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 x14ac:dyDescent="0.15">
      <c r="A127">
        <v>106</v>
      </c>
      <c r="B127" s="179" t="s">
        <v>276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 x14ac:dyDescent="0.15">
      <c r="A128">
        <v>107</v>
      </c>
      <c r="B128" s="179" t="s">
        <v>278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 x14ac:dyDescent="0.15">
      <c r="A129">
        <v>108</v>
      </c>
      <c r="B129" s="179" t="s">
        <v>211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 x14ac:dyDescent="0.15">
      <c r="A130">
        <v>109</v>
      </c>
      <c r="B130" s="179" t="s">
        <v>213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 x14ac:dyDescent="0.15">
      <c r="A131">
        <v>110</v>
      </c>
      <c r="B131" s="179" t="s">
        <v>281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 x14ac:dyDescent="0.15">
      <c r="A132">
        <v>111</v>
      </c>
      <c r="B132" s="179" t="s">
        <v>282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 x14ac:dyDescent="0.15">
      <c r="A133">
        <v>112</v>
      </c>
      <c r="B133" s="179" t="s">
        <v>284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 x14ac:dyDescent="0.15">
      <c r="A134">
        <v>113</v>
      </c>
      <c r="B134" s="179" t="s">
        <v>286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 x14ac:dyDescent="0.15">
      <c r="A135">
        <v>114</v>
      </c>
      <c r="B135" s="179" t="s">
        <v>60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 x14ac:dyDescent="0.15">
      <c r="A136">
        <v>115</v>
      </c>
      <c r="B136" s="179" t="s">
        <v>290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 x14ac:dyDescent="0.15">
      <c r="A137">
        <v>116</v>
      </c>
      <c r="B137" s="179" t="s">
        <v>291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 x14ac:dyDescent="0.15">
      <c r="A138">
        <v>117</v>
      </c>
      <c r="B138" s="179" t="s">
        <v>293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 x14ac:dyDescent="0.15">
      <c r="A139">
        <v>118</v>
      </c>
      <c r="B139" s="179" t="s">
        <v>294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 x14ac:dyDescent="0.15">
      <c r="A140">
        <v>119</v>
      </c>
      <c r="B140" s="179" t="s">
        <v>1201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 x14ac:dyDescent="0.15">
      <c r="A141">
        <v>120</v>
      </c>
      <c r="B141" s="179" t="s">
        <v>298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 x14ac:dyDescent="0.15">
      <c r="A142">
        <v>121</v>
      </c>
      <c r="B142" s="179" t="s">
        <v>301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 x14ac:dyDescent="0.15">
      <c r="A143">
        <v>122</v>
      </c>
      <c r="B143" s="179" t="s">
        <v>303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 x14ac:dyDescent="0.15">
      <c r="A144">
        <v>123</v>
      </c>
      <c r="B144" s="179" t="s">
        <v>305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 x14ac:dyDescent="0.15">
      <c r="A145">
        <v>124</v>
      </c>
      <c r="B145" s="179" t="s">
        <v>307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 x14ac:dyDescent="0.15">
      <c r="A146">
        <v>125</v>
      </c>
      <c r="B146" s="179" t="s">
        <v>1386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 x14ac:dyDescent="0.15">
      <c r="A147">
        <v>126</v>
      </c>
      <c r="B147" s="179" t="s">
        <v>312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 x14ac:dyDescent="0.15">
      <c r="A148">
        <v>127</v>
      </c>
      <c r="B148" s="179" t="s">
        <v>314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 x14ac:dyDescent="0.15">
      <c r="A149">
        <v>128</v>
      </c>
      <c r="B149" s="179" t="s">
        <v>316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 x14ac:dyDescent="0.15">
      <c r="A150">
        <v>129</v>
      </c>
      <c r="B150" s="179" t="s">
        <v>318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 x14ac:dyDescent="0.15">
      <c r="A151">
        <v>130</v>
      </c>
      <c r="B151" s="179" t="s">
        <v>329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 x14ac:dyDescent="0.15">
      <c r="A152">
        <v>131</v>
      </c>
      <c r="B152" s="179" t="s">
        <v>332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 x14ac:dyDescent="0.15">
      <c r="A153">
        <v>132</v>
      </c>
      <c r="B153" s="179" t="s">
        <v>333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 x14ac:dyDescent="0.15">
      <c r="A154">
        <v>133</v>
      </c>
      <c r="B154" s="179" t="s">
        <v>921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 x14ac:dyDescent="0.15">
      <c r="A155">
        <v>134</v>
      </c>
      <c r="B155" s="179" t="s">
        <v>334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 x14ac:dyDescent="0.15">
      <c r="A156">
        <v>135</v>
      </c>
      <c r="B156" s="179" t="s">
        <v>335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 x14ac:dyDescent="0.15">
      <c r="A157">
        <v>136</v>
      </c>
      <c r="B157" s="179" t="s">
        <v>336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 x14ac:dyDescent="0.15">
      <c r="A158">
        <v>137</v>
      </c>
      <c r="B158" s="179" t="s">
        <v>338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 x14ac:dyDescent="0.15">
      <c r="A159">
        <v>138</v>
      </c>
      <c r="B159" s="179" t="s">
        <v>1365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 x14ac:dyDescent="0.15">
      <c r="A160">
        <v>139</v>
      </c>
      <c r="B160" s="179" t="s">
        <v>339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 x14ac:dyDescent="0.15">
      <c r="A161">
        <v>140</v>
      </c>
      <c r="B161" s="179" t="s">
        <v>340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 x14ac:dyDescent="0.15">
      <c r="A162">
        <v>141</v>
      </c>
      <c r="B162" s="179" t="s">
        <v>341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 x14ac:dyDescent="0.15">
      <c r="A163">
        <v>142</v>
      </c>
      <c r="B163" s="179" t="s">
        <v>342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 x14ac:dyDescent="0.15">
      <c r="A164">
        <v>143</v>
      </c>
      <c r="B164" s="179" t="s">
        <v>343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 x14ac:dyDescent="0.15">
      <c r="A165">
        <v>144</v>
      </c>
      <c r="B165" s="179" t="s">
        <v>346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 x14ac:dyDescent="0.15">
      <c r="A166">
        <v>145</v>
      </c>
      <c r="B166" s="179" t="s">
        <v>347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 x14ac:dyDescent="0.15">
      <c r="A167">
        <v>146</v>
      </c>
      <c r="B167" s="179" t="s">
        <v>349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 x14ac:dyDescent="0.15">
      <c r="A168">
        <v>147</v>
      </c>
      <c r="B168" s="179" t="s">
        <v>352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 x14ac:dyDescent="0.15">
      <c r="A169">
        <v>148</v>
      </c>
      <c r="B169" s="179" t="s">
        <v>355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 x14ac:dyDescent="0.15">
      <c r="A170">
        <v>149</v>
      </c>
      <c r="B170" s="179" t="s">
        <v>356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 x14ac:dyDescent="0.15">
      <c r="A171">
        <v>150</v>
      </c>
      <c r="B171" s="179" t="s">
        <v>357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 x14ac:dyDescent="0.15">
      <c r="A172">
        <v>151</v>
      </c>
      <c r="B172" s="179" t="s">
        <v>358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 x14ac:dyDescent="0.15">
      <c r="A173">
        <v>152</v>
      </c>
      <c r="B173" s="179" t="s">
        <v>359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 x14ac:dyDescent="0.15">
      <c r="A174">
        <v>153</v>
      </c>
      <c r="B174" s="179" t="s">
        <v>360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 x14ac:dyDescent="0.15">
      <c r="A175">
        <v>154</v>
      </c>
      <c r="B175" s="179" t="s">
        <v>493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 x14ac:dyDescent="0.15">
      <c r="A176">
        <v>155</v>
      </c>
      <c r="B176" s="179" t="s">
        <v>361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 x14ac:dyDescent="0.15">
      <c r="A177">
        <v>156</v>
      </c>
      <c r="B177" s="179" t="s">
        <v>362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 x14ac:dyDescent="0.15">
      <c r="A178">
        <v>157</v>
      </c>
      <c r="B178" s="179" t="s">
        <v>367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 x14ac:dyDescent="0.15">
      <c r="A179"/>
      <c r="Z179" s="179">
        <v>8914137.5402293094</v>
      </c>
    </row>
    <row r="180" spans="1:28" x14ac:dyDescent="0.15">
      <c r="Z180" s="179">
        <v>1553125.5702293101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L205"/>
  <sheetViews>
    <sheetView view="pageBreakPreview" zoomScaleNormal="100" workbookViewId="0">
      <pane xSplit="3" ySplit="9" topLeftCell="E36" activePane="bottomRight" state="frozen"/>
      <selection pane="bottomLeft"/>
      <selection pane="topRight"/>
      <selection pane="bottomRight" activeCell="C43" sqref="C43"/>
    </sheetView>
  </sheetViews>
  <sheetFormatPr defaultColWidth="9.16796875" defaultRowHeight="20.100000000000001" customHeight="1" x14ac:dyDescent="0.2"/>
  <cols>
    <col min="1" max="1" width="5.390625" style="44" customWidth="1"/>
    <col min="2" max="2" width="41.8046875" style="44" customWidth="1"/>
    <col min="3" max="3" width="41.265625" style="44" customWidth="1"/>
    <col min="4" max="4" width="14.83203125" style="44" customWidth="1"/>
    <col min="5" max="5" width="18.609375" style="44" customWidth="1"/>
    <col min="6" max="6" width="18.33984375" style="44" customWidth="1"/>
    <col min="7" max="7" width="19.6875" style="44" customWidth="1"/>
    <col min="8" max="8" width="18.33984375" style="44" customWidth="1"/>
    <col min="9" max="16384" width="9.16796875" style="44"/>
  </cols>
  <sheetData>
    <row r="1" spans="1:12" ht="29.25" customHeight="1" x14ac:dyDescent="0.2">
      <c r="B1" s="91"/>
      <c r="C1" s="91"/>
      <c r="D1" s="91"/>
      <c r="E1" s="91"/>
      <c r="L1" s="44" t="s">
        <v>1391</v>
      </c>
    </row>
    <row r="2" spans="1:12" ht="5.25" customHeight="1" x14ac:dyDescent="0.2">
      <c r="F2" s="126"/>
      <c r="G2" s="126"/>
    </row>
    <row r="3" spans="1:12" ht="20.100000000000001" customHeight="1" x14ac:dyDescent="0.2">
      <c r="B3" s="978" t="s">
        <v>1392</v>
      </c>
      <c r="C3" s="978"/>
      <c r="D3" s="978"/>
      <c r="E3" s="92"/>
      <c r="F3" s="127"/>
      <c r="G3" s="127"/>
    </row>
    <row r="4" spans="1:12" ht="2.25" customHeight="1" x14ac:dyDescent="0.2"/>
    <row r="5" spans="1:12" ht="20.100000000000001" customHeight="1" x14ac:dyDescent="0.2">
      <c r="B5" s="92" t="s">
        <v>2</v>
      </c>
      <c r="C5" s="94"/>
      <c r="D5" s="94"/>
      <c r="E5" s="94"/>
      <c r="F5" s="979"/>
      <c r="G5" s="979"/>
    </row>
    <row r="6" spans="1:12" ht="26.45" customHeight="1" x14ac:dyDescent="0.2">
      <c r="A6" s="41"/>
      <c r="B6" s="48"/>
      <c r="C6" s="48" t="s">
        <v>3</v>
      </c>
      <c r="D6" s="48" t="s">
        <v>1393</v>
      </c>
      <c r="E6" s="48"/>
      <c r="F6" s="55"/>
      <c r="G6" s="55"/>
    </row>
    <row r="7" spans="1:12" ht="37.15" customHeight="1" x14ac:dyDescent="0.2">
      <c r="A7" s="41"/>
      <c r="B7" s="40"/>
      <c r="C7" s="48"/>
      <c r="D7" s="48" t="s">
        <v>1394</v>
      </c>
      <c r="E7" s="96" t="s">
        <v>1395</v>
      </c>
      <c r="F7" s="96" t="s">
        <v>1396</v>
      </c>
      <c r="G7" s="50" t="s">
        <v>778</v>
      </c>
    </row>
    <row r="8" spans="1:12" ht="20.100000000000001" customHeight="1" x14ac:dyDescent="0.2">
      <c r="A8" s="40" t="s">
        <v>21</v>
      </c>
      <c r="B8" s="148" t="s">
        <v>22</v>
      </c>
      <c r="C8" s="97"/>
      <c r="D8" s="97"/>
      <c r="E8" s="98" t="s">
        <v>20</v>
      </c>
      <c r="F8" s="98" t="s">
        <v>20</v>
      </c>
      <c r="G8" s="98" t="s">
        <v>20</v>
      </c>
    </row>
    <row r="9" spans="1:12" ht="20.100000000000001" customHeight="1" x14ac:dyDescent="0.2">
      <c r="A9" s="45">
        <v>1</v>
      </c>
      <c r="B9" s="149" t="s">
        <v>23</v>
      </c>
      <c r="C9" s="101" t="s">
        <v>24</v>
      </c>
      <c r="D9" s="101" t="s">
        <v>25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 x14ac:dyDescent="0.2">
      <c r="A10" s="45">
        <v>2</v>
      </c>
      <c r="B10" s="149" t="s">
        <v>1397</v>
      </c>
      <c r="C10" s="101" t="s">
        <v>1398</v>
      </c>
      <c r="D10" s="103" t="s">
        <v>115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 x14ac:dyDescent="0.2">
      <c r="A11" s="45">
        <v>3</v>
      </c>
      <c r="B11" s="149" t="s">
        <v>1261</v>
      </c>
      <c r="C11" s="41" t="s">
        <v>1399</v>
      </c>
      <c r="D11" s="45" t="s">
        <v>35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 x14ac:dyDescent="0.2">
      <c r="A12" s="45">
        <v>4</v>
      </c>
      <c r="B12" s="152" t="s">
        <v>1351</v>
      </c>
      <c r="C12" s="104" t="s">
        <v>1352</v>
      </c>
      <c r="D12" s="105" t="s">
        <v>35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 x14ac:dyDescent="0.2">
      <c r="A13" s="45">
        <v>5</v>
      </c>
      <c r="B13" s="149" t="s">
        <v>26</v>
      </c>
      <c r="C13" s="101" t="s">
        <v>27</v>
      </c>
      <c r="D13" s="45" t="s">
        <v>1400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 x14ac:dyDescent="0.2">
      <c r="A14" s="45">
        <v>6</v>
      </c>
      <c r="B14" s="152" t="s">
        <v>29</v>
      </c>
      <c r="C14" s="41" t="s">
        <v>30</v>
      </c>
      <c r="D14" s="103" t="s">
        <v>1200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 x14ac:dyDescent="0.2">
      <c r="A15" s="45">
        <v>7</v>
      </c>
      <c r="B15" s="152" t="s">
        <v>208</v>
      </c>
      <c r="C15" s="41" t="s">
        <v>1401</v>
      </c>
      <c r="D15" s="108" t="s">
        <v>131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 x14ac:dyDescent="0.2">
      <c r="A16" s="45">
        <v>8</v>
      </c>
      <c r="B16" s="154" t="s">
        <v>31</v>
      </c>
      <c r="C16" s="15" t="s">
        <v>544</v>
      </c>
      <c r="D16" s="8" t="s">
        <v>131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 x14ac:dyDescent="0.2">
      <c r="A17" s="45">
        <v>9</v>
      </c>
      <c r="B17" s="152" t="s">
        <v>271</v>
      </c>
      <c r="C17" s="41" t="s">
        <v>1402</v>
      </c>
      <c r="D17" s="45" t="s">
        <v>131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 x14ac:dyDescent="0.2">
      <c r="A18" s="45">
        <v>10</v>
      </c>
      <c r="B18" s="156" t="s">
        <v>33</v>
      </c>
      <c r="C18" s="101" t="s">
        <v>1403</v>
      </c>
      <c r="D18" s="103" t="s">
        <v>131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 x14ac:dyDescent="0.2">
      <c r="A19" s="45">
        <v>11</v>
      </c>
      <c r="B19" s="157" t="s">
        <v>550</v>
      </c>
      <c r="C19" s="101" t="s">
        <v>551</v>
      </c>
      <c r="D19" s="46" t="s">
        <v>1200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 x14ac:dyDescent="0.2">
      <c r="A20" s="45">
        <v>12</v>
      </c>
      <c r="B20" s="159" t="s">
        <v>1353</v>
      </c>
      <c r="C20" s="104" t="s">
        <v>1354</v>
      </c>
      <c r="D20" s="111" t="s">
        <v>46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 x14ac:dyDescent="0.2">
      <c r="A21" s="45">
        <v>13</v>
      </c>
      <c r="B21" s="152" t="s">
        <v>1264</v>
      </c>
      <c r="C21" s="104" t="s">
        <v>40</v>
      </c>
      <c r="D21" s="45" t="s">
        <v>46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 x14ac:dyDescent="0.2">
      <c r="A22" s="45">
        <v>14</v>
      </c>
      <c r="B22" s="152" t="s">
        <v>1355</v>
      </c>
      <c r="C22" s="41" t="s">
        <v>1356</v>
      </c>
      <c r="D22" s="45" t="s">
        <v>46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 x14ac:dyDescent="0.2">
      <c r="A23" s="45">
        <v>15</v>
      </c>
      <c r="B23" s="149" t="s">
        <v>39</v>
      </c>
      <c r="C23" s="104" t="s">
        <v>1404</v>
      </c>
      <c r="D23" s="103" t="s">
        <v>52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 x14ac:dyDescent="0.2">
      <c r="A24" s="45">
        <v>16</v>
      </c>
      <c r="B24" s="156" t="s">
        <v>174</v>
      </c>
      <c r="C24" s="41" t="s">
        <v>1214</v>
      </c>
      <c r="D24" s="103" t="s">
        <v>1199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 x14ac:dyDescent="0.2">
      <c r="A25" s="45">
        <v>17</v>
      </c>
      <c r="B25" s="149" t="s">
        <v>50</v>
      </c>
      <c r="C25" s="101" t="s">
        <v>51</v>
      </c>
      <c r="D25" s="103" t="s">
        <v>200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 x14ac:dyDescent="0.2">
      <c r="A26" s="45">
        <v>18</v>
      </c>
      <c r="B26" s="157" t="s">
        <v>53</v>
      </c>
      <c r="C26" s="41" t="s">
        <v>54</v>
      </c>
      <c r="D26" s="103" t="s">
        <v>630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 x14ac:dyDescent="0.2">
      <c r="A27" s="45">
        <v>19</v>
      </c>
      <c r="B27" s="149" t="s">
        <v>177</v>
      </c>
      <c r="C27" s="101" t="s">
        <v>555</v>
      </c>
      <c r="D27" s="103" t="s">
        <v>68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 x14ac:dyDescent="0.2">
      <c r="A28" s="45">
        <v>20</v>
      </c>
      <c r="B28" s="149" t="s">
        <v>63</v>
      </c>
      <c r="C28" s="101" t="s">
        <v>104</v>
      </c>
      <c r="D28" s="103" t="s">
        <v>300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 x14ac:dyDescent="0.2">
      <c r="A29" s="45">
        <v>21</v>
      </c>
      <c r="B29" s="149" t="s">
        <v>236</v>
      </c>
      <c r="C29" s="41" t="s">
        <v>1405</v>
      </c>
      <c r="D29" s="103" t="s">
        <v>300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 x14ac:dyDescent="0.2">
      <c r="A30" s="45">
        <v>22</v>
      </c>
      <c r="B30" s="157" t="s">
        <v>288</v>
      </c>
      <c r="C30" s="41" t="s">
        <v>1372</v>
      </c>
      <c r="D30" s="103" t="s">
        <v>119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 x14ac:dyDescent="0.2">
      <c r="A31" s="45">
        <v>23</v>
      </c>
      <c r="B31" s="157" t="s">
        <v>1357</v>
      </c>
      <c r="C31" s="101" t="s">
        <v>101</v>
      </c>
      <c r="D31" s="103" t="s">
        <v>76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 x14ac:dyDescent="0.2">
      <c r="A32" s="45">
        <v>24</v>
      </c>
      <c r="B32" s="44" t="s">
        <v>77</v>
      </c>
      <c r="C32" s="44" t="s">
        <v>78</v>
      </c>
      <c r="D32" s="45" t="s">
        <v>96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 x14ac:dyDescent="0.2">
      <c r="A33" s="45">
        <v>25</v>
      </c>
      <c r="B33" s="157" t="s">
        <v>80</v>
      </c>
      <c r="C33" s="101" t="s">
        <v>78</v>
      </c>
      <c r="D33" s="103" t="s">
        <v>1373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 x14ac:dyDescent="0.2">
      <c r="A34" s="45">
        <v>26</v>
      </c>
      <c r="B34" s="149" t="s">
        <v>1265</v>
      </c>
      <c r="C34" s="101" t="s">
        <v>1213</v>
      </c>
      <c r="D34" s="103" t="s">
        <v>206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 x14ac:dyDescent="0.2">
      <c r="A35" s="45">
        <v>27</v>
      </c>
      <c r="B35" s="157" t="s">
        <v>82</v>
      </c>
      <c r="C35" s="101" t="s">
        <v>1213</v>
      </c>
      <c r="D35" s="103" t="s">
        <v>1406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 x14ac:dyDescent="0.2">
      <c r="A36" s="45">
        <v>28</v>
      </c>
      <c r="B36" s="154" t="s">
        <v>219</v>
      </c>
      <c r="C36" s="15" t="s">
        <v>1374</v>
      </c>
      <c r="D36" s="103" t="s">
        <v>102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 x14ac:dyDescent="0.2">
      <c r="A37" s="45">
        <v>29</v>
      </c>
      <c r="B37" s="157" t="s">
        <v>85</v>
      </c>
      <c r="C37" s="41" t="s">
        <v>1267</v>
      </c>
      <c r="D37" s="45" t="s">
        <v>102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 x14ac:dyDescent="0.2">
      <c r="A38" s="45">
        <v>30</v>
      </c>
      <c r="B38" s="160" t="s">
        <v>89</v>
      </c>
      <c r="C38" s="15" t="s">
        <v>90</v>
      </c>
      <c r="D38" s="103" t="s">
        <v>108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 x14ac:dyDescent="0.2">
      <c r="A39" s="45">
        <v>31</v>
      </c>
      <c r="B39" s="160" t="s">
        <v>1407</v>
      </c>
      <c r="C39" s="15" t="s">
        <v>90</v>
      </c>
      <c r="D39" s="103" t="s">
        <v>108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 x14ac:dyDescent="0.2">
      <c r="A40" s="45">
        <v>32</v>
      </c>
      <c r="B40" s="157" t="s">
        <v>92</v>
      </c>
      <c r="C40" s="41" t="s">
        <v>1375</v>
      </c>
      <c r="D40" s="45" t="s">
        <v>108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 x14ac:dyDescent="0.2">
      <c r="A41" s="45">
        <v>33</v>
      </c>
      <c r="B41" s="157" t="s">
        <v>1191</v>
      </c>
      <c r="C41" s="101" t="s">
        <v>101</v>
      </c>
      <c r="D41" s="103" t="s">
        <v>108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 x14ac:dyDescent="0.2">
      <c r="A42" s="45">
        <v>34</v>
      </c>
      <c r="B42" s="157" t="s">
        <v>1358</v>
      </c>
      <c r="C42" s="101" t="s">
        <v>101</v>
      </c>
      <c r="D42" s="103" t="s">
        <v>108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 x14ac:dyDescent="0.2">
      <c r="A43" s="45"/>
      <c r="B43" s="161" t="s">
        <v>111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 x14ac:dyDescent="0.2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 x14ac:dyDescent="0.2">
      <c r="A45" s="45"/>
      <c r="B45" s="161" t="s">
        <v>112</v>
      </c>
      <c r="C45" s="41"/>
      <c r="D45" s="103"/>
      <c r="E45" s="151"/>
      <c r="F45" s="102"/>
      <c r="G45" s="102">
        <f t="shared" si="0"/>
        <v>0</v>
      </c>
    </row>
    <row r="46" spans="1:8" ht="18.75" customHeight="1" x14ac:dyDescent="0.2">
      <c r="A46" s="45">
        <v>1</v>
      </c>
      <c r="B46" s="157" t="s">
        <v>113</v>
      </c>
      <c r="C46" s="41" t="s">
        <v>114</v>
      </c>
      <c r="D46" s="45" t="s">
        <v>210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 x14ac:dyDescent="0.2">
      <c r="A47" s="45">
        <v>2</v>
      </c>
      <c r="B47" s="157" t="s">
        <v>116</v>
      </c>
      <c r="C47" s="41" t="s">
        <v>799</v>
      </c>
      <c r="D47" s="45" t="s">
        <v>108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 x14ac:dyDescent="0.2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 x14ac:dyDescent="0.2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 x14ac:dyDescent="0.2">
      <c r="A50" s="45"/>
      <c r="B50" s="166" t="s">
        <v>125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 x14ac:dyDescent="0.2">
      <c r="A51" s="45">
        <v>1</v>
      </c>
      <c r="B51" s="149" t="s">
        <v>536</v>
      </c>
      <c r="C51" s="41" t="s">
        <v>537</v>
      </c>
      <c r="D51" s="45" t="s">
        <v>115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 x14ac:dyDescent="0.2">
      <c r="A52" s="45">
        <v>2</v>
      </c>
      <c r="B52" s="149" t="s">
        <v>538</v>
      </c>
      <c r="C52" s="41" t="s">
        <v>43</v>
      </c>
      <c r="D52" s="45" t="s">
        <v>131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 x14ac:dyDescent="0.2">
      <c r="A53" s="45">
        <v>3</v>
      </c>
      <c r="B53" s="149" t="s">
        <v>126</v>
      </c>
      <c r="C53" s="41" t="s">
        <v>130</v>
      </c>
      <c r="D53" s="45" t="s">
        <v>131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 x14ac:dyDescent="0.2">
      <c r="A54" s="45">
        <v>4</v>
      </c>
      <c r="B54" s="149" t="s">
        <v>129</v>
      </c>
      <c r="C54" s="41" t="s">
        <v>130</v>
      </c>
      <c r="D54" s="45" t="s">
        <v>38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 x14ac:dyDescent="0.2">
      <c r="A55" s="45">
        <v>5</v>
      </c>
      <c r="B55" s="149" t="s">
        <v>132</v>
      </c>
      <c r="C55" s="41" t="s">
        <v>45</v>
      </c>
      <c r="D55" s="45" t="s">
        <v>41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 x14ac:dyDescent="0.2">
      <c r="A56" s="45">
        <v>6</v>
      </c>
      <c r="B56" s="149" t="s">
        <v>133</v>
      </c>
      <c r="C56" s="41" t="s">
        <v>45</v>
      </c>
      <c r="D56" s="45" t="s">
        <v>46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 x14ac:dyDescent="0.2">
      <c r="A57" s="45">
        <v>7</v>
      </c>
      <c r="B57" s="168" t="s">
        <v>134</v>
      </c>
      <c r="C57" s="41" t="s">
        <v>156</v>
      </c>
      <c r="D57" s="14" t="s">
        <v>46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 x14ac:dyDescent="0.2">
      <c r="A58" s="45">
        <v>8</v>
      </c>
      <c r="B58" s="149" t="s">
        <v>1270</v>
      </c>
      <c r="C58" s="41" t="s">
        <v>158</v>
      </c>
      <c r="D58" s="45" t="s">
        <v>534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 x14ac:dyDescent="0.2">
      <c r="A59" s="45">
        <v>9</v>
      </c>
      <c r="B59" s="154" t="s">
        <v>44</v>
      </c>
      <c r="C59" s="41" t="s">
        <v>552</v>
      </c>
      <c r="D59" s="8" t="s">
        <v>1199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 x14ac:dyDescent="0.2">
      <c r="A60" s="45">
        <v>10</v>
      </c>
      <c r="B60" s="154" t="s">
        <v>142</v>
      </c>
      <c r="C60" s="41" t="s">
        <v>139</v>
      </c>
      <c r="D60" s="45" t="s">
        <v>96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 x14ac:dyDescent="0.2">
      <c r="A61" s="45">
        <v>11</v>
      </c>
      <c r="B61" s="154" t="s">
        <v>539</v>
      </c>
      <c r="C61" s="41" t="s">
        <v>139</v>
      </c>
      <c r="D61" s="45" t="s">
        <v>96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 x14ac:dyDescent="0.2">
      <c r="A62" s="45">
        <v>12</v>
      </c>
      <c r="B62" s="154" t="s">
        <v>143</v>
      </c>
      <c r="C62" s="41" t="s">
        <v>139</v>
      </c>
      <c r="D62" s="45" t="s">
        <v>96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 x14ac:dyDescent="0.2">
      <c r="A63" s="45"/>
      <c r="B63" s="169" t="s">
        <v>111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 x14ac:dyDescent="0.2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 x14ac:dyDescent="0.2">
      <c r="A65" s="45"/>
      <c r="B65" s="169" t="s">
        <v>145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 x14ac:dyDescent="0.2">
      <c r="A66" s="45">
        <v>1</v>
      </c>
      <c r="B66" s="149" t="s">
        <v>540</v>
      </c>
      <c r="C66" s="101" t="s">
        <v>147</v>
      </c>
      <c r="D66" s="103" t="s">
        <v>115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 x14ac:dyDescent="0.2">
      <c r="A67" s="45">
        <v>2</v>
      </c>
      <c r="B67" s="157" t="s">
        <v>148</v>
      </c>
      <c r="C67" s="101" t="s">
        <v>149</v>
      </c>
      <c r="D67" s="103" t="s">
        <v>549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 x14ac:dyDescent="0.5">
      <c r="A68" s="45"/>
      <c r="B68" s="169" t="s">
        <v>111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 x14ac:dyDescent="0.2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 x14ac:dyDescent="0.2">
      <c r="A70" s="45"/>
      <c r="B70" s="169" t="s">
        <v>1408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 x14ac:dyDescent="0.2">
      <c r="A71" s="45">
        <v>1</v>
      </c>
      <c r="B71" s="154" t="s">
        <v>541</v>
      </c>
      <c r="C71" s="15" t="s">
        <v>542</v>
      </c>
      <c r="D71" s="8" t="s">
        <v>115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 x14ac:dyDescent="0.2">
      <c r="A72" s="45">
        <v>2</v>
      </c>
      <c r="B72" s="160" t="s">
        <v>543</v>
      </c>
      <c r="C72" s="15" t="s">
        <v>544</v>
      </c>
      <c r="D72" s="103" t="s">
        <v>1200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 x14ac:dyDescent="0.2">
      <c r="A73" s="45">
        <v>3</v>
      </c>
      <c r="B73" s="154" t="s">
        <v>155</v>
      </c>
      <c r="C73" s="41" t="s">
        <v>158</v>
      </c>
      <c r="D73" s="8" t="s">
        <v>1199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 x14ac:dyDescent="0.2">
      <c r="A74" s="45">
        <v>4</v>
      </c>
      <c r="B74" s="160" t="s">
        <v>545</v>
      </c>
      <c r="C74" s="15" t="s">
        <v>158</v>
      </c>
      <c r="D74" s="103" t="s">
        <v>200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 x14ac:dyDescent="0.2">
      <c r="A75" s="45">
        <v>5</v>
      </c>
      <c r="B75" s="152" t="s">
        <v>546</v>
      </c>
      <c r="C75" s="15" t="s">
        <v>156</v>
      </c>
      <c r="D75" s="103" t="s">
        <v>46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 x14ac:dyDescent="0.2">
      <c r="A76" s="45">
        <v>6</v>
      </c>
      <c r="B76" s="154" t="s">
        <v>161</v>
      </c>
      <c r="C76" s="2" t="s">
        <v>139</v>
      </c>
      <c r="D76" s="8" t="s">
        <v>1409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 x14ac:dyDescent="0.2">
      <c r="A77" s="45">
        <v>7</v>
      </c>
      <c r="B77" s="156" t="s">
        <v>1278</v>
      </c>
      <c r="C77" s="15" t="s">
        <v>70</v>
      </c>
      <c r="D77" s="103" t="s">
        <v>68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 x14ac:dyDescent="0.2">
      <c r="A78" s="45">
        <v>8</v>
      </c>
      <c r="B78" s="149" t="s">
        <v>163</v>
      </c>
      <c r="C78" s="15" t="s">
        <v>70</v>
      </c>
      <c r="D78" s="103" t="s">
        <v>137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 x14ac:dyDescent="0.2">
      <c r="A79" s="45">
        <v>9</v>
      </c>
      <c r="B79" s="149" t="s">
        <v>164</v>
      </c>
      <c r="C79" s="15" t="s">
        <v>70</v>
      </c>
      <c r="D79" s="103" t="s">
        <v>137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 x14ac:dyDescent="0.2">
      <c r="A80" s="45">
        <v>10</v>
      </c>
      <c r="B80" s="149" t="s">
        <v>165</v>
      </c>
      <c r="C80" s="41" t="s">
        <v>184</v>
      </c>
      <c r="D80" s="45" t="s">
        <v>300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 x14ac:dyDescent="0.2">
      <c r="A81" s="45">
        <v>11</v>
      </c>
      <c r="B81" s="154" t="s">
        <v>1359</v>
      </c>
      <c r="C81" s="15" t="s">
        <v>139</v>
      </c>
      <c r="D81" s="45" t="s">
        <v>73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 x14ac:dyDescent="0.2">
      <c r="A82" s="45">
        <v>12</v>
      </c>
      <c r="B82" s="154" t="s">
        <v>81</v>
      </c>
      <c r="C82" s="15" t="s">
        <v>67</v>
      </c>
      <c r="D82" s="45" t="s">
        <v>96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 x14ac:dyDescent="0.2">
      <c r="A83" s="45">
        <v>13</v>
      </c>
      <c r="B83" s="152" t="s">
        <v>66</v>
      </c>
      <c r="C83" s="15" t="s">
        <v>67</v>
      </c>
      <c r="D83" s="45" t="s">
        <v>108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 x14ac:dyDescent="0.5">
      <c r="A84" s="45"/>
      <c r="B84" s="169" t="s">
        <v>111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 x14ac:dyDescent="0.2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 x14ac:dyDescent="0.2">
      <c r="A86" s="45"/>
      <c r="B86" s="169" t="s">
        <v>1410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 x14ac:dyDescent="0.2">
      <c r="A87" s="45">
        <v>1</v>
      </c>
      <c r="B87" s="149" t="s">
        <v>170</v>
      </c>
      <c r="C87" s="41" t="s">
        <v>171</v>
      </c>
      <c r="D87" s="45" t="s">
        <v>115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 x14ac:dyDescent="0.2">
      <c r="A88" s="45">
        <v>2</v>
      </c>
      <c r="B88" s="172" t="s">
        <v>547</v>
      </c>
      <c r="C88" s="44" t="s">
        <v>548</v>
      </c>
      <c r="D88" s="103" t="s">
        <v>1200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 x14ac:dyDescent="0.2">
      <c r="A89" s="45">
        <v>3</v>
      </c>
      <c r="B89" s="172" t="s">
        <v>1360</v>
      </c>
      <c r="C89" s="44" t="s">
        <v>1361</v>
      </c>
      <c r="D89" s="103" t="s">
        <v>1200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 x14ac:dyDescent="0.2">
      <c r="A90" s="45">
        <v>4</v>
      </c>
      <c r="B90" s="149" t="s">
        <v>181</v>
      </c>
      <c r="C90" s="41" t="s">
        <v>184</v>
      </c>
      <c r="D90" s="45" t="s">
        <v>73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 x14ac:dyDescent="0.5">
      <c r="A91" s="45"/>
      <c r="B91" s="169" t="s">
        <v>111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 x14ac:dyDescent="0.2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 x14ac:dyDescent="0.2">
      <c r="A93" s="45"/>
      <c r="B93" s="173" t="s">
        <v>1411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 x14ac:dyDescent="0.2">
      <c r="A94" s="45">
        <v>1</v>
      </c>
      <c r="B94" s="149" t="s">
        <v>1412</v>
      </c>
      <c r="C94" s="41" t="s">
        <v>1378</v>
      </c>
      <c r="D94" s="45" t="s">
        <v>35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 x14ac:dyDescent="0.2">
      <c r="A95" s="45">
        <v>2</v>
      </c>
      <c r="B95" s="149" t="s">
        <v>190</v>
      </c>
      <c r="C95" s="41" t="s">
        <v>130</v>
      </c>
      <c r="D95" s="45" t="s">
        <v>131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 x14ac:dyDescent="0.2">
      <c r="A96" s="45">
        <v>3</v>
      </c>
      <c r="B96" s="149" t="s">
        <v>188</v>
      </c>
      <c r="C96" s="41" t="s">
        <v>130</v>
      </c>
      <c r="D96" s="45" t="s">
        <v>131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 x14ac:dyDescent="0.2">
      <c r="A97" s="45">
        <v>4</v>
      </c>
      <c r="B97" s="152" t="s">
        <v>152</v>
      </c>
      <c r="C97" s="41" t="s">
        <v>156</v>
      </c>
      <c r="D97" s="45" t="s">
        <v>176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 x14ac:dyDescent="0.2">
      <c r="A98" s="45">
        <v>5</v>
      </c>
      <c r="B98" s="154" t="s">
        <v>193</v>
      </c>
      <c r="C98" s="41" t="s">
        <v>45</v>
      </c>
      <c r="D98" s="45" t="s">
        <v>46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 x14ac:dyDescent="0.2">
      <c r="A99" s="45">
        <v>6</v>
      </c>
      <c r="B99" s="154" t="s">
        <v>1413</v>
      </c>
      <c r="C99" s="41" t="s">
        <v>45</v>
      </c>
      <c r="D99" s="45" t="s">
        <v>229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 x14ac:dyDescent="0.2">
      <c r="A100" s="45">
        <v>7</v>
      </c>
      <c r="B100" s="156" t="s">
        <v>194</v>
      </c>
      <c r="C100" s="41" t="s">
        <v>552</v>
      </c>
      <c r="D100" s="103" t="s">
        <v>1199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 x14ac:dyDescent="0.2">
      <c r="A101" s="45">
        <v>8</v>
      </c>
      <c r="B101" s="149" t="s">
        <v>195</v>
      </c>
      <c r="C101" s="101" t="s">
        <v>158</v>
      </c>
      <c r="D101" s="103" t="s">
        <v>200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 x14ac:dyDescent="0.2">
      <c r="A102" s="45">
        <v>9</v>
      </c>
      <c r="B102" s="149" t="s">
        <v>196</v>
      </c>
      <c r="C102" s="101" t="s">
        <v>158</v>
      </c>
      <c r="D102" s="103" t="s">
        <v>200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 x14ac:dyDescent="0.2">
      <c r="A103" s="45">
        <v>10</v>
      </c>
      <c r="B103" s="149" t="s">
        <v>198</v>
      </c>
      <c r="C103" s="15" t="s">
        <v>70</v>
      </c>
      <c r="D103" s="103" t="s">
        <v>137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 x14ac:dyDescent="0.2">
      <c r="A104" s="45">
        <v>11</v>
      </c>
      <c r="B104" s="149" t="s">
        <v>202</v>
      </c>
      <c r="C104" s="41" t="s">
        <v>139</v>
      </c>
      <c r="D104" s="45" t="s">
        <v>96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 x14ac:dyDescent="0.2">
      <c r="A105" s="45">
        <v>12</v>
      </c>
      <c r="B105" s="149" t="s">
        <v>204</v>
      </c>
      <c r="C105" s="15" t="s">
        <v>205</v>
      </c>
      <c r="D105" s="103" t="s">
        <v>108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 x14ac:dyDescent="0.5">
      <c r="A106" s="45"/>
      <c r="B106" s="161" t="s">
        <v>111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 x14ac:dyDescent="0.2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 x14ac:dyDescent="0.2">
      <c r="A108" s="45"/>
      <c r="B108" s="161" t="s">
        <v>1414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 x14ac:dyDescent="0.2">
      <c r="A109" s="45">
        <v>1</v>
      </c>
      <c r="B109" s="157" t="s">
        <v>530</v>
      </c>
      <c r="C109" s="45" t="s">
        <v>531</v>
      </c>
      <c r="D109" s="103" t="s">
        <v>35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 x14ac:dyDescent="0.2">
      <c r="A110" s="45">
        <v>2</v>
      </c>
      <c r="B110" s="154" t="s">
        <v>36</v>
      </c>
      <c r="C110" s="2" t="s">
        <v>212</v>
      </c>
      <c r="D110" s="8" t="s">
        <v>46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 x14ac:dyDescent="0.2">
      <c r="A111" s="45">
        <v>3</v>
      </c>
      <c r="B111" s="160" t="s">
        <v>1379</v>
      </c>
      <c r="C111" s="2" t="s">
        <v>1380</v>
      </c>
      <c r="D111" s="103" t="s">
        <v>200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 x14ac:dyDescent="0.2">
      <c r="A112" s="45">
        <v>4</v>
      </c>
      <c r="B112" s="149" t="s">
        <v>217</v>
      </c>
      <c r="C112" s="41" t="s">
        <v>1415</v>
      </c>
      <c r="D112" s="103" t="s">
        <v>1416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 x14ac:dyDescent="0.5">
      <c r="A113" s="41"/>
      <c r="B113" s="161" t="s">
        <v>111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 x14ac:dyDescent="0.2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 x14ac:dyDescent="0.2">
      <c r="A115" s="41"/>
      <c r="B115" s="161" t="s">
        <v>1417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 x14ac:dyDescent="0.2">
      <c r="A116" s="41">
        <v>1</v>
      </c>
      <c r="B116" s="149" t="s">
        <v>222</v>
      </c>
      <c r="C116" s="101" t="s">
        <v>223</v>
      </c>
      <c r="D116" s="103" t="s">
        <v>115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 x14ac:dyDescent="0.2">
      <c r="A117" s="41">
        <v>2</v>
      </c>
      <c r="B117" s="149" t="s">
        <v>224</v>
      </c>
      <c r="C117" s="41" t="s">
        <v>225</v>
      </c>
      <c r="D117" s="45" t="s">
        <v>131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 x14ac:dyDescent="0.2">
      <c r="A118" s="41">
        <v>3</v>
      </c>
      <c r="B118" s="149" t="s">
        <v>226</v>
      </c>
      <c r="C118" s="41" t="s">
        <v>227</v>
      </c>
      <c r="D118" s="45" t="s">
        <v>52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 x14ac:dyDescent="0.2">
      <c r="A119" s="41">
        <v>4</v>
      </c>
      <c r="B119" s="154" t="s">
        <v>228</v>
      </c>
      <c r="C119" s="41" t="s">
        <v>227</v>
      </c>
      <c r="D119" s="8" t="s">
        <v>534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 x14ac:dyDescent="0.2">
      <c r="A120" s="41">
        <v>5</v>
      </c>
      <c r="B120" s="149" t="s">
        <v>230</v>
      </c>
      <c r="C120" s="44" t="s">
        <v>231</v>
      </c>
      <c r="D120" s="103" t="s">
        <v>206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 x14ac:dyDescent="0.2">
      <c r="A121" s="41">
        <v>6</v>
      </c>
      <c r="B121" s="160" t="s">
        <v>233</v>
      </c>
      <c r="C121" s="44" t="s">
        <v>231</v>
      </c>
      <c r="D121" s="45" t="s">
        <v>102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 x14ac:dyDescent="0.2">
      <c r="A122" s="41">
        <v>7</v>
      </c>
      <c r="B122" s="157" t="s">
        <v>234</v>
      </c>
      <c r="C122" s="44" t="s">
        <v>231</v>
      </c>
      <c r="D122" s="103" t="s">
        <v>108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 x14ac:dyDescent="0.5">
      <c r="A123" s="41"/>
      <c r="B123" s="161" t="s">
        <v>111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 x14ac:dyDescent="0.2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 x14ac:dyDescent="0.2">
      <c r="A125" s="41"/>
      <c r="B125" s="161" t="s">
        <v>1418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 x14ac:dyDescent="0.2">
      <c r="A126" s="41">
        <v>1</v>
      </c>
      <c r="B126" s="156" t="s">
        <v>251</v>
      </c>
      <c r="C126" s="101" t="s">
        <v>252</v>
      </c>
      <c r="D126" s="103" t="s">
        <v>115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 x14ac:dyDescent="0.2">
      <c r="A127" s="41">
        <v>2</v>
      </c>
      <c r="B127" s="156" t="s">
        <v>1382</v>
      </c>
      <c r="C127" s="101" t="s">
        <v>1383</v>
      </c>
      <c r="D127" s="103" t="s">
        <v>154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 x14ac:dyDescent="0.2">
      <c r="A128" s="41">
        <v>3</v>
      </c>
      <c r="B128" s="156" t="s">
        <v>253</v>
      </c>
      <c r="C128" s="101" t="s">
        <v>256</v>
      </c>
      <c r="D128" s="103" t="s">
        <v>131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 x14ac:dyDescent="0.2">
      <c r="A129" s="41">
        <v>4</v>
      </c>
      <c r="B129" s="164" t="s">
        <v>255</v>
      </c>
      <c r="C129" s="101" t="s">
        <v>256</v>
      </c>
      <c r="D129" s="103" t="s">
        <v>131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 x14ac:dyDescent="0.2">
      <c r="A130" s="41">
        <v>5</v>
      </c>
      <c r="B130" s="172" t="s">
        <v>556</v>
      </c>
      <c r="C130" s="101" t="s">
        <v>256</v>
      </c>
      <c r="D130" s="103" t="s">
        <v>49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 x14ac:dyDescent="0.2">
      <c r="A131" s="41">
        <v>6</v>
      </c>
      <c r="B131" s="156" t="s">
        <v>257</v>
      </c>
      <c r="C131" s="101" t="s">
        <v>1385</v>
      </c>
      <c r="D131" s="103" t="s">
        <v>534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 x14ac:dyDescent="0.2">
      <c r="A132" s="41">
        <v>7</v>
      </c>
      <c r="B132" s="156" t="s">
        <v>259</v>
      </c>
      <c r="C132" s="101" t="s">
        <v>489</v>
      </c>
      <c r="D132" s="103" t="s">
        <v>1199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 x14ac:dyDescent="0.2">
      <c r="A133" s="41">
        <v>8</v>
      </c>
      <c r="B133" s="156" t="s">
        <v>260</v>
      </c>
      <c r="C133" s="101" t="s">
        <v>1216</v>
      </c>
      <c r="D133" s="103" t="s">
        <v>1199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 x14ac:dyDescent="0.2">
      <c r="A134" s="41">
        <v>9</v>
      </c>
      <c r="B134" s="157" t="s">
        <v>1384</v>
      </c>
      <c r="C134" s="101" t="s">
        <v>1385</v>
      </c>
      <c r="D134" s="103" t="s">
        <v>58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 x14ac:dyDescent="0.2">
      <c r="A135" s="41">
        <v>10</v>
      </c>
      <c r="B135" s="149" t="s">
        <v>263</v>
      </c>
      <c r="C135" s="101" t="s">
        <v>264</v>
      </c>
      <c r="D135" s="45" t="s">
        <v>96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 x14ac:dyDescent="0.2">
      <c r="A136" s="41">
        <v>11</v>
      </c>
      <c r="B136" s="157" t="s">
        <v>265</v>
      </c>
      <c r="C136" s="101" t="s">
        <v>266</v>
      </c>
      <c r="D136" s="103" t="s">
        <v>108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 x14ac:dyDescent="0.5">
      <c r="A137" s="41"/>
      <c r="B137" s="161" t="s">
        <v>111</v>
      </c>
      <c r="C137" s="134" t="s">
        <v>269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 x14ac:dyDescent="0.2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 x14ac:dyDescent="0.2">
      <c r="A139" s="41"/>
      <c r="B139" s="161" t="s">
        <v>1419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 x14ac:dyDescent="0.2">
      <c r="A140" s="176">
        <v>1</v>
      </c>
      <c r="B140" s="156" t="s">
        <v>1420</v>
      </c>
      <c r="C140" s="101" t="s">
        <v>1421</v>
      </c>
      <c r="D140" s="103" t="s">
        <v>115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 x14ac:dyDescent="0.2">
      <c r="A141" s="176">
        <v>2</v>
      </c>
      <c r="B141" s="156" t="s">
        <v>557</v>
      </c>
      <c r="C141" s="101" t="s">
        <v>558</v>
      </c>
      <c r="D141" s="103" t="s">
        <v>115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 x14ac:dyDescent="0.2">
      <c r="A142" s="176">
        <v>3</v>
      </c>
      <c r="B142" s="156" t="s">
        <v>559</v>
      </c>
      <c r="C142" s="101" t="s">
        <v>560</v>
      </c>
      <c r="D142" s="103" t="s">
        <v>154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 x14ac:dyDescent="0.2">
      <c r="A143" s="176">
        <v>4</v>
      </c>
      <c r="B143" s="168" t="s">
        <v>274</v>
      </c>
      <c r="C143" s="2" t="s">
        <v>1422</v>
      </c>
      <c r="D143" s="14" t="s">
        <v>131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 x14ac:dyDescent="0.2">
      <c r="A144" s="176">
        <v>5</v>
      </c>
      <c r="B144" s="168" t="s">
        <v>1423</v>
      </c>
      <c r="C144" s="2" t="s">
        <v>1424</v>
      </c>
      <c r="D144" s="14" t="s">
        <v>131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 x14ac:dyDescent="0.2">
      <c r="A145" s="176">
        <v>6</v>
      </c>
      <c r="B145" s="156" t="s">
        <v>276</v>
      </c>
      <c r="C145" s="101" t="s">
        <v>561</v>
      </c>
      <c r="D145" s="103" t="s">
        <v>46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 x14ac:dyDescent="0.2">
      <c r="A146" s="176">
        <v>7</v>
      </c>
      <c r="B146" s="156" t="s">
        <v>278</v>
      </c>
      <c r="C146" s="41" t="s">
        <v>562</v>
      </c>
      <c r="D146" s="103" t="s">
        <v>46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 x14ac:dyDescent="0.2">
      <c r="A147" s="176">
        <v>8</v>
      </c>
      <c r="B147" s="156" t="s">
        <v>211</v>
      </c>
      <c r="C147" s="41" t="s">
        <v>564</v>
      </c>
      <c r="D147" s="103" t="s">
        <v>1199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 x14ac:dyDescent="0.2">
      <c r="A148" s="176">
        <v>9</v>
      </c>
      <c r="B148" s="149" t="s">
        <v>213</v>
      </c>
      <c r="C148" s="101" t="s">
        <v>563</v>
      </c>
      <c r="D148" s="103" t="s">
        <v>68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 x14ac:dyDescent="0.2">
      <c r="A149" s="176">
        <v>10</v>
      </c>
      <c r="B149" s="156" t="s">
        <v>281</v>
      </c>
      <c r="C149" s="101" t="s">
        <v>563</v>
      </c>
      <c r="D149" s="103" t="s">
        <v>68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 x14ac:dyDescent="0.2">
      <c r="A150" s="176">
        <v>11</v>
      </c>
      <c r="B150" s="149" t="s">
        <v>282</v>
      </c>
      <c r="C150" s="41" t="s">
        <v>564</v>
      </c>
      <c r="D150" s="103" t="s">
        <v>68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 x14ac:dyDescent="0.2">
      <c r="A151" s="176">
        <v>12</v>
      </c>
      <c r="B151" s="149" t="s">
        <v>284</v>
      </c>
      <c r="C151" s="41" t="s">
        <v>566</v>
      </c>
      <c r="D151" s="103" t="s">
        <v>300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 x14ac:dyDescent="0.2">
      <c r="A152" s="176">
        <v>13</v>
      </c>
      <c r="B152" s="149" t="s">
        <v>286</v>
      </c>
      <c r="C152" s="101" t="s">
        <v>1218</v>
      </c>
      <c r="D152" s="103" t="s">
        <v>119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 x14ac:dyDescent="0.2">
      <c r="A153" s="176">
        <v>14</v>
      </c>
      <c r="B153" s="149" t="s">
        <v>60</v>
      </c>
      <c r="C153" s="101" t="s">
        <v>313</v>
      </c>
      <c r="D153" s="103" t="s">
        <v>300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 x14ac:dyDescent="0.2">
      <c r="A154" s="176">
        <v>15</v>
      </c>
      <c r="B154" s="149" t="s">
        <v>1425</v>
      </c>
      <c r="C154" s="41" t="s">
        <v>566</v>
      </c>
      <c r="D154" s="103" t="s">
        <v>76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 x14ac:dyDescent="0.2">
      <c r="A155" s="176">
        <v>16</v>
      </c>
      <c r="B155" s="149" t="s">
        <v>623</v>
      </c>
      <c r="C155" s="41" t="s">
        <v>566</v>
      </c>
      <c r="D155" s="103" t="s">
        <v>76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 x14ac:dyDescent="0.2">
      <c r="A156" s="176">
        <v>17</v>
      </c>
      <c r="B156" s="149" t="s">
        <v>293</v>
      </c>
      <c r="C156" s="41" t="s">
        <v>566</v>
      </c>
      <c r="D156" s="103" t="s">
        <v>76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 x14ac:dyDescent="0.2">
      <c r="A157" s="176">
        <v>18</v>
      </c>
      <c r="B157" s="149" t="s">
        <v>294</v>
      </c>
      <c r="C157" s="101" t="s">
        <v>295</v>
      </c>
      <c r="D157" s="103" t="s">
        <v>73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 x14ac:dyDescent="0.2">
      <c r="A158" s="176">
        <v>19</v>
      </c>
      <c r="B158" s="149" t="s">
        <v>1201</v>
      </c>
      <c r="C158" s="101" t="s">
        <v>297</v>
      </c>
      <c r="D158" s="45" t="s">
        <v>96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 x14ac:dyDescent="0.2">
      <c r="A159" s="176">
        <v>20</v>
      </c>
      <c r="B159" s="149" t="s">
        <v>298</v>
      </c>
      <c r="C159" s="101" t="s">
        <v>313</v>
      </c>
      <c r="D159" s="103" t="s">
        <v>206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 x14ac:dyDescent="0.2">
      <c r="A160" s="176">
        <v>21</v>
      </c>
      <c r="B160" s="149" t="s">
        <v>301</v>
      </c>
      <c r="C160" s="101" t="s">
        <v>1426</v>
      </c>
      <c r="D160" s="103" t="s">
        <v>206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 x14ac:dyDescent="0.2">
      <c r="A161" s="176">
        <v>22</v>
      </c>
      <c r="B161" s="149" t="s">
        <v>303</v>
      </c>
      <c r="C161" s="101" t="s">
        <v>313</v>
      </c>
      <c r="D161" s="103" t="s">
        <v>206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 x14ac:dyDescent="0.2">
      <c r="A162" s="176">
        <v>23</v>
      </c>
      <c r="B162" s="149" t="s">
        <v>305</v>
      </c>
      <c r="C162" s="101" t="s">
        <v>306</v>
      </c>
      <c r="D162" s="103" t="s">
        <v>206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 x14ac:dyDescent="0.2">
      <c r="A163" s="176">
        <v>24</v>
      </c>
      <c r="B163" s="157" t="s">
        <v>307</v>
      </c>
      <c r="C163" s="101" t="s">
        <v>315</v>
      </c>
      <c r="D163" s="103" t="s">
        <v>1406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 x14ac:dyDescent="0.2">
      <c r="A164" s="176">
        <v>25</v>
      </c>
      <c r="B164" s="157" t="s">
        <v>1386</v>
      </c>
      <c r="C164" s="101" t="s">
        <v>313</v>
      </c>
      <c r="D164" s="103" t="s">
        <v>108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 x14ac:dyDescent="0.2">
      <c r="A165" s="176">
        <v>26</v>
      </c>
      <c r="B165" s="157" t="s">
        <v>312</v>
      </c>
      <c r="C165" s="101" t="s">
        <v>313</v>
      </c>
      <c r="D165" s="103" t="s">
        <v>108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 x14ac:dyDescent="0.2">
      <c r="A166" s="176">
        <v>27</v>
      </c>
      <c r="B166" s="157" t="s">
        <v>314</v>
      </c>
      <c r="C166" s="101" t="s">
        <v>315</v>
      </c>
      <c r="D166" s="103" t="s">
        <v>108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 x14ac:dyDescent="0.2">
      <c r="A167" s="176">
        <v>28</v>
      </c>
      <c r="B167" s="157" t="s">
        <v>316</v>
      </c>
      <c r="C167" s="101" t="s">
        <v>317</v>
      </c>
      <c r="D167" s="103" t="s">
        <v>108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 x14ac:dyDescent="0.2">
      <c r="A168" s="176">
        <v>29</v>
      </c>
      <c r="B168" s="157" t="s">
        <v>318</v>
      </c>
      <c r="C168" s="101" t="s">
        <v>319</v>
      </c>
      <c r="D168" s="103" t="s">
        <v>108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 x14ac:dyDescent="0.2">
      <c r="A169" s="176">
        <v>30</v>
      </c>
      <c r="B169" s="156" t="s">
        <v>329</v>
      </c>
      <c r="C169" s="101" t="s">
        <v>330</v>
      </c>
      <c r="D169" s="103" t="s">
        <v>345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 x14ac:dyDescent="0.2">
      <c r="A170" s="176">
        <v>31</v>
      </c>
      <c r="B170" s="156" t="s">
        <v>332</v>
      </c>
      <c r="C170" s="101" t="s">
        <v>330</v>
      </c>
      <c r="D170" s="103" t="s">
        <v>345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 x14ac:dyDescent="0.2">
      <c r="A171" s="176">
        <v>32</v>
      </c>
      <c r="B171" s="156" t="s">
        <v>333</v>
      </c>
      <c r="C171" s="101" t="s">
        <v>330</v>
      </c>
      <c r="D171" s="103" t="s">
        <v>345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 x14ac:dyDescent="0.2">
      <c r="A172" s="176">
        <v>33</v>
      </c>
      <c r="B172" s="156" t="s">
        <v>923</v>
      </c>
      <c r="C172" s="101" t="s">
        <v>330</v>
      </c>
      <c r="D172" s="103" t="s">
        <v>345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 x14ac:dyDescent="0.2">
      <c r="A173" s="176">
        <v>34</v>
      </c>
      <c r="B173" s="156" t="s">
        <v>921</v>
      </c>
      <c r="C173" s="101" t="s">
        <v>330</v>
      </c>
      <c r="D173" s="103" t="s">
        <v>345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 x14ac:dyDescent="0.2">
      <c r="A174" s="176">
        <v>35</v>
      </c>
      <c r="B174" s="156" t="s">
        <v>334</v>
      </c>
      <c r="C174" s="101" t="s">
        <v>330</v>
      </c>
      <c r="D174" s="103" t="s">
        <v>345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 x14ac:dyDescent="0.2">
      <c r="A175" s="176">
        <v>36</v>
      </c>
      <c r="B175" s="156" t="s">
        <v>335</v>
      </c>
      <c r="C175" s="101" t="s">
        <v>330</v>
      </c>
      <c r="D175" s="103" t="s">
        <v>345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 x14ac:dyDescent="0.2">
      <c r="A176" s="176">
        <v>37</v>
      </c>
      <c r="B176" s="156" t="s">
        <v>336</v>
      </c>
      <c r="C176" s="101" t="s">
        <v>350</v>
      </c>
      <c r="D176" s="103" t="s">
        <v>1427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 x14ac:dyDescent="0.2">
      <c r="A177" s="176">
        <v>38</v>
      </c>
      <c r="B177" s="156" t="s">
        <v>338</v>
      </c>
      <c r="C177" s="101" t="s">
        <v>350</v>
      </c>
      <c r="D177" s="103" t="s">
        <v>1427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 x14ac:dyDescent="0.2">
      <c r="A178" s="176">
        <v>39</v>
      </c>
      <c r="B178" s="156" t="s">
        <v>1365</v>
      </c>
      <c r="C178" s="101" t="s">
        <v>350</v>
      </c>
      <c r="D178" s="103" t="s">
        <v>1427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 x14ac:dyDescent="0.2">
      <c r="A179" s="176">
        <v>40</v>
      </c>
      <c r="B179" s="164" t="s">
        <v>339</v>
      </c>
      <c r="C179" s="101" t="s">
        <v>350</v>
      </c>
      <c r="D179" s="103" t="s">
        <v>1427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 x14ac:dyDescent="0.2">
      <c r="A180" s="176">
        <v>41</v>
      </c>
      <c r="B180" s="149" t="s">
        <v>340</v>
      </c>
      <c r="C180" s="101" t="s">
        <v>350</v>
      </c>
      <c r="D180" s="103" t="s">
        <v>1427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 x14ac:dyDescent="0.2">
      <c r="A181" s="176">
        <v>42</v>
      </c>
      <c r="B181" s="177" t="s">
        <v>341</v>
      </c>
      <c r="C181" s="101" t="s">
        <v>350</v>
      </c>
      <c r="D181" s="103" t="s">
        <v>1427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 x14ac:dyDescent="0.2">
      <c r="A182" s="176">
        <v>43</v>
      </c>
      <c r="B182" s="177" t="s">
        <v>342</v>
      </c>
      <c r="C182" s="101" t="s">
        <v>350</v>
      </c>
      <c r="D182" s="103" t="s">
        <v>1427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 x14ac:dyDescent="0.2">
      <c r="A183" s="176">
        <v>44</v>
      </c>
      <c r="B183" s="149" t="s">
        <v>343</v>
      </c>
      <c r="C183" s="101" t="s">
        <v>350</v>
      </c>
      <c r="D183" s="103" t="s">
        <v>1202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 x14ac:dyDescent="0.2">
      <c r="A184" s="176">
        <v>45</v>
      </c>
      <c r="B184" s="149" t="s">
        <v>346</v>
      </c>
      <c r="C184" s="101" t="s">
        <v>350</v>
      </c>
      <c r="D184" s="103" t="s">
        <v>1202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 x14ac:dyDescent="0.2">
      <c r="A185" s="176">
        <v>46</v>
      </c>
      <c r="B185" s="177" t="s">
        <v>347</v>
      </c>
      <c r="C185" s="101" t="s">
        <v>350</v>
      </c>
      <c r="D185" s="103" t="s">
        <v>354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 x14ac:dyDescent="0.2">
      <c r="A186" s="176">
        <v>47</v>
      </c>
      <c r="B186" s="149" t="s">
        <v>349</v>
      </c>
      <c r="C186" s="101" t="s">
        <v>350</v>
      </c>
      <c r="D186" s="103" t="s">
        <v>376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 x14ac:dyDescent="0.2">
      <c r="A187" s="176">
        <v>48</v>
      </c>
      <c r="B187" s="149" t="s">
        <v>352</v>
      </c>
      <c r="C187" s="101" t="s">
        <v>353</v>
      </c>
      <c r="D187" s="103" t="s">
        <v>1428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 x14ac:dyDescent="0.2">
      <c r="A188" s="176">
        <v>49</v>
      </c>
      <c r="B188" s="149" t="s">
        <v>355</v>
      </c>
      <c r="C188" s="101" t="s">
        <v>353</v>
      </c>
      <c r="D188" s="103" t="s">
        <v>1428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 x14ac:dyDescent="0.2">
      <c r="A189" s="176">
        <v>50</v>
      </c>
      <c r="B189" s="149" t="s">
        <v>356</v>
      </c>
      <c r="C189" s="101" t="s">
        <v>353</v>
      </c>
      <c r="D189" s="103" t="s">
        <v>1428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 x14ac:dyDescent="0.2">
      <c r="A190" s="176">
        <v>51</v>
      </c>
      <c r="B190" s="149" t="s">
        <v>357</v>
      </c>
      <c r="C190" s="101" t="s">
        <v>353</v>
      </c>
      <c r="D190" s="103" t="s">
        <v>1428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 x14ac:dyDescent="0.2">
      <c r="A191" s="176">
        <v>52</v>
      </c>
      <c r="B191" s="149" t="s">
        <v>358</v>
      </c>
      <c r="C191" s="101" t="s">
        <v>353</v>
      </c>
      <c r="D191" s="103" t="s">
        <v>1428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 x14ac:dyDescent="0.2">
      <c r="A192" s="176">
        <v>53</v>
      </c>
      <c r="B192" s="177" t="s">
        <v>359</v>
      </c>
      <c r="C192" s="101" t="s">
        <v>353</v>
      </c>
      <c r="D192" s="103" t="s">
        <v>366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 x14ac:dyDescent="0.2">
      <c r="A193" s="176">
        <v>54</v>
      </c>
      <c r="B193" s="177" t="s">
        <v>360</v>
      </c>
      <c r="C193" s="101" t="s">
        <v>353</v>
      </c>
      <c r="D193" s="103" t="s">
        <v>366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 x14ac:dyDescent="0.2">
      <c r="A194" s="176">
        <v>55</v>
      </c>
      <c r="B194" s="156" t="s">
        <v>493</v>
      </c>
      <c r="C194" s="101" t="s">
        <v>353</v>
      </c>
      <c r="D194" s="103" t="s">
        <v>567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 x14ac:dyDescent="0.2">
      <c r="A195" s="176">
        <v>56</v>
      </c>
      <c r="B195" s="156" t="s">
        <v>361</v>
      </c>
      <c r="C195" s="101" t="s">
        <v>353</v>
      </c>
      <c r="D195" s="103" t="s">
        <v>567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 x14ac:dyDescent="0.2">
      <c r="A196" s="176">
        <v>57</v>
      </c>
      <c r="B196" s="177" t="s">
        <v>362</v>
      </c>
      <c r="C196" s="101" t="s">
        <v>353</v>
      </c>
      <c r="D196" s="103" t="s">
        <v>567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 x14ac:dyDescent="0.2">
      <c r="A197" s="176">
        <v>58</v>
      </c>
      <c r="B197" s="177" t="s">
        <v>367</v>
      </c>
      <c r="C197" s="101" t="s">
        <v>353</v>
      </c>
      <c r="D197" s="103" t="s">
        <v>568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 x14ac:dyDescent="0.5">
      <c r="A198" s="176"/>
      <c r="B198" s="97" t="s">
        <v>111</v>
      </c>
      <c r="C198" s="138" t="s">
        <v>1429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840541.14</v>
      </c>
    </row>
    <row r="199" spans="1:8" ht="20.100000000000001" customHeight="1" x14ac:dyDescent="0.5">
      <c r="A199" s="41"/>
      <c r="B199" s="140" t="s">
        <v>379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 x14ac:dyDescent="0.2">
      <c r="A200" s="41"/>
      <c r="B200" s="144"/>
      <c r="C200" s="140"/>
      <c r="D200" s="144"/>
      <c r="E200" s="144"/>
      <c r="F200" s="145"/>
      <c r="G200" s="145"/>
    </row>
    <row r="201" spans="1:8" ht="20.100000000000001" customHeight="1" x14ac:dyDescent="0.2">
      <c r="A201" s="41"/>
      <c r="B201" s="144"/>
      <c r="C201" s="980" t="s">
        <v>1430</v>
      </c>
      <c r="D201" s="980"/>
      <c r="E201" s="146"/>
      <c r="F201" s="145"/>
      <c r="G201" s="145"/>
    </row>
    <row r="202" spans="1:8" ht="20.100000000000001" customHeight="1" x14ac:dyDescent="0.2">
      <c r="A202" s="41"/>
      <c r="B202" s="144"/>
      <c r="C202" s="980"/>
      <c r="D202" s="980"/>
      <c r="E202" s="146"/>
      <c r="F202" s="145"/>
      <c r="G202" s="145"/>
    </row>
    <row r="203" spans="1:8" ht="20.100000000000001" customHeight="1" x14ac:dyDescent="0.2">
      <c r="B203" s="147"/>
      <c r="C203" s="147"/>
      <c r="D203" s="147"/>
      <c r="E203" s="147"/>
      <c r="F203" s="147"/>
      <c r="G203" s="147"/>
    </row>
    <row r="204" spans="1:8" ht="20.100000000000001" customHeight="1" x14ac:dyDescent="0.2">
      <c r="B204" s="147"/>
      <c r="C204" s="147"/>
      <c r="D204" s="147"/>
      <c r="E204" s="147"/>
      <c r="F204" s="147"/>
      <c r="G204" s="147"/>
    </row>
    <row r="205" spans="1:8" ht="20.100000000000001" customHeight="1" x14ac:dyDescent="0.2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G194"/>
  <sheetViews>
    <sheetView view="pageBreakPreview" zoomScaleNormal="100" workbookViewId="0">
      <pane xSplit="4" ySplit="9" topLeftCell="E185" activePane="bottomRight" state="frozen"/>
      <selection pane="bottomLeft"/>
      <selection pane="topRight"/>
      <selection pane="bottomRight" activeCell="H7" sqref="H7"/>
    </sheetView>
  </sheetViews>
  <sheetFormatPr defaultColWidth="9.16796875" defaultRowHeight="20.100000000000001" customHeight="1" x14ac:dyDescent="0.2"/>
  <cols>
    <col min="1" max="1" width="4.58203125" style="44" customWidth="1"/>
    <col min="2" max="2" width="4.8515625" style="44" customWidth="1"/>
    <col min="3" max="3" width="28.31640625" style="44" customWidth="1"/>
    <col min="4" max="4" width="32.6328125" style="44" customWidth="1"/>
    <col min="5" max="5" width="12.80859375" style="44" customWidth="1"/>
    <col min="6" max="6" width="17.93359375" style="44" customWidth="1"/>
    <col min="7" max="7" width="18.7421875" style="44" customWidth="1"/>
    <col min="8" max="8" width="23.05859375" style="44" customWidth="1"/>
    <col min="9" max="9" width="16.44921875" style="44" customWidth="1"/>
    <col min="10" max="10" width="18.0703125" style="44" customWidth="1"/>
    <col min="11" max="11" width="17.93359375" style="44" customWidth="1"/>
    <col min="12" max="12" width="19.1484375" style="44" customWidth="1"/>
    <col min="13" max="13" width="19.95703125" style="44" customWidth="1"/>
    <col min="14" max="14" width="24.54296875" style="44" customWidth="1"/>
    <col min="15" max="15" width="19.41796875" style="44" customWidth="1"/>
    <col min="16" max="16" width="16.046875" style="44" customWidth="1"/>
    <col min="17" max="17" width="18.33984375" style="44" customWidth="1"/>
    <col min="18" max="18" width="19.95703125" style="44" customWidth="1"/>
    <col min="19" max="19" width="19.6875" style="44" customWidth="1"/>
    <col min="20" max="20" width="20.08984375" style="44" customWidth="1"/>
    <col min="21" max="21" width="20.6328125" style="44" customWidth="1"/>
    <col min="22" max="22" width="18.33984375" style="44" customWidth="1"/>
    <col min="23" max="23" width="18.7421875" style="44" customWidth="1"/>
    <col min="24" max="25" width="18.33984375" style="44" customWidth="1"/>
    <col min="26" max="27" width="19.6875" style="44" customWidth="1"/>
    <col min="28" max="28" width="21.03515625" style="44" customWidth="1"/>
    <col min="29" max="16384" width="9.16796875" style="44"/>
  </cols>
  <sheetData>
    <row r="1" spans="1:33" ht="29.25" customHeight="1" x14ac:dyDescent="0.2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1391</v>
      </c>
    </row>
    <row r="2" spans="1:33" ht="5.25" customHeight="1" x14ac:dyDescent="0.2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 x14ac:dyDescent="0.2">
      <c r="B3" s="978" t="s">
        <v>1431</v>
      </c>
      <c r="C3" s="978"/>
      <c r="D3" s="978"/>
      <c r="E3" s="978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 x14ac:dyDescent="0.2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 x14ac:dyDescent="0.2">
      <c r="B5" s="978" t="s">
        <v>2</v>
      </c>
      <c r="C5" s="978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79"/>
      <c r="V5" s="979"/>
      <c r="W5" s="979"/>
      <c r="X5" s="979"/>
      <c r="Y5" s="979"/>
      <c r="Z5" s="979"/>
      <c r="AA5" s="94"/>
      <c r="AB5" s="94"/>
    </row>
    <row r="6" spans="1:33" ht="35.450000000000003" customHeight="1" x14ac:dyDescent="0.2">
      <c r="A6" s="41"/>
      <c r="B6" s="1014"/>
      <c r="C6" s="1014"/>
      <c r="D6" s="48" t="s">
        <v>3</v>
      </c>
      <c r="E6" s="48" t="s">
        <v>1393</v>
      </c>
      <c r="F6" s="50" t="s">
        <v>1432</v>
      </c>
      <c r="G6" s="41"/>
      <c r="H6" s="50"/>
      <c r="I6" s="50"/>
      <c r="J6" s="50"/>
      <c r="K6" s="50"/>
      <c r="L6" s="50"/>
      <c r="M6" s="50" t="s">
        <v>1433</v>
      </c>
      <c r="N6" s="50" t="s">
        <v>1434</v>
      </c>
      <c r="O6" s="50" t="s">
        <v>1435</v>
      </c>
      <c r="P6" s="50" t="s">
        <v>1436</v>
      </c>
      <c r="Q6" s="50" t="s">
        <v>1437</v>
      </c>
      <c r="R6" s="50" t="s">
        <v>1438</v>
      </c>
      <c r="S6" s="50" t="s">
        <v>1439</v>
      </c>
      <c r="T6" s="50" t="s">
        <v>1440</v>
      </c>
      <c r="U6" s="50" t="s">
        <v>778</v>
      </c>
      <c r="V6" s="50"/>
      <c r="W6" s="50"/>
      <c r="X6" s="50"/>
      <c r="Y6" s="55"/>
      <c r="Z6" s="55"/>
      <c r="AA6" s="131"/>
      <c r="AB6" s="131"/>
    </row>
    <row r="7" spans="1:33" ht="48" customHeight="1" x14ac:dyDescent="0.2">
      <c r="A7" s="41"/>
      <c r="B7" s="942"/>
      <c r="C7" s="942"/>
      <c r="D7" s="48"/>
      <c r="E7" s="48" t="s">
        <v>1394</v>
      </c>
      <c r="F7" s="50" t="s">
        <v>748</v>
      </c>
      <c r="G7" s="96" t="s">
        <v>1441</v>
      </c>
      <c r="H7" s="50" t="s">
        <v>825</v>
      </c>
      <c r="I7" s="50" t="s">
        <v>826</v>
      </c>
      <c r="J7" s="50" t="s">
        <v>827</v>
      </c>
      <c r="K7" s="50" t="s">
        <v>828</v>
      </c>
      <c r="L7" s="50" t="s">
        <v>829</v>
      </c>
      <c r="M7" s="50" t="s">
        <v>830</v>
      </c>
      <c r="N7" s="50" t="s">
        <v>7</v>
      </c>
      <c r="O7" s="50" t="s">
        <v>7</v>
      </c>
      <c r="P7" s="50" t="s">
        <v>831</v>
      </c>
      <c r="Q7" s="50" t="s">
        <v>831</v>
      </c>
      <c r="R7" s="50" t="s">
        <v>8</v>
      </c>
      <c r="S7" s="50" t="s">
        <v>748</v>
      </c>
      <c r="T7" s="96" t="s">
        <v>748</v>
      </c>
      <c r="U7" s="96"/>
      <c r="V7" s="96"/>
      <c r="W7" s="50" t="s">
        <v>776</v>
      </c>
      <c r="X7" s="96" t="s">
        <v>706</v>
      </c>
      <c r="Y7" s="50" t="s">
        <v>778</v>
      </c>
      <c r="Z7" s="50"/>
      <c r="AA7" s="50"/>
      <c r="AB7" s="50"/>
    </row>
    <row r="8" spans="1:33" ht="20.100000000000001" customHeight="1" x14ac:dyDescent="0.2">
      <c r="A8" s="40" t="s">
        <v>21</v>
      </c>
      <c r="B8" s="1015" t="s">
        <v>1442</v>
      </c>
      <c r="C8" s="1015"/>
      <c r="D8" s="97"/>
      <c r="E8" s="97"/>
      <c r="F8" s="98" t="s">
        <v>20</v>
      </c>
      <c r="G8" s="55"/>
      <c r="H8" s="98"/>
      <c r="I8" s="98" t="s">
        <v>20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20</v>
      </c>
      <c r="T8" s="98" t="s">
        <v>20</v>
      </c>
      <c r="U8" s="98" t="s">
        <v>20</v>
      </c>
      <c r="V8" s="98"/>
      <c r="W8" s="98" t="s">
        <v>20</v>
      </c>
      <c r="X8" s="98" t="s">
        <v>20</v>
      </c>
      <c r="Y8" s="98" t="s">
        <v>20</v>
      </c>
      <c r="Z8" s="98"/>
      <c r="AA8" s="98"/>
      <c r="AB8" s="98"/>
    </row>
    <row r="9" spans="1:33" ht="20.100000000000001" customHeight="1" x14ac:dyDescent="0.2">
      <c r="A9" s="45">
        <v>1</v>
      </c>
      <c r="B9" s="983" t="s">
        <v>23</v>
      </c>
      <c r="C9" s="984"/>
      <c r="D9" s="101" t="s">
        <v>24</v>
      </c>
      <c r="E9" s="101" t="s">
        <v>25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 x14ac:dyDescent="0.2">
      <c r="A10" s="45">
        <v>2</v>
      </c>
      <c r="B10" s="983" t="s">
        <v>1397</v>
      </c>
      <c r="C10" s="984"/>
      <c r="D10" s="101" t="s">
        <v>1398</v>
      </c>
      <c r="E10" s="103" t="s">
        <v>115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 x14ac:dyDescent="0.2">
      <c r="A11" s="45">
        <v>3</v>
      </c>
      <c r="B11" s="1006" t="s">
        <v>1443</v>
      </c>
      <c r="C11" s="1007"/>
      <c r="D11" s="104" t="s">
        <v>1444</v>
      </c>
      <c r="E11" s="105" t="s">
        <v>154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 x14ac:dyDescent="0.2">
      <c r="A12" s="45">
        <v>4</v>
      </c>
      <c r="B12" s="983" t="s">
        <v>1261</v>
      </c>
      <c r="C12" s="984"/>
      <c r="D12" s="41" t="s">
        <v>1399</v>
      </c>
      <c r="E12" s="45" t="s">
        <v>35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 x14ac:dyDescent="0.2">
      <c r="A13" s="45">
        <v>5</v>
      </c>
      <c r="B13" s="1006" t="s">
        <v>1351</v>
      </c>
      <c r="C13" s="1007"/>
      <c r="D13" s="104" t="s">
        <v>1352</v>
      </c>
      <c r="E13" s="105" t="s">
        <v>35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 x14ac:dyDescent="0.2">
      <c r="A14" s="45">
        <v>6</v>
      </c>
      <c r="B14" s="983" t="s">
        <v>26</v>
      </c>
      <c r="C14" s="984"/>
      <c r="D14" s="101" t="s">
        <v>27</v>
      </c>
      <c r="E14" s="45" t="s">
        <v>1400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 x14ac:dyDescent="0.2">
      <c r="A15" s="45">
        <v>7</v>
      </c>
      <c r="B15" s="1006" t="s">
        <v>208</v>
      </c>
      <c r="C15" s="1007"/>
      <c r="D15" s="41" t="s">
        <v>1401</v>
      </c>
      <c r="E15" s="108" t="s">
        <v>131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 x14ac:dyDescent="0.2">
      <c r="A16" s="45">
        <v>8</v>
      </c>
      <c r="B16" s="998" t="s">
        <v>31</v>
      </c>
      <c r="C16" s="999"/>
      <c r="D16" s="15" t="s">
        <v>544</v>
      </c>
      <c r="E16" s="8" t="s">
        <v>131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 x14ac:dyDescent="0.2">
      <c r="A17" s="45">
        <v>9</v>
      </c>
      <c r="B17" s="1006" t="s">
        <v>271</v>
      </c>
      <c r="C17" s="1007"/>
      <c r="D17" s="41" t="s">
        <v>1402</v>
      </c>
      <c r="E17" s="45" t="s">
        <v>131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 x14ac:dyDescent="0.2">
      <c r="A18" s="45">
        <v>10</v>
      </c>
      <c r="B18" s="990" t="s">
        <v>33</v>
      </c>
      <c r="C18" s="990"/>
      <c r="D18" s="101" t="s">
        <v>1403</v>
      </c>
      <c r="E18" s="103" t="s">
        <v>131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 x14ac:dyDescent="0.2">
      <c r="A19" s="45">
        <v>11</v>
      </c>
      <c r="B19" s="99" t="s">
        <v>550</v>
      </c>
      <c r="C19" s="100"/>
      <c r="D19" s="101" t="s">
        <v>551</v>
      </c>
      <c r="E19" s="46" t="s">
        <v>1200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 x14ac:dyDescent="0.2">
      <c r="A20" s="45">
        <v>12</v>
      </c>
      <c r="B20" s="1006" t="s">
        <v>1353</v>
      </c>
      <c r="C20" s="1007"/>
      <c r="D20" s="104" t="s">
        <v>1354</v>
      </c>
      <c r="E20" s="111" t="s">
        <v>46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8060.69625000004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 x14ac:dyDescent="0.2">
      <c r="A21" s="45">
        <v>13</v>
      </c>
      <c r="B21" s="1006" t="s">
        <v>1264</v>
      </c>
      <c r="C21" s="1007"/>
      <c r="D21" s="104" t="s">
        <v>40</v>
      </c>
      <c r="E21" s="45" t="s">
        <v>46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 x14ac:dyDescent="0.2">
      <c r="A22" s="45">
        <v>14</v>
      </c>
      <c r="B22" s="1006" t="s">
        <v>1355</v>
      </c>
      <c r="C22" s="1007"/>
      <c r="D22" s="41" t="s">
        <v>1356</v>
      </c>
      <c r="E22" s="45" t="s">
        <v>46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8060.69625000004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 x14ac:dyDescent="0.2">
      <c r="A23" s="45">
        <v>15</v>
      </c>
      <c r="B23" s="983" t="s">
        <v>39</v>
      </c>
      <c r="C23" s="984"/>
      <c r="D23" s="104" t="s">
        <v>1404</v>
      </c>
      <c r="E23" s="103" t="s">
        <v>52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 x14ac:dyDescent="0.2">
      <c r="A24" s="45">
        <v>16</v>
      </c>
      <c r="B24" s="1006" t="s">
        <v>29</v>
      </c>
      <c r="C24" s="1007"/>
      <c r="D24" s="41" t="s">
        <v>1445</v>
      </c>
      <c r="E24" s="103" t="s">
        <v>630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 x14ac:dyDescent="0.2">
      <c r="A25" s="45">
        <v>17</v>
      </c>
      <c r="B25" s="983" t="s">
        <v>50</v>
      </c>
      <c r="C25" s="984"/>
      <c r="D25" s="101" t="s">
        <v>51</v>
      </c>
      <c r="E25" s="103" t="s">
        <v>200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 x14ac:dyDescent="0.2">
      <c r="A26" s="45">
        <v>18</v>
      </c>
      <c r="B26" s="983" t="s">
        <v>63</v>
      </c>
      <c r="C26" s="984"/>
      <c r="D26" s="101" t="s">
        <v>104</v>
      </c>
      <c r="E26" s="103" t="s">
        <v>300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4566.0304999999898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 x14ac:dyDescent="0.2">
      <c r="A27" s="45">
        <v>19</v>
      </c>
      <c r="B27" s="983" t="s">
        <v>177</v>
      </c>
      <c r="C27" s="984"/>
      <c r="D27" s="101" t="s">
        <v>555</v>
      </c>
      <c r="E27" s="103" t="s">
        <v>68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7081.9990000000098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 x14ac:dyDescent="0.2">
      <c r="A28" s="45">
        <v>20</v>
      </c>
      <c r="B28" s="99" t="s">
        <v>53</v>
      </c>
      <c r="C28" s="100"/>
      <c r="D28" s="41" t="s">
        <v>54</v>
      </c>
      <c r="E28" s="103" t="s">
        <v>119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 x14ac:dyDescent="0.2">
      <c r="A29" s="45">
        <v>21</v>
      </c>
      <c r="B29" s="99" t="s">
        <v>80</v>
      </c>
      <c r="C29" s="100"/>
      <c r="D29" s="101" t="s">
        <v>78</v>
      </c>
      <c r="E29" s="103" t="s">
        <v>1373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 x14ac:dyDescent="0.2">
      <c r="A30" s="45">
        <v>22</v>
      </c>
      <c r="B30" s="99" t="s">
        <v>1191</v>
      </c>
      <c r="C30" s="100"/>
      <c r="D30" s="101" t="s">
        <v>101</v>
      </c>
      <c r="E30" s="103" t="s">
        <v>108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 x14ac:dyDescent="0.2">
      <c r="A31" s="45">
        <v>23</v>
      </c>
      <c r="B31" s="99" t="s">
        <v>1357</v>
      </c>
      <c r="C31" s="100"/>
      <c r="D31" s="101" t="s">
        <v>101</v>
      </c>
      <c r="E31" s="103" t="s">
        <v>76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4567.0397499999699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 x14ac:dyDescent="0.2">
      <c r="A32" s="45">
        <v>24</v>
      </c>
      <c r="B32" s="990" t="s">
        <v>174</v>
      </c>
      <c r="C32" s="990"/>
      <c r="D32" s="41" t="s">
        <v>1214</v>
      </c>
      <c r="E32" s="103" t="s">
        <v>1199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 x14ac:dyDescent="0.2">
      <c r="A33" s="45">
        <v>25</v>
      </c>
      <c r="B33" s="983" t="s">
        <v>236</v>
      </c>
      <c r="C33" s="984"/>
      <c r="D33" s="41" t="s">
        <v>1405</v>
      </c>
      <c r="E33" s="103" t="s">
        <v>300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4566.0304999999898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 x14ac:dyDescent="0.2">
      <c r="A34" s="45">
        <v>26</v>
      </c>
      <c r="B34" s="99" t="s">
        <v>288</v>
      </c>
      <c r="C34" s="100"/>
      <c r="D34" s="41" t="s">
        <v>1372</v>
      </c>
      <c r="E34" s="103" t="s">
        <v>119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4565.8470000000098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 x14ac:dyDescent="0.2">
      <c r="A35" s="45">
        <v>27</v>
      </c>
      <c r="B35" s="983" t="s">
        <v>1265</v>
      </c>
      <c r="C35" s="984"/>
      <c r="D35" s="101" t="s">
        <v>1213</v>
      </c>
      <c r="E35" s="103" t="s">
        <v>206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 x14ac:dyDescent="0.2">
      <c r="A36" s="45">
        <v>28</v>
      </c>
      <c r="B36" s="99" t="s">
        <v>82</v>
      </c>
      <c r="C36" s="100"/>
      <c r="D36" s="101" t="s">
        <v>1213</v>
      </c>
      <c r="E36" s="103" t="s">
        <v>1406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 x14ac:dyDescent="0.2">
      <c r="A37" s="45">
        <v>29</v>
      </c>
      <c r="B37" s="998" t="s">
        <v>219</v>
      </c>
      <c r="C37" s="999"/>
      <c r="D37" s="15" t="s">
        <v>1374</v>
      </c>
      <c r="E37" s="103" t="s">
        <v>102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3487.9679999999898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 x14ac:dyDescent="0.2">
      <c r="A38" s="45">
        <v>30</v>
      </c>
      <c r="B38" s="109" t="s">
        <v>89</v>
      </c>
      <c r="C38" s="110"/>
      <c r="D38" s="15" t="s">
        <v>90</v>
      </c>
      <c r="E38" s="103" t="s">
        <v>108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 x14ac:dyDescent="0.5">
      <c r="A39" s="45"/>
      <c r="B39" s="995" t="s">
        <v>111</v>
      </c>
      <c r="C39" s="995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 x14ac:dyDescent="0.2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 x14ac:dyDescent="0.2">
      <c r="A41" s="45"/>
      <c r="B41" s="995" t="s">
        <v>112</v>
      </c>
      <c r="C41" s="995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 x14ac:dyDescent="0.2">
      <c r="A42" s="45">
        <v>1</v>
      </c>
      <c r="B42" s="99" t="s">
        <v>113</v>
      </c>
      <c r="C42" s="100"/>
      <c r="D42" s="41" t="s">
        <v>114</v>
      </c>
      <c r="E42" s="45" t="s">
        <v>210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24775.619500000001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 x14ac:dyDescent="0.5">
      <c r="A43" s="45"/>
      <c r="B43" s="41"/>
      <c r="C43" s="40" t="s">
        <v>111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24775.619500000001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 x14ac:dyDescent="0.2">
      <c r="A44" s="45"/>
      <c r="B44" s="1010"/>
      <c r="C44" s="1011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 x14ac:dyDescent="0.2">
      <c r="A45" s="45"/>
      <c r="B45" s="1012" t="s">
        <v>125</v>
      </c>
      <c r="C45" s="1013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 x14ac:dyDescent="0.2">
      <c r="A46" s="45">
        <v>1</v>
      </c>
      <c r="B46" s="983" t="s">
        <v>536</v>
      </c>
      <c r="C46" s="984"/>
      <c r="D46" s="41" t="s">
        <v>537</v>
      </c>
      <c r="E46" s="45" t="s">
        <v>115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 x14ac:dyDescent="0.2">
      <c r="A47" s="45">
        <v>2</v>
      </c>
      <c r="B47" s="983" t="s">
        <v>538</v>
      </c>
      <c r="C47" s="984"/>
      <c r="D47" s="41" t="s">
        <v>43</v>
      </c>
      <c r="E47" s="45" t="s">
        <v>131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 x14ac:dyDescent="0.2">
      <c r="A48" s="45">
        <v>3</v>
      </c>
      <c r="B48" s="983" t="s">
        <v>126</v>
      </c>
      <c r="C48" s="984"/>
      <c r="D48" s="41" t="s">
        <v>130</v>
      </c>
      <c r="E48" s="45" t="s">
        <v>131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 x14ac:dyDescent="0.2">
      <c r="A49" s="45">
        <v>4</v>
      </c>
      <c r="B49" s="983" t="s">
        <v>129</v>
      </c>
      <c r="C49" s="984"/>
      <c r="D49" s="41" t="s">
        <v>130</v>
      </c>
      <c r="E49" s="45" t="s">
        <v>38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 x14ac:dyDescent="0.2">
      <c r="A50" s="45">
        <v>5</v>
      </c>
      <c r="B50" s="983" t="s">
        <v>132</v>
      </c>
      <c r="C50" s="984"/>
      <c r="D50" s="41" t="s">
        <v>45</v>
      </c>
      <c r="E50" s="45" t="s">
        <v>41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 x14ac:dyDescent="0.2">
      <c r="A51" s="45">
        <v>6</v>
      </c>
      <c r="B51" s="983" t="s">
        <v>133</v>
      </c>
      <c r="C51" s="984"/>
      <c r="D51" s="41" t="s">
        <v>45</v>
      </c>
      <c r="E51" s="45" t="s">
        <v>46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 x14ac:dyDescent="0.2">
      <c r="A52" s="45">
        <v>7</v>
      </c>
      <c r="B52" s="992" t="s">
        <v>134</v>
      </c>
      <c r="C52" s="993"/>
      <c r="D52" s="41" t="s">
        <v>156</v>
      </c>
      <c r="E52" s="14" t="s">
        <v>46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 x14ac:dyDescent="0.2">
      <c r="A53" s="45">
        <v>8</v>
      </c>
      <c r="B53" s="983" t="s">
        <v>1270</v>
      </c>
      <c r="C53" s="984"/>
      <c r="D53" s="41" t="s">
        <v>158</v>
      </c>
      <c r="E53" s="45" t="s">
        <v>534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 x14ac:dyDescent="0.2">
      <c r="A54" s="45">
        <v>9</v>
      </c>
      <c r="B54" s="1008" t="s">
        <v>1446</v>
      </c>
      <c r="C54" s="1009"/>
      <c r="D54" s="116" t="s">
        <v>156</v>
      </c>
      <c r="E54" s="117" t="s">
        <v>197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 x14ac:dyDescent="0.2">
      <c r="A55" s="45">
        <v>10</v>
      </c>
      <c r="B55" s="998" t="s">
        <v>44</v>
      </c>
      <c r="C55" s="999"/>
      <c r="D55" s="41" t="s">
        <v>552</v>
      </c>
      <c r="E55" s="8" t="s">
        <v>1199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 x14ac:dyDescent="0.5">
      <c r="A56" s="45"/>
      <c r="B56" s="1000" t="s">
        <v>111</v>
      </c>
      <c r="C56" s="1001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 x14ac:dyDescent="0.2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 x14ac:dyDescent="0.2">
      <c r="A58" s="45"/>
      <c r="B58" s="1000" t="s">
        <v>145</v>
      </c>
      <c r="C58" s="1001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 x14ac:dyDescent="0.2">
      <c r="A59" s="45">
        <v>1</v>
      </c>
      <c r="B59" s="983" t="s">
        <v>540</v>
      </c>
      <c r="C59" s="984"/>
      <c r="D59" s="101" t="s">
        <v>147</v>
      </c>
      <c r="E59" s="103" t="s">
        <v>115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 x14ac:dyDescent="0.2">
      <c r="A60" s="45">
        <v>2</v>
      </c>
      <c r="B60" s="99" t="s">
        <v>148</v>
      </c>
      <c r="C60" s="100"/>
      <c r="D60" s="101" t="s">
        <v>149</v>
      </c>
      <c r="E60" s="103" t="s">
        <v>549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 x14ac:dyDescent="0.5">
      <c r="A61" s="45"/>
      <c r="B61" s="1000" t="s">
        <v>111</v>
      </c>
      <c r="C61" s="1001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11417.003000000301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 x14ac:dyDescent="0.2">
      <c r="A62" s="45"/>
      <c r="B62" s="1000"/>
      <c r="C62" s="1001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 x14ac:dyDescent="0.2">
      <c r="A63" s="45"/>
      <c r="B63" s="1000" t="s">
        <v>1408</v>
      </c>
      <c r="C63" s="1001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 x14ac:dyDescent="0.2">
      <c r="A64" s="45">
        <v>1</v>
      </c>
      <c r="B64" s="998" t="s">
        <v>541</v>
      </c>
      <c r="C64" s="999"/>
      <c r="D64" s="15" t="s">
        <v>542</v>
      </c>
      <c r="E64" s="8" t="s">
        <v>115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24775.986499999901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 x14ac:dyDescent="0.2">
      <c r="A65" s="45">
        <v>2</v>
      </c>
      <c r="B65" s="109" t="s">
        <v>543</v>
      </c>
      <c r="C65" s="110"/>
      <c r="D65" s="15" t="s">
        <v>544</v>
      </c>
      <c r="E65" s="103" t="s">
        <v>1200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 x14ac:dyDescent="0.2">
      <c r="A66" s="45">
        <v>3</v>
      </c>
      <c r="B66" s="998" t="s">
        <v>1447</v>
      </c>
      <c r="C66" s="999"/>
      <c r="D66" s="2" t="s">
        <v>552</v>
      </c>
      <c r="E66" s="8" t="s">
        <v>52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 x14ac:dyDescent="0.2">
      <c r="A67" s="45">
        <v>4</v>
      </c>
      <c r="B67" s="998" t="s">
        <v>155</v>
      </c>
      <c r="C67" s="999"/>
      <c r="D67" s="41" t="s">
        <v>158</v>
      </c>
      <c r="E67" s="8" t="s">
        <v>1199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 x14ac:dyDescent="0.2">
      <c r="A68" s="45">
        <v>5</v>
      </c>
      <c r="B68" s="109" t="s">
        <v>1448</v>
      </c>
      <c r="C68" s="110"/>
      <c r="D68" s="15" t="s">
        <v>158</v>
      </c>
      <c r="E68" s="103" t="s">
        <v>200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7487.9927500000304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 x14ac:dyDescent="0.2">
      <c r="A69" s="45">
        <v>6</v>
      </c>
      <c r="B69" s="1006" t="s">
        <v>546</v>
      </c>
      <c r="C69" s="1007"/>
      <c r="D69" s="15" t="s">
        <v>156</v>
      </c>
      <c r="E69" s="103" t="s">
        <v>46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 x14ac:dyDescent="0.2">
      <c r="A70" s="45">
        <v>7</v>
      </c>
      <c r="B70" s="998" t="s">
        <v>161</v>
      </c>
      <c r="C70" s="999"/>
      <c r="D70" s="2" t="s">
        <v>139</v>
      </c>
      <c r="E70" s="8" t="s">
        <v>1409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 x14ac:dyDescent="0.2">
      <c r="A71" s="45">
        <v>8</v>
      </c>
      <c r="B71" s="990" t="s">
        <v>1278</v>
      </c>
      <c r="C71" s="990"/>
      <c r="D71" s="15" t="s">
        <v>139</v>
      </c>
      <c r="E71" s="103" t="s">
        <v>68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 x14ac:dyDescent="0.2">
      <c r="A72" s="45">
        <v>9</v>
      </c>
      <c r="B72" s="983" t="s">
        <v>165</v>
      </c>
      <c r="C72" s="984"/>
      <c r="D72" s="41" t="s">
        <v>184</v>
      </c>
      <c r="E72" s="45" t="s">
        <v>300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4566.0304999999398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 x14ac:dyDescent="0.2">
      <c r="A73" s="45">
        <v>10</v>
      </c>
      <c r="B73" s="998" t="s">
        <v>1359</v>
      </c>
      <c r="C73" s="999"/>
      <c r="D73" s="15" t="s">
        <v>139</v>
      </c>
      <c r="E73" s="45" t="s">
        <v>73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 x14ac:dyDescent="0.2">
      <c r="A74" s="45">
        <v>11</v>
      </c>
      <c r="B74" s="998" t="s">
        <v>81</v>
      </c>
      <c r="C74" s="999"/>
      <c r="D74" s="15" t="s">
        <v>67</v>
      </c>
      <c r="E74" s="45" t="s">
        <v>108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 x14ac:dyDescent="0.2">
      <c r="A75" s="45">
        <v>12</v>
      </c>
      <c r="B75" s="1006" t="s">
        <v>66</v>
      </c>
      <c r="C75" s="1007"/>
      <c r="D75" s="15" t="s">
        <v>67</v>
      </c>
      <c r="E75" s="45" t="s">
        <v>108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 x14ac:dyDescent="0.5">
      <c r="A76" s="45"/>
      <c r="B76" s="1000" t="s">
        <v>111</v>
      </c>
      <c r="C76" s="1001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67258.163249999299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 x14ac:dyDescent="0.2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 x14ac:dyDescent="0.2">
      <c r="A78" s="45"/>
      <c r="B78" s="1000" t="s">
        <v>1410</v>
      </c>
      <c r="C78" s="1001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 x14ac:dyDescent="0.2">
      <c r="A79" s="45">
        <v>1</v>
      </c>
      <c r="B79" s="983" t="s">
        <v>170</v>
      </c>
      <c r="C79" s="984"/>
      <c r="D79" s="41" t="s">
        <v>171</v>
      </c>
      <c r="E79" s="45" t="s">
        <v>115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 x14ac:dyDescent="0.2">
      <c r="A80" s="45">
        <v>2</v>
      </c>
      <c r="B80" s="44" t="s">
        <v>547</v>
      </c>
      <c r="D80" s="44" t="s">
        <v>548</v>
      </c>
      <c r="E80" s="103" t="s">
        <v>1200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 x14ac:dyDescent="0.2">
      <c r="A81" s="45">
        <v>3</v>
      </c>
      <c r="B81" s="44" t="s">
        <v>1360</v>
      </c>
      <c r="D81" s="44" t="s">
        <v>1361</v>
      </c>
      <c r="E81" s="103" t="s">
        <v>1200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 x14ac:dyDescent="0.2">
      <c r="A82" s="45">
        <v>4</v>
      </c>
      <c r="B82" s="983" t="s">
        <v>1449</v>
      </c>
      <c r="C82" s="984"/>
      <c r="D82" s="41" t="s">
        <v>552</v>
      </c>
      <c r="E82" s="103" t="s">
        <v>1199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 x14ac:dyDescent="0.2">
      <c r="A83" s="45">
        <v>5</v>
      </c>
      <c r="B83" s="983" t="s">
        <v>181</v>
      </c>
      <c r="C83" s="984"/>
      <c r="D83" s="41" t="s">
        <v>184</v>
      </c>
      <c r="E83" s="45" t="s">
        <v>73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 x14ac:dyDescent="0.2">
      <c r="A84" s="45">
        <v>6</v>
      </c>
      <c r="B84" s="99" t="s">
        <v>85</v>
      </c>
      <c r="C84" s="100"/>
      <c r="D84" s="41" t="s">
        <v>1267</v>
      </c>
      <c r="E84" s="45" t="s">
        <v>102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 x14ac:dyDescent="0.2">
      <c r="A85" s="45">
        <v>7</v>
      </c>
      <c r="B85" s="99" t="s">
        <v>92</v>
      </c>
      <c r="C85" s="100"/>
      <c r="D85" s="41" t="s">
        <v>1375</v>
      </c>
      <c r="E85" s="45" t="s">
        <v>108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 x14ac:dyDescent="0.5">
      <c r="A86" s="45"/>
      <c r="B86" s="1000" t="s">
        <v>111</v>
      </c>
      <c r="C86" s="1001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11288.002500000901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 x14ac:dyDescent="0.2">
      <c r="A87" s="45"/>
      <c r="B87" s="1002"/>
      <c r="C87" s="1003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 x14ac:dyDescent="0.2">
      <c r="A88" s="45"/>
      <c r="B88" s="1004" t="s">
        <v>1411</v>
      </c>
      <c r="C88" s="1005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 x14ac:dyDescent="0.2">
      <c r="A89" s="45">
        <v>1</v>
      </c>
      <c r="B89" s="983" t="s">
        <v>1412</v>
      </c>
      <c r="C89" s="984"/>
      <c r="D89" s="41" t="s">
        <v>1378</v>
      </c>
      <c r="E89" s="45" t="s">
        <v>35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 x14ac:dyDescent="0.2">
      <c r="A90" s="45">
        <v>2</v>
      </c>
      <c r="B90" s="983" t="s">
        <v>190</v>
      </c>
      <c r="C90" s="984"/>
      <c r="D90" s="41" t="s">
        <v>130</v>
      </c>
      <c r="E90" s="45" t="s">
        <v>131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 x14ac:dyDescent="0.2">
      <c r="A91" s="45">
        <v>3</v>
      </c>
      <c r="B91" s="983" t="s">
        <v>188</v>
      </c>
      <c r="C91" s="984"/>
      <c r="D91" s="41" t="s">
        <v>130</v>
      </c>
      <c r="E91" s="45" t="s">
        <v>131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 x14ac:dyDescent="0.2">
      <c r="A92" s="45">
        <v>4</v>
      </c>
      <c r="B92" s="983" t="s">
        <v>1450</v>
      </c>
      <c r="C92" s="984"/>
      <c r="D92" s="41" t="s">
        <v>45</v>
      </c>
      <c r="E92" s="45" t="s">
        <v>46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 x14ac:dyDescent="0.2">
      <c r="A93" s="45">
        <v>5</v>
      </c>
      <c r="B93" s="1006" t="s">
        <v>152</v>
      </c>
      <c r="C93" s="1007"/>
      <c r="D93" s="41" t="s">
        <v>156</v>
      </c>
      <c r="E93" s="45" t="s">
        <v>176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 x14ac:dyDescent="0.2">
      <c r="A94" s="45">
        <v>6</v>
      </c>
      <c r="B94" s="998" t="s">
        <v>193</v>
      </c>
      <c r="C94" s="999"/>
      <c r="D94" s="41" t="s">
        <v>45</v>
      </c>
      <c r="E94" s="45" t="s">
        <v>46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 x14ac:dyDescent="0.2">
      <c r="A95" s="45">
        <v>7</v>
      </c>
      <c r="B95" s="983" t="s">
        <v>1451</v>
      </c>
      <c r="C95" s="984"/>
      <c r="D95" s="101" t="s">
        <v>156</v>
      </c>
      <c r="E95" s="103" t="s">
        <v>197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935" t="s">
        <v>1452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 x14ac:dyDescent="0.2">
      <c r="A96" s="45">
        <v>8</v>
      </c>
      <c r="B96" s="990" t="s">
        <v>194</v>
      </c>
      <c r="C96" s="990"/>
      <c r="D96" s="41" t="s">
        <v>552</v>
      </c>
      <c r="E96" s="103" t="s">
        <v>1199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 x14ac:dyDescent="0.2">
      <c r="A97" s="45">
        <v>9</v>
      </c>
      <c r="B97" s="983" t="s">
        <v>195</v>
      </c>
      <c r="C97" s="984"/>
      <c r="D97" s="101" t="s">
        <v>158</v>
      </c>
      <c r="E97" s="103" t="s">
        <v>200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7487.9927500000304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 x14ac:dyDescent="0.2">
      <c r="A98" s="45">
        <v>10</v>
      </c>
      <c r="B98" s="983" t="s">
        <v>196</v>
      </c>
      <c r="C98" s="984"/>
      <c r="D98" s="101" t="s">
        <v>158</v>
      </c>
      <c r="E98" s="103" t="s">
        <v>200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7487.9927500000304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 x14ac:dyDescent="0.5">
      <c r="A99" s="45"/>
      <c r="B99" s="995" t="s">
        <v>111</v>
      </c>
      <c r="C99" s="995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 x14ac:dyDescent="0.2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 x14ac:dyDescent="0.2">
      <c r="A101" s="45"/>
      <c r="B101" s="995" t="s">
        <v>1414</v>
      </c>
      <c r="C101" s="995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 x14ac:dyDescent="0.2">
      <c r="A102" s="45">
        <v>1</v>
      </c>
      <c r="B102" s="99" t="s">
        <v>530</v>
      </c>
      <c r="C102" s="100"/>
      <c r="D102" s="45" t="s">
        <v>531</v>
      </c>
      <c r="E102" s="103" t="s">
        <v>35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 x14ac:dyDescent="0.2">
      <c r="A103" s="45">
        <v>2</v>
      </c>
      <c r="B103" s="998" t="s">
        <v>36</v>
      </c>
      <c r="C103" s="999"/>
      <c r="D103" s="2" t="s">
        <v>212</v>
      </c>
      <c r="E103" s="8" t="s">
        <v>46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 x14ac:dyDescent="0.2">
      <c r="A104" s="45">
        <v>3</v>
      </c>
      <c r="B104" s="109" t="s">
        <v>1379</v>
      </c>
      <c r="C104" s="110"/>
      <c r="D104" s="2" t="s">
        <v>1380</v>
      </c>
      <c r="E104" s="103" t="s">
        <v>200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7487.9927500000304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 x14ac:dyDescent="0.2">
      <c r="A105" s="45">
        <v>4</v>
      </c>
      <c r="B105" s="983" t="s">
        <v>217</v>
      </c>
      <c r="C105" s="984"/>
      <c r="D105" s="41" t="s">
        <v>1415</v>
      </c>
      <c r="E105" s="103" t="s">
        <v>1416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9131.9692500000492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 x14ac:dyDescent="0.5">
      <c r="A106" s="41"/>
      <c r="B106" s="995" t="s">
        <v>111</v>
      </c>
      <c r="C106" s="995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 x14ac:dyDescent="0.2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 x14ac:dyDescent="0.2">
      <c r="A108" s="41"/>
      <c r="B108" s="995" t="s">
        <v>1417</v>
      </c>
      <c r="C108" s="995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 x14ac:dyDescent="0.2">
      <c r="A109" s="41">
        <v>1</v>
      </c>
      <c r="B109" s="983" t="s">
        <v>222</v>
      </c>
      <c r="C109" s="984"/>
      <c r="D109" s="101" t="s">
        <v>223</v>
      </c>
      <c r="E109" s="103" t="s">
        <v>115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 x14ac:dyDescent="0.2">
      <c r="A110" s="41">
        <v>2</v>
      </c>
      <c r="B110" s="996" t="s">
        <v>224</v>
      </c>
      <c r="C110" s="997"/>
      <c r="D110" s="41" t="s">
        <v>225</v>
      </c>
      <c r="E110" s="45" t="s">
        <v>131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 x14ac:dyDescent="0.2">
      <c r="A111" s="41">
        <v>3</v>
      </c>
      <c r="B111" s="983" t="s">
        <v>226</v>
      </c>
      <c r="C111" s="984"/>
      <c r="D111" s="41" t="s">
        <v>227</v>
      </c>
      <c r="E111" s="45" t="s">
        <v>52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 x14ac:dyDescent="0.2">
      <c r="A112" s="41">
        <v>4</v>
      </c>
      <c r="B112" s="998" t="s">
        <v>228</v>
      </c>
      <c r="C112" s="999"/>
      <c r="D112" s="41" t="s">
        <v>227</v>
      </c>
      <c r="E112" s="8" t="s">
        <v>534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 x14ac:dyDescent="0.2">
      <c r="A113" s="41">
        <v>5</v>
      </c>
      <c r="B113" s="983" t="s">
        <v>230</v>
      </c>
      <c r="C113" s="984"/>
      <c r="D113" s="44" t="s">
        <v>231</v>
      </c>
      <c r="E113" s="103" t="s">
        <v>206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 x14ac:dyDescent="0.2">
      <c r="A114" s="41">
        <v>6</v>
      </c>
      <c r="B114" s="109" t="s">
        <v>233</v>
      </c>
      <c r="C114" s="110"/>
      <c r="D114" s="44" t="s">
        <v>231</v>
      </c>
      <c r="E114" s="45" t="s">
        <v>102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 x14ac:dyDescent="0.2">
      <c r="A115" s="41">
        <v>7</v>
      </c>
      <c r="B115" s="99" t="s">
        <v>234</v>
      </c>
      <c r="C115" s="100"/>
      <c r="D115" s="44" t="s">
        <v>231</v>
      </c>
      <c r="E115" s="103" t="s">
        <v>108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 x14ac:dyDescent="0.2">
      <c r="A116" s="41">
        <v>8</v>
      </c>
      <c r="B116" s="99" t="s">
        <v>1453</v>
      </c>
      <c r="C116" s="100"/>
      <c r="D116" s="44" t="s">
        <v>231</v>
      </c>
      <c r="E116" s="103" t="s">
        <v>108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 x14ac:dyDescent="0.5">
      <c r="A117" s="41"/>
      <c r="B117" s="995" t="s">
        <v>111</v>
      </c>
      <c r="C117" s="995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 x14ac:dyDescent="0.2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 x14ac:dyDescent="0.2">
      <c r="A119" s="41"/>
      <c r="B119" s="995" t="s">
        <v>1418</v>
      </c>
      <c r="C119" s="995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 x14ac:dyDescent="0.2">
      <c r="A120" s="41">
        <v>1</v>
      </c>
      <c r="B120" s="990" t="s">
        <v>251</v>
      </c>
      <c r="C120" s="990"/>
      <c r="D120" s="101" t="s">
        <v>252</v>
      </c>
      <c r="E120" s="103" t="s">
        <v>115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 x14ac:dyDescent="0.2">
      <c r="A121" s="41">
        <v>2</v>
      </c>
      <c r="B121" s="990" t="s">
        <v>1382</v>
      </c>
      <c r="C121" s="990"/>
      <c r="D121" s="101" t="s">
        <v>1383</v>
      </c>
      <c r="E121" s="103" t="s">
        <v>154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 x14ac:dyDescent="0.2">
      <c r="A122" s="41">
        <v>3</v>
      </c>
      <c r="B122" s="990" t="s">
        <v>253</v>
      </c>
      <c r="C122" s="990"/>
      <c r="D122" s="101" t="s">
        <v>256</v>
      </c>
      <c r="E122" s="103" t="s">
        <v>131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 x14ac:dyDescent="0.2">
      <c r="A123" s="41">
        <v>4</v>
      </c>
      <c r="B123" s="994" t="s">
        <v>255</v>
      </c>
      <c r="C123" s="994"/>
      <c r="D123" s="101" t="s">
        <v>256</v>
      </c>
      <c r="E123" s="103" t="s">
        <v>131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 x14ac:dyDescent="0.2">
      <c r="A124" s="41">
        <v>5</v>
      </c>
      <c r="B124" s="44" t="s">
        <v>556</v>
      </c>
      <c r="D124" s="101" t="s">
        <v>256</v>
      </c>
      <c r="E124" s="103" t="s">
        <v>49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 x14ac:dyDescent="0.2">
      <c r="A125" s="41">
        <v>6</v>
      </c>
      <c r="B125" s="991" t="s">
        <v>257</v>
      </c>
      <c r="C125" s="991"/>
      <c r="D125" s="101" t="s">
        <v>1385</v>
      </c>
      <c r="E125" s="103" t="s">
        <v>534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 x14ac:dyDescent="0.2">
      <c r="A126" s="41">
        <v>7</v>
      </c>
      <c r="B126" s="990" t="s">
        <v>259</v>
      </c>
      <c r="C126" s="990"/>
      <c r="D126" s="101" t="s">
        <v>489</v>
      </c>
      <c r="E126" s="103" t="s">
        <v>1199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 x14ac:dyDescent="0.2">
      <c r="A127" s="41">
        <v>8</v>
      </c>
      <c r="B127" s="990" t="s">
        <v>260</v>
      </c>
      <c r="C127" s="990"/>
      <c r="D127" s="101" t="s">
        <v>1216</v>
      </c>
      <c r="E127" s="103" t="s">
        <v>1199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 x14ac:dyDescent="0.2">
      <c r="A128" s="41">
        <v>9</v>
      </c>
      <c r="B128" s="99" t="s">
        <v>1384</v>
      </c>
      <c r="C128" s="100"/>
      <c r="D128" s="101" t="s">
        <v>1385</v>
      </c>
      <c r="E128" s="103" t="s">
        <v>58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7487.9927500000304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 x14ac:dyDescent="0.5">
      <c r="A129" s="41"/>
      <c r="B129" s="995" t="s">
        <v>111</v>
      </c>
      <c r="C129" s="995"/>
      <c r="D129" s="134" t="s">
        <v>1364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41681.1075000009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 x14ac:dyDescent="0.2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 x14ac:dyDescent="0.2">
      <c r="A131" s="41"/>
      <c r="B131" s="995" t="s">
        <v>1419</v>
      </c>
      <c r="C131" s="995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 x14ac:dyDescent="0.2">
      <c r="A132" s="41">
        <v>1</v>
      </c>
      <c r="B132" s="990" t="s">
        <v>1420</v>
      </c>
      <c r="C132" s="990"/>
      <c r="D132" s="101" t="s">
        <v>1421</v>
      </c>
      <c r="E132" s="103" t="s">
        <v>115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 x14ac:dyDescent="0.2">
      <c r="A133" s="41">
        <v>2</v>
      </c>
      <c r="B133" s="990" t="s">
        <v>557</v>
      </c>
      <c r="C133" s="990"/>
      <c r="D133" s="101" t="s">
        <v>558</v>
      </c>
      <c r="E133" s="103" t="s">
        <v>115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 x14ac:dyDescent="0.2">
      <c r="A134" s="41">
        <v>3</v>
      </c>
      <c r="B134" s="991" t="s">
        <v>559</v>
      </c>
      <c r="C134" s="991"/>
      <c r="D134" s="101" t="s">
        <v>560</v>
      </c>
      <c r="E134" s="103" t="s">
        <v>154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 x14ac:dyDescent="0.2">
      <c r="A135" s="41">
        <v>4</v>
      </c>
      <c r="B135" s="992" t="s">
        <v>274</v>
      </c>
      <c r="C135" s="993"/>
      <c r="D135" s="2" t="s">
        <v>1422</v>
      </c>
      <c r="E135" s="14" t="s">
        <v>131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 x14ac:dyDescent="0.2">
      <c r="A136" s="41">
        <v>5</v>
      </c>
      <c r="B136" s="992" t="s">
        <v>1423</v>
      </c>
      <c r="C136" s="993"/>
      <c r="D136" s="2" t="s">
        <v>1424</v>
      </c>
      <c r="E136" s="14" t="s">
        <v>131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 x14ac:dyDescent="0.2">
      <c r="A137" s="41">
        <v>6</v>
      </c>
      <c r="B137" s="990" t="s">
        <v>276</v>
      </c>
      <c r="C137" s="990"/>
      <c r="D137" s="101" t="s">
        <v>561</v>
      </c>
      <c r="E137" s="103" t="s">
        <v>46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 x14ac:dyDescent="0.2">
      <c r="A138" s="41">
        <v>7</v>
      </c>
      <c r="B138" s="990" t="s">
        <v>278</v>
      </c>
      <c r="C138" s="990"/>
      <c r="D138" s="41" t="s">
        <v>562</v>
      </c>
      <c r="E138" s="103" t="s">
        <v>46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 x14ac:dyDescent="0.2">
      <c r="A139" s="41">
        <v>8</v>
      </c>
      <c r="B139" s="990" t="s">
        <v>280</v>
      </c>
      <c r="C139" s="990"/>
      <c r="D139" s="41" t="s">
        <v>562</v>
      </c>
      <c r="E139" s="103" t="s">
        <v>46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 x14ac:dyDescent="0.2">
      <c r="A140" s="41">
        <v>9</v>
      </c>
      <c r="B140" s="990" t="s">
        <v>211</v>
      </c>
      <c r="C140" s="990"/>
      <c r="D140" s="41" t="s">
        <v>564</v>
      </c>
      <c r="E140" s="103" t="s">
        <v>1199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 x14ac:dyDescent="0.2">
      <c r="A141" s="41">
        <v>10</v>
      </c>
      <c r="B141" s="983" t="s">
        <v>213</v>
      </c>
      <c r="C141" s="984"/>
      <c r="D141" s="101" t="s">
        <v>563</v>
      </c>
      <c r="E141" s="103" t="s">
        <v>68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7081.9990000000098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 x14ac:dyDescent="0.2">
      <c r="A142" s="41">
        <v>11</v>
      </c>
      <c r="B142" s="990" t="s">
        <v>281</v>
      </c>
      <c r="C142" s="990"/>
      <c r="D142" s="101" t="s">
        <v>563</v>
      </c>
      <c r="E142" s="103" t="s">
        <v>68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7081.9990000000098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 x14ac:dyDescent="0.2">
      <c r="A143" s="41">
        <v>12</v>
      </c>
      <c r="B143" s="983" t="s">
        <v>282</v>
      </c>
      <c r="C143" s="984"/>
      <c r="D143" s="41" t="s">
        <v>564</v>
      </c>
      <c r="E143" s="103" t="s">
        <v>68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7081.9990000000098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 x14ac:dyDescent="0.2">
      <c r="A144" s="41">
        <v>13</v>
      </c>
      <c r="B144" s="983" t="s">
        <v>284</v>
      </c>
      <c r="C144" s="984"/>
      <c r="D144" s="41" t="s">
        <v>566</v>
      </c>
      <c r="E144" s="103" t="s">
        <v>300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4566.0304999999598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 x14ac:dyDescent="0.2">
      <c r="A145" s="41">
        <v>14</v>
      </c>
      <c r="B145" s="983" t="s">
        <v>286</v>
      </c>
      <c r="C145" s="984"/>
      <c r="D145" s="101" t="s">
        <v>1218</v>
      </c>
      <c r="E145" s="103" t="s">
        <v>119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4565.8469999999497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 x14ac:dyDescent="0.2">
      <c r="A146" s="41">
        <v>15</v>
      </c>
      <c r="B146" s="983" t="s">
        <v>60</v>
      </c>
      <c r="C146" s="984"/>
      <c r="D146" s="101" t="s">
        <v>313</v>
      </c>
      <c r="E146" s="103" t="s">
        <v>300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4566.0304999999598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 x14ac:dyDescent="0.2">
      <c r="A147" s="41">
        <v>16</v>
      </c>
      <c r="B147" s="983" t="s">
        <v>1425</v>
      </c>
      <c r="C147" s="984"/>
      <c r="D147" s="41" t="s">
        <v>566</v>
      </c>
      <c r="E147" s="103" t="s">
        <v>76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 x14ac:dyDescent="0.2">
      <c r="A148" s="41">
        <v>17</v>
      </c>
      <c r="B148" s="983" t="s">
        <v>623</v>
      </c>
      <c r="C148" s="984"/>
      <c r="D148" s="41" t="s">
        <v>566</v>
      </c>
      <c r="E148" s="103" t="s">
        <v>76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 x14ac:dyDescent="0.2">
      <c r="A149" s="41">
        <v>18</v>
      </c>
      <c r="B149" s="983" t="s">
        <v>293</v>
      </c>
      <c r="C149" s="984"/>
      <c r="D149" s="41" t="s">
        <v>566</v>
      </c>
      <c r="E149" s="103" t="s">
        <v>76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 x14ac:dyDescent="0.2">
      <c r="A150" s="41">
        <v>19</v>
      </c>
      <c r="B150" s="983" t="s">
        <v>298</v>
      </c>
      <c r="C150" s="984"/>
      <c r="D150" s="101" t="s">
        <v>313</v>
      </c>
      <c r="E150" s="103" t="s">
        <v>206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 x14ac:dyDescent="0.2">
      <c r="A151" s="41">
        <v>20</v>
      </c>
      <c r="B151" s="983" t="s">
        <v>301</v>
      </c>
      <c r="C151" s="984"/>
      <c r="D151" s="101" t="s">
        <v>1426</v>
      </c>
      <c r="E151" s="103" t="s">
        <v>206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 x14ac:dyDescent="0.2">
      <c r="A152" s="41">
        <v>21</v>
      </c>
      <c r="B152" s="983" t="s">
        <v>303</v>
      </c>
      <c r="C152" s="984"/>
      <c r="D152" s="101" t="s">
        <v>313</v>
      </c>
      <c r="E152" s="103" t="s">
        <v>206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 x14ac:dyDescent="0.2">
      <c r="A153" s="41">
        <v>22</v>
      </c>
      <c r="B153" s="983" t="s">
        <v>305</v>
      </c>
      <c r="C153" s="984"/>
      <c r="D153" s="101" t="s">
        <v>306</v>
      </c>
      <c r="E153" s="103" t="s">
        <v>206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 x14ac:dyDescent="0.2">
      <c r="A154" s="41">
        <v>23</v>
      </c>
      <c r="B154" s="99" t="s">
        <v>307</v>
      </c>
      <c r="C154" s="100"/>
      <c r="D154" s="101" t="s">
        <v>315</v>
      </c>
      <c r="E154" s="103" t="s">
        <v>1406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 x14ac:dyDescent="0.2">
      <c r="A155" s="41">
        <v>24</v>
      </c>
      <c r="B155" s="99" t="s">
        <v>1386</v>
      </c>
      <c r="C155" s="100"/>
      <c r="D155" s="101" t="s">
        <v>313</v>
      </c>
      <c r="E155" s="103" t="s">
        <v>108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 x14ac:dyDescent="0.2">
      <c r="A156" s="41">
        <v>25</v>
      </c>
      <c r="B156" s="99" t="s">
        <v>204</v>
      </c>
      <c r="C156" s="100"/>
      <c r="D156" s="101" t="s">
        <v>315</v>
      </c>
      <c r="E156" s="103" t="s">
        <v>108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 x14ac:dyDescent="0.2">
      <c r="A157" s="41">
        <v>26</v>
      </c>
      <c r="B157" s="99" t="s">
        <v>312</v>
      </c>
      <c r="C157" s="100"/>
      <c r="D157" s="101" t="s">
        <v>313</v>
      </c>
      <c r="E157" s="103" t="s">
        <v>108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 x14ac:dyDescent="0.2">
      <c r="A158" s="41">
        <v>27</v>
      </c>
      <c r="B158" s="990" t="s">
        <v>329</v>
      </c>
      <c r="C158" s="990"/>
      <c r="D158" s="101" t="s">
        <v>330</v>
      </c>
      <c r="E158" s="103" t="s">
        <v>345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 x14ac:dyDescent="0.2">
      <c r="A159" s="41">
        <v>28</v>
      </c>
      <c r="B159" s="990" t="s">
        <v>332</v>
      </c>
      <c r="C159" s="990"/>
      <c r="D159" s="101" t="s">
        <v>330</v>
      </c>
      <c r="E159" s="103" t="s">
        <v>345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 x14ac:dyDescent="0.2">
      <c r="A160" s="41">
        <v>29</v>
      </c>
      <c r="B160" s="990" t="s">
        <v>333</v>
      </c>
      <c r="C160" s="990"/>
      <c r="D160" s="101" t="s">
        <v>330</v>
      </c>
      <c r="E160" s="103" t="s">
        <v>345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 x14ac:dyDescent="0.2">
      <c r="A161" s="41">
        <v>30</v>
      </c>
      <c r="B161" s="990" t="s">
        <v>923</v>
      </c>
      <c r="C161" s="990"/>
      <c r="D161" s="101" t="s">
        <v>330</v>
      </c>
      <c r="E161" s="103" t="s">
        <v>345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 x14ac:dyDescent="0.2">
      <c r="A162" s="41">
        <v>31</v>
      </c>
      <c r="B162" s="990" t="s">
        <v>921</v>
      </c>
      <c r="C162" s="990"/>
      <c r="D162" s="101" t="s">
        <v>330</v>
      </c>
      <c r="E162" s="103" t="s">
        <v>345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 x14ac:dyDescent="0.2">
      <c r="A163" s="41">
        <v>32</v>
      </c>
      <c r="B163" s="990" t="s">
        <v>334</v>
      </c>
      <c r="C163" s="990"/>
      <c r="D163" s="101" t="s">
        <v>330</v>
      </c>
      <c r="E163" s="103" t="s">
        <v>345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 x14ac:dyDescent="0.2">
      <c r="A164" s="41">
        <v>33</v>
      </c>
      <c r="B164" s="990" t="s">
        <v>335</v>
      </c>
      <c r="C164" s="990"/>
      <c r="D164" s="101" t="s">
        <v>330</v>
      </c>
      <c r="E164" s="103" t="s">
        <v>345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 x14ac:dyDescent="0.2">
      <c r="A165" s="41">
        <v>34</v>
      </c>
      <c r="B165" s="990" t="s">
        <v>336</v>
      </c>
      <c r="C165" s="990"/>
      <c r="D165" s="101" t="s">
        <v>350</v>
      </c>
      <c r="E165" s="103" t="s">
        <v>1427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 x14ac:dyDescent="0.2">
      <c r="A166" s="41">
        <v>35</v>
      </c>
      <c r="B166" s="990" t="s">
        <v>338</v>
      </c>
      <c r="C166" s="990"/>
      <c r="D166" s="101" t="s">
        <v>350</v>
      </c>
      <c r="E166" s="103" t="s">
        <v>1427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 x14ac:dyDescent="0.2">
      <c r="A167" s="41">
        <v>36</v>
      </c>
      <c r="B167" s="990" t="s">
        <v>1365</v>
      </c>
      <c r="C167" s="990"/>
      <c r="D167" s="101" t="s">
        <v>350</v>
      </c>
      <c r="E167" s="103" t="s">
        <v>1427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 x14ac:dyDescent="0.2">
      <c r="A168" s="41">
        <v>37</v>
      </c>
      <c r="B168" s="41" t="s">
        <v>339</v>
      </c>
      <c r="C168" s="41"/>
      <c r="D168" s="101" t="s">
        <v>350</v>
      </c>
      <c r="E168" s="103" t="s">
        <v>1427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 x14ac:dyDescent="0.2">
      <c r="A169" s="41">
        <v>38</v>
      </c>
      <c r="B169" s="983" t="s">
        <v>340</v>
      </c>
      <c r="C169" s="984"/>
      <c r="D169" s="101" t="s">
        <v>350</v>
      </c>
      <c r="E169" s="103" t="s">
        <v>1427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 x14ac:dyDescent="0.2">
      <c r="A170" s="41">
        <v>39</v>
      </c>
      <c r="B170" s="101" t="s">
        <v>341</v>
      </c>
      <c r="C170" s="41"/>
      <c r="D170" s="101" t="s">
        <v>350</v>
      </c>
      <c r="E170" s="103" t="s">
        <v>1427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 x14ac:dyDescent="0.2">
      <c r="A171" s="41">
        <v>40</v>
      </c>
      <c r="B171" s="101" t="s">
        <v>342</v>
      </c>
      <c r="C171" s="41"/>
      <c r="D171" s="101" t="s">
        <v>350</v>
      </c>
      <c r="E171" s="103" t="s">
        <v>1427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 x14ac:dyDescent="0.2">
      <c r="A172" s="41">
        <v>41</v>
      </c>
      <c r="B172" s="983" t="s">
        <v>343</v>
      </c>
      <c r="C172" s="984"/>
      <c r="D172" s="101" t="s">
        <v>350</v>
      </c>
      <c r="E172" s="103" t="s">
        <v>1202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 x14ac:dyDescent="0.2">
      <c r="A173" s="41">
        <v>42</v>
      </c>
      <c r="B173" s="983" t="s">
        <v>346</v>
      </c>
      <c r="C173" s="984"/>
      <c r="D173" s="101" t="s">
        <v>350</v>
      </c>
      <c r="E173" s="103" t="s">
        <v>1202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 x14ac:dyDescent="0.2">
      <c r="A174" s="41">
        <v>43</v>
      </c>
      <c r="B174" s="101" t="s">
        <v>347</v>
      </c>
      <c r="C174" s="41"/>
      <c r="D174" s="101" t="s">
        <v>350</v>
      </c>
      <c r="E174" s="103" t="s">
        <v>354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 x14ac:dyDescent="0.2">
      <c r="A175" s="41">
        <v>44</v>
      </c>
      <c r="B175" s="983" t="s">
        <v>349</v>
      </c>
      <c r="C175" s="984"/>
      <c r="D175" s="101" t="s">
        <v>350</v>
      </c>
      <c r="E175" s="103" t="s">
        <v>376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1566.9982500000201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 x14ac:dyDescent="0.2">
      <c r="A176" s="41">
        <v>45</v>
      </c>
      <c r="B176" s="983" t="s">
        <v>352</v>
      </c>
      <c r="C176" s="984"/>
      <c r="D176" s="101" t="s">
        <v>353</v>
      </c>
      <c r="E176" s="103" t="s">
        <v>1428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 x14ac:dyDescent="0.2">
      <c r="A177" s="41">
        <v>46</v>
      </c>
      <c r="B177" s="983" t="s">
        <v>355</v>
      </c>
      <c r="C177" s="984"/>
      <c r="D177" s="101" t="s">
        <v>353</v>
      </c>
      <c r="E177" s="103" t="s">
        <v>1428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 x14ac:dyDescent="0.2">
      <c r="A178" s="41">
        <v>47</v>
      </c>
      <c r="B178" s="983" t="s">
        <v>356</v>
      </c>
      <c r="C178" s="984"/>
      <c r="D178" s="101" t="s">
        <v>353</v>
      </c>
      <c r="E178" s="103" t="s">
        <v>1428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 x14ac:dyDescent="0.2">
      <c r="A179" s="41">
        <v>48</v>
      </c>
      <c r="B179" s="983" t="s">
        <v>357</v>
      </c>
      <c r="C179" s="984"/>
      <c r="D179" s="101" t="s">
        <v>353</v>
      </c>
      <c r="E179" s="103" t="s">
        <v>1428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 x14ac:dyDescent="0.2">
      <c r="A180" s="41">
        <v>49</v>
      </c>
      <c r="B180" s="983" t="s">
        <v>358</v>
      </c>
      <c r="C180" s="984"/>
      <c r="D180" s="101" t="s">
        <v>353</v>
      </c>
      <c r="E180" s="103" t="s">
        <v>1428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 x14ac:dyDescent="0.2">
      <c r="A181" s="41">
        <v>50</v>
      </c>
      <c r="B181" s="985" t="s">
        <v>493</v>
      </c>
      <c r="C181" s="986"/>
      <c r="D181" s="101" t="s">
        <v>353</v>
      </c>
      <c r="E181" s="103" t="s">
        <v>567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 x14ac:dyDescent="0.2">
      <c r="A182" s="41">
        <v>51</v>
      </c>
      <c r="B182" s="987" t="s">
        <v>361</v>
      </c>
      <c r="C182" s="988"/>
      <c r="D182" s="101" t="s">
        <v>353</v>
      </c>
      <c r="E182" s="103" t="s">
        <v>567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 x14ac:dyDescent="0.2">
      <c r="A183" s="41">
        <v>52</v>
      </c>
      <c r="B183" s="136" t="s">
        <v>362</v>
      </c>
      <c r="C183" s="137"/>
      <c r="D183" s="101" t="s">
        <v>353</v>
      </c>
      <c r="E183" s="103" t="s">
        <v>567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 x14ac:dyDescent="0.2">
      <c r="A184" s="41">
        <v>53</v>
      </c>
      <c r="B184" s="136" t="s">
        <v>359</v>
      </c>
      <c r="C184" s="137"/>
      <c r="D184" s="101" t="s">
        <v>353</v>
      </c>
      <c r="E184" s="103" t="s">
        <v>366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 x14ac:dyDescent="0.2">
      <c r="A185" s="41">
        <v>54</v>
      </c>
      <c r="B185" s="136" t="s">
        <v>367</v>
      </c>
      <c r="C185" s="137"/>
      <c r="D185" s="101" t="s">
        <v>353</v>
      </c>
      <c r="E185" s="103" t="s">
        <v>568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 x14ac:dyDescent="0.2">
      <c r="A186" s="41">
        <v>55</v>
      </c>
      <c r="B186" s="136" t="s">
        <v>360</v>
      </c>
      <c r="C186" s="137"/>
      <c r="D186" s="101" t="s">
        <v>353</v>
      </c>
      <c r="E186" s="103" t="s">
        <v>366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 x14ac:dyDescent="0.5">
      <c r="A187" s="41"/>
      <c r="B187" s="97" t="s">
        <v>111</v>
      </c>
      <c r="D187" s="138" t="s">
        <v>1366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 x14ac:dyDescent="0.2">
      <c r="A188" s="41"/>
      <c r="B188" s="989" t="s">
        <v>379</v>
      </c>
      <c r="C188" s="989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 x14ac:dyDescent="0.2">
      <c r="A189" s="41"/>
      <c r="B189" s="981"/>
      <c r="C189" s="981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 x14ac:dyDescent="0.2">
      <c r="A190" s="41"/>
      <c r="B190" s="981"/>
      <c r="C190" s="981"/>
      <c r="D190" s="980" t="s">
        <v>1430</v>
      </c>
      <c r="E190" s="980"/>
      <c r="F190" s="980"/>
      <c r="G190" s="980"/>
      <c r="H190" s="980"/>
      <c r="I190" s="980"/>
      <c r="J190" s="980"/>
      <c r="K190" s="982" t="s">
        <v>1454</v>
      </c>
      <c r="L190" s="982"/>
      <c r="M190" s="982"/>
      <c r="N190" s="142"/>
      <c r="O190" s="142"/>
      <c r="P190" s="982" t="s">
        <v>1455</v>
      </c>
      <c r="Q190" s="982"/>
      <c r="R190" s="982"/>
      <c r="S190" s="982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 x14ac:dyDescent="0.2">
      <c r="A191" s="41"/>
      <c r="B191" s="981"/>
      <c r="C191" s="981"/>
      <c r="D191" s="980"/>
      <c r="E191" s="980"/>
      <c r="F191" s="980"/>
      <c r="G191" s="980"/>
      <c r="H191" s="980"/>
      <c r="I191" s="980"/>
      <c r="J191" s="980"/>
      <c r="K191" s="982"/>
      <c r="L191" s="982"/>
      <c r="M191" s="982"/>
      <c r="N191" s="142"/>
      <c r="O191" s="142"/>
      <c r="P191" s="982"/>
      <c r="Q191" s="982"/>
      <c r="R191" s="982"/>
      <c r="S191" s="982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 x14ac:dyDescent="0.2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 x14ac:dyDescent="0.2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 x14ac:dyDescent="0.2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G193"/>
  <sheetViews>
    <sheetView workbookViewId="0">
      <pane xSplit="2" ySplit="6" topLeftCell="C187" activePane="bottomRight" state="frozen"/>
      <selection pane="bottomLeft"/>
      <selection pane="topRight"/>
      <selection pane="bottomRight" activeCell="J189" sqref="J189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32.36328125" style="1" customWidth="1"/>
    <col min="4" max="4" width="9.16796875" style="1" customWidth="1"/>
    <col min="5" max="5" width="13.88671875" style="1" customWidth="1"/>
    <col min="6" max="6" width="14.6953125" style="1" customWidth="1"/>
    <col min="7" max="7" width="14.0234375" style="1" customWidth="1"/>
    <col min="8" max="16384" width="9.16796875" style="1"/>
  </cols>
  <sheetData>
    <row r="1" spans="1:7" ht="27" customHeight="1" x14ac:dyDescent="0.25">
      <c r="A1" s="966" t="s">
        <v>0</v>
      </c>
      <c r="B1" s="966"/>
      <c r="C1" s="966"/>
      <c r="D1" s="966"/>
      <c r="E1" s="966"/>
    </row>
    <row r="2" spans="1:7" ht="33.75" customHeight="1" x14ac:dyDescent="0.3">
      <c r="A2" s="61" t="s">
        <v>1456</v>
      </c>
      <c r="B2" s="62"/>
      <c r="C2" s="62"/>
      <c r="D2" s="61"/>
      <c r="E2" s="63"/>
    </row>
    <row r="3" spans="1:7" ht="9.75" customHeight="1" x14ac:dyDescent="0.2"/>
    <row r="4" spans="1:7" ht="61.5" customHeight="1" x14ac:dyDescent="0.2">
      <c r="A4" s="2"/>
      <c r="B4" s="3" t="s">
        <v>2</v>
      </c>
      <c r="C4" s="4" t="s">
        <v>3</v>
      </c>
      <c r="D4" s="64" t="s">
        <v>4</v>
      </c>
      <c r="E4" s="65" t="s">
        <v>638</v>
      </c>
      <c r="F4" s="65" t="s">
        <v>1189</v>
      </c>
      <c r="G4" s="65" t="s">
        <v>1190</v>
      </c>
    </row>
    <row r="5" spans="1:7" ht="20.100000000000001" customHeight="1" x14ac:dyDescent="0.2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 x14ac:dyDescent="0.2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 x14ac:dyDescent="0.2">
      <c r="A7" s="8">
        <v>2</v>
      </c>
      <c r="B7" s="9" t="s">
        <v>1261</v>
      </c>
      <c r="C7" s="71" t="s">
        <v>1350</v>
      </c>
      <c r="D7" s="8" t="s">
        <v>154</v>
      </c>
      <c r="E7" s="69">
        <v>700000</v>
      </c>
      <c r="F7" s="70">
        <v>0</v>
      </c>
      <c r="G7" s="69">
        <v>700000</v>
      </c>
    </row>
    <row r="8" spans="1:7" ht="20.100000000000001" customHeight="1" x14ac:dyDescent="0.2">
      <c r="A8" s="8">
        <v>3</v>
      </c>
      <c r="B8" s="12" t="s">
        <v>1351</v>
      </c>
      <c r="C8" s="71" t="s">
        <v>1352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 x14ac:dyDescent="0.2">
      <c r="A9" s="8">
        <v>4</v>
      </c>
      <c r="B9" s="9" t="s">
        <v>26</v>
      </c>
      <c r="C9" s="68" t="s">
        <v>27</v>
      </c>
      <c r="D9" s="8" t="s">
        <v>1400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 x14ac:dyDescent="0.2">
      <c r="A10" s="8">
        <v>5</v>
      </c>
      <c r="B10" s="12" t="s">
        <v>29</v>
      </c>
      <c r="C10" s="71" t="s">
        <v>30</v>
      </c>
      <c r="D10" s="13" t="s">
        <v>192</v>
      </c>
      <c r="E10" s="69">
        <v>700000</v>
      </c>
      <c r="F10" s="70">
        <v>0</v>
      </c>
      <c r="G10" s="69">
        <v>700000</v>
      </c>
    </row>
    <row r="11" spans="1:7" ht="20.100000000000001" customHeight="1" x14ac:dyDescent="0.2">
      <c r="A11" s="8">
        <v>6</v>
      </c>
      <c r="B11" s="12" t="s">
        <v>208</v>
      </c>
      <c r="C11" s="71" t="s">
        <v>1263</v>
      </c>
      <c r="D11" s="14" t="s">
        <v>192</v>
      </c>
      <c r="E11" s="69">
        <v>700000</v>
      </c>
      <c r="F11" s="70">
        <v>0</v>
      </c>
      <c r="G11" s="69">
        <v>700000</v>
      </c>
    </row>
    <row r="12" spans="1:7" ht="20.100000000000001" customHeight="1" x14ac:dyDescent="0.2">
      <c r="A12" s="8">
        <v>7</v>
      </c>
      <c r="B12" s="9" t="s">
        <v>31</v>
      </c>
      <c r="C12" s="72" t="s">
        <v>32</v>
      </c>
      <c r="D12" s="14" t="s">
        <v>192</v>
      </c>
      <c r="E12" s="69">
        <v>700000</v>
      </c>
      <c r="F12" s="70">
        <v>0</v>
      </c>
      <c r="G12" s="69">
        <v>700000</v>
      </c>
    </row>
    <row r="13" spans="1:7" ht="20.100000000000001" customHeight="1" x14ac:dyDescent="0.2">
      <c r="A13" s="8">
        <v>8</v>
      </c>
      <c r="B13" s="12" t="s">
        <v>271</v>
      </c>
      <c r="C13" s="71" t="s">
        <v>529</v>
      </c>
      <c r="D13" s="14" t="s">
        <v>192</v>
      </c>
      <c r="E13" s="69">
        <v>700000</v>
      </c>
      <c r="F13" s="70">
        <v>0</v>
      </c>
      <c r="G13" s="69">
        <v>700000</v>
      </c>
    </row>
    <row r="14" spans="1:7" ht="20.100000000000001" customHeight="1" x14ac:dyDescent="0.2">
      <c r="A14" s="8">
        <v>9</v>
      </c>
      <c r="B14" s="9" t="s">
        <v>33</v>
      </c>
      <c r="C14" s="68" t="s">
        <v>532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 x14ac:dyDescent="0.2">
      <c r="A15" s="8">
        <v>10</v>
      </c>
      <c r="B15" s="16" t="s">
        <v>550</v>
      </c>
      <c r="C15" s="68" t="s">
        <v>551</v>
      </c>
      <c r="D15" s="8" t="s">
        <v>1200</v>
      </c>
      <c r="E15" s="69">
        <v>700000</v>
      </c>
      <c r="F15" s="70">
        <v>0</v>
      </c>
      <c r="G15" s="69">
        <v>700000</v>
      </c>
    </row>
    <row r="16" spans="1:7" ht="20.100000000000001" customHeight="1" x14ac:dyDescent="0.2">
      <c r="A16" s="8">
        <v>11</v>
      </c>
      <c r="B16" s="17" t="s">
        <v>1353</v>
      </c>
      <c r="C16" s="71" t="s">
        <v>1354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 x14ac:dyDescent="0.2">
      <c r="A17" s="8">
        <v>12</v>
      </c>
      <c r="B17" s="12" t="s">
        <v>1264</v>
      </c>
      <c r="C17" s="71" t="s">
        <v>40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 x14ac:dyDescent="0.2">
      <c r="A18" s="8">
        <v>13</v>
      </c>
      <c r="B18" s="12" t="s">
        <v>1355</v>
      </c>
      <c r="C18" s="71" t="s">
        <v>1356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 x14ac:dyDescent="0.2">
      <c r="A19" s="8">
        <v>14</v>
      </c>
      <c r="B19" s="9" t="s">
        <v>39</v>
      </c>
      <c r="C19" s="71" t="s">
        <v>40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 x14ac:dyDescent="0.2">
      <c r="A20" s="8">
        <v>15</v>
      </c>
      <c r="B20" s="9" t="s">
        <v>50</v>
      </c>
      <c r="C20" s="68" t="s">
        <v>51</v>
      </c>
      <c r="D20" s="13" t="s">
        <v>200</v>
      </c>
      <c r="E20" s="69">
        <v>500000</v>
      </c>
      <c r="F20" s="69">
        <v>500000</v>
      </c>
      <c r="G20" s="70">
        <v>0</v>
      </c>
    </row>
    <row r="21" spans="1:7" ht="20.100000000000001" customHeight="1" x14ac:dyDescent="0.2">
      <c r="A21" s="8">
        <v>16</v>
      </c>
      <c r="B21" s="16" t="s">
        <v>53</v>
      </c>
      <c r="C21" s="71" t="s">
        <v>54</v>
      </c>
      <c r="D21" s="13" t="s">
        <v>630</v>
      </c>
      <c r="E21" s="69">
        <v>500000</v>
      </c>
      <c r="F21" s="69">
        <v>500000</v>
      </c>
      <c r="G21" s="70">
        <v>0</v>
      </c>
    </row>
    <row r="22" spans="1:7" ht="20.100000000000001" customHeight="1" x14ac:dyDescent="0.2">
      <c r="A22" s="8">
        <v>17</v>
      </c>
      <c r="B22" s="9" t="s">
        <v>177</v>
      </c>
      <c r="C22" s="68" t="s">
        <v>555</v>
      </c>
      <c r="D22" s="13" t="s">
        <v>68</v>
      </c>
      <c r="E22" s="69">
        <v>400000</v>
      </c>
      <c r="F22" s="69">
        <v>400000</v>
      </c>
      <c r="G22" s="70">
        <v>0</v>
      </c>
    </row>
    <row r="23" spans="1:7" ht="18.75" customHeight="1" x14ac:dyDescent="0.2">
      <c r="A23" s="8">
        <v>18</v>
      </c>
      <c r="B23" s="9" t="s">
        <v>63</v>
      </c>
      <c r="C23" s="68" t="s">
        <v>64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 x14ac:dyDescent="0.2">
      <c r="A24" s="8">
        <v>19</v>
      </c>
      <c r="B24" s="9" t="s">
        <v>236</v>
      </c>
      <c r="C24" s="71" t="s">
        <v>237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 x14ac:dyDescent="0.2">
      <c r="A25" s="8">
        <v>20</v>
      </c>
      <c r="B25" s="16" t="s">
        <v>288</v>
      </c>
      <c r="C25" s="71" t="s">
        <v>1372</v>
      </c>
      <c r="D25" s="13" t="s">
        <v>119</v>
      </c>
      <c r="E25" s="69">
        <v>300000</v>
      </c>
      <c r="F25" s="69">
        <v>300000</v>
      </c>
      <c r="G25" s="70">
        <v>0</v>
      </c>
    </row>
    <row r="26" spans="1:7" ht="18.75" customHeight="1" x14ac:dyDescent="0.2">
      <c r="A26" s="8">
        <v>21</v>
      </c>
      <c r="B26" s="16" t="s">
        <v>1357</v>
      </c>
      <c r="C26" s="68" t="s">
        <v>101</v>
      </c>
      <c r="D26" s="13" t="s">
        <v>76</v>
      </c>
      <c r="E26" s="69">
        <v>300000</v>
      </c>
      <c r="F26" s="69">
        <v>300000</v>
      </c>
      <c r="G26" s="70">
        <v>0</v>
      </c>
    </row>
    <row r="27" spans="1:7" ht="18.75" customHeight="1" x14ac:dyDescent="0.2">
      <c r="A27" s="8">
        <v>22</v>
      </c>
      <c r="B27" s="2" t="s">
        <v>77</v>
      </c>
      <c r="C27" s="71" t="s">
        <v>78</v>
      </c>
      <c r="D27" s="8" t="s">
        <v>96</v>
      </c>
      <c r="E27" s="69">
        <v>300000</v>
      </c>
      <c r="F27" s="69">
        <v>300000</v>
      </c>
      <c r="G27" s="70">
        <v>0</v>
      </c>
    </row>
    <row r="28" spans="1:7" ht="18.75" customHeight="1" x14ac:dyDescent="0.2">
      <c r="A28" s="8">
        <v>23</v>
      </c>
      <c r="B28" s="16" t="s">
        <v>80</v>
      </c>
      <c r="C28" s="68" t="s">
        <v>78</v>
      </c>
      <c r="D28" s="13" t="s">
        <v>96</v>
      </c>
      <c r="E28" s="69">
        <v>300000</v>
      </c>
      <c r="F28" s="69">
        <v>300000</v>
      </c>
      <c r="G28" s="70">
        <v>0</v>
      </c>
    </row>
    <row r="29" spans="1:7" ht="18.75" customHeight="1" x14ac:dyDescent="0.2">
      <c r="A29" s="8">
        <v>24</v>
      </c>
      <c r="B29" s="9" t="s">
        <v>1265</v>
      </c>
      <c r="C29" s="68" t="s">
        <v>1266</v>
      </c>
      <c r="D29" s="13" t="s">
        <v>96</v>
      </c>
      <c r="E29" s="69">
        <v>300000</v>
      </c>
      <c r="F29" s="69">
        <v>300000</v>
      </c>
      <c r="G29" s="70">
        <v>0</v>
      </c>
    </row>
    <row r="30" spans="1:7" ht="18.75" customHeight="1" x14ac:dyDescent="0.2">
      <c r="A30" s="8">
        <v>25</v>
      </c>
      <c r="B30" s="16" t="s">
        <v>82</v>
      </c>
      <c r="C30" s="68" t="s">
        <v>1213</v>
      </c>
      <c r="D30" s="13" t="s">
        <v>1406</v>
      </c>
      <c r="E30" s="69">
        <v>300000</v>
      </c>
      <c r="F30" s="69">
        <v>300000</v>
      </c>
      <c r="G30" s="70">
        <v>0</v>
      </c>
    </row>
    <row r="31" spans="1:7" ht="18.75" customHeight="1" x14ac:dyDescent="0.2">
      <c r="A31" s="8">
        <v>26</v>
      </c>
      <c r="B31" s="9" t="s">
        <v>219</v>
      </c>
      <c r="C31" s="72" t="s">
        <v>1374</v>
      </c>
      <c r="D31" s="13" t="s">
        <v>102</v>
      </c>
      <c r="E31" s="69">
        <v>300000</v>
      </c>
      <c r="F31" s="69">
        <v>300000</v>
      </c>
      <c r="G31" s="70">
        <v>0</v>
      </c>
    </row>
    <row r="32" spans="1:7" ht="18.75" customHeight="1" x14ac:dyDescent="0.2">
      <c r="A32" s="8">
        <v>27</v>
      </c>
      <c r="B32" s="16" t="s">
        <v>85</v>
      </c>
      <c r="C32" s="71" t="s">
        <v>1267</v>
      </c>
      <c r="D32" s="8" t="s">
        <v>102</v>
      </c>
      <c r="E32" s="69">
        <v>300000</v>
      </c>
      <c r="F32" s="69">
        <v>300000</v>
      </c>
      <c r="G32" s="70">
        <v>0</v>
      </c>
    </row>
    <row r="33" spans="1:7" ht="18.75" customHeight="1" x14ac:dyDescent="0.2">
      <c r="A33" s="8">
        <v>28</v>
      </c>
      <c r="B33" s="16" t="s">
        <v>89</v>
      </c>
      <c r="C33" s="72" t="s">
        <v>90</v>
      </c>
      <c r="D33" s="13" t="s">
        <v>96</v>
      </c>
      <c r="E33" s="69">
        <v>300000</v>
      </c>
      <c r="F33" s="69">
        <v>300000</v>
      </c>
      <c r="G33" s="70">
        <v>0</v>
      </c>
    </row>
    <row r="34" spans="1:7" ht="18.75" customHeight="1" x14ac:dyDescent="0.2">
      <c r="A34" s="8">
        <v>29</v>
      </c>
      <c r="B34" s="16" t="s">
        <v>1457</v>
      </c>
      <c r="C34" s="72" t="s">
        <v>90</v>
      </c>
      <c r="D34" s="13" t="s">
        <v>108</v>
      </c>
      <c r="E34" s="69">
        <v>300000</v>
      </c>
      <c r="F34" s="69">
        <v>300000</v>
      </c>
      <c r="G34" s="70">
        <v>0</v>
      </c>
    </row>
    <row r="35" spans="1:7" ht="18.75" customHeight="1" x14ac:dyDescent="0.2">
      <c r="A35" s="8">
        <v>30</v>
      </c>
      <c r="B35" s="16" t="s">
        <v>92</v>
      </c>
      <c r="C35" s="71" t="s">
        <v>1375</v>
      </c>
      <c r="D35" s="8" t="s">
        <v>108</v>
      </c>
      <c r="E35" s="69">
        <v>300000</v>
      </c>
      <c r="F35" s="69">
        <v>300000</v>
      </c>
      <c r="G35" s="70">
        <v>0</v>
      </c>
    </row>
    <row r="36" spans="1:7" ht="18.75" customHeight="1" x14ac:dyDescent="0.2">
      <c r="A36" s="8">
        <v>31</v>
      </c>
      <c r="B36" s="16" t="s">
        <v>1191</v>
      </c>
      <c r="C36" s="68" t="s">
        <v>101</v>
      </c>
      <c r="D36" s="13" t="s">
        <v>108</v>
      </c>
      <c r="E36" s="69">
        <v>300000</v>
      </c>
      <c r="F36" s="69">
        <v>300000</v>
      </c>
      <c r="G36" s="70">
        <v>0</v>
      </c>
    </row>
    <row r="37" spans="1:7" ht="18.75" customHeight="1" x14ac:dyDescent="0.2">
      <c r="A37" s="8">
        <v>32</v>
      </c>
      <c r="B37" s="16" t="s">
        <v>1358</v>
      </c>
      <c r="C37" s="68" t="s">
        <v>101</v>
      </c>
      <c r="D37" s="13" t="s">
        <v>108</v>
      </c>
      <c r="E37" s="69">
        <v>300000</v>
      </c>
      <c r="F37" s="69">
        <v>300000</v>
      </c>
      <c r="G37" s="70">
        <v>0</v>
      </c>
    </row>
    <row r="38" spans="1:7" ht="26.25" customHeight="1" x14ac:dyDescent="0.2">
      <c r="A38" s="8"/>
      <c r="B38" s="18" t="s">
        <v>111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 x14ac:dyDescent="0.2">
      <c r="A39" s="8"/>
      <c r="B39" s="20"/>
      <c r="C39" s="71"/>
      <c r="D39" s="13"/>
      <c r="E39" s="74"/>
      <c r="F39" s="69"/>
      <c r="G39" s="74"/>
    </row>
    <row r="40" spans="1:7" ht="18.75" customHeight="1" x14ac:dyDescent="0.2">
      <c r="A40" s="8"/>
      <c r="B40" s="18" t="s">
        <v>112</v>
      </c>
      <c r="C40" s="71"/>
      <c r="D40" s="13"/>
      <c r="E40" s="69"/>
      <c r="F40" s="69"/>
      <c r="G40" s="69"/>
    </row>
    <row r="41" spans="1:7" ht="18.75" customHeight="1" x14ac:dyDescent="0.2">
      <c r="A41" s="8">
        <v>1</v>
      </c>
      <c r="B41" s="16" t="s">
        <v>113</v>
      </c>
      <c r="C41" s="71" t="s">
        <v>114</v>
      </c>
      <c r="D41" s="8" t="s">
        <v>210</v>
      </c>
      <c r="E41" s="69">
        <v>1000000</v>
      </c>
      <c r="F41" s="70">
        <v>0</v>
      </c>
      <c r="G41" s="69">
        <v>1000000</v>
      </c>
    </row>
    <row r="42" spans="1:7" ht="18.75" customHeight="1" x14ac:dyDescent="0.2">
      <c r="A42" s="8">
        <v>2</v>
      </c>
      <c r="B42" s="16" t="s">
        <v>116</v>
      </c>
      <c r="C42" s="71" t="s">
        <v>799</v>
      </c>
      <c r="D42" s="8" t="s">
        <v>108</v>
      </c>
      <c r="E42" s="69">
        <v>300000</v>
      </c>
      <c r="F42" s="69">
        <v>300000</v>
      </c>
      <c r="G42" s="70">
        <v>0</v>
      </c>
    </row>
    <row r="43" spans="1:7" ht="19.5" customHeight="1" x14ac:dyDescent="0.2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 x14ac:dyDescent="0.2">
      <c r="A44" s="8"/>
      <c r="B44" s="12"/>
      <c r="C44" s="71"/>
      <c r="D44" s="8"/>
      <c r="E44" s="69"/>
      <c r="F44" s="69"/>
      <c r="G44" s="69"/>
    </row>
    <row r="45" spans="1:7" ht="20.100000000000001" customHeight="1" x14ac:dyDescent="0.2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 x14ac:dyDescent="0.2">
      <c r="A46" s="8">
        <v>1</v>
      </c>
      <c r="B46" s="9" t="s">
        <v>536</v>
      </c>
      <c r="C46" s="71" t="s">
        <v>537</v>
      </c>
      <c r="D46" s="8" t="s">
        <v>115</v>
      </c>
      <c r="E46" s="69">
        <v>1000000</v>
      </c>
      <c r="F46" s="70">
        <v>0</v>
      </c>
      <c r="G46" s="69">
        <v>1000000</v>
      </c>
    </row>
    <row r="47" spans="1:7" ht="20.100000000000001" customHeight="1" x14ac:dyDescent="0.2">
      <c r="A47" s="8">
        <v>2</v>
      </c>
      <c r="B47" s="9" t="s">
        <v>538</v>
      </c>
      <c r="C47" s="71" t="s">
        <v>43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 x14ac:dyDescent="0.2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 x14ac:dyDescent="0.2">
      <c r="A49" s="8">
        <v>4</v>
      </c>
      <c r="B49" s="9" t="s">
        <v>129</v>
      </c>
      <c r="C49" s="71" t="s">
        <v>130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 x14ac:dyDescent="0.2">
      <c r="A50" s="8">
        <v>5</v>
      </c>
      <c r="B50" s="9" t="s">
        <v>132</v>
      </c>
      <c r="C50" s="71" t="s">
        <v>130</v>
      </c>
      <c r="D50" s="8" t="s">
        <v>49</v>
      </c>
      <c r="E50" s="69">
        <v>700000</v>
      </c>
      <c r="F50" s="70">
        <v>0</v>
      </c>
      <c r="G50" s="69">
        <v>700000</v>
      </c>
    </row>
    <row r="51" spans="1:7" ht="20.100000000000001" customHeight="1" x14ac:dyDescent="0.2">
      <c r="A51" s="8">
        <v>6</v>
      </c>
      <c r="B51" s="9" t="s">
        <v>133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 x14ac:dyDescent="0.2">
      <c r="A52" s="8">
        <v>7</v>
      </c>
      <c r="B52" s="12" t="s">
        <v>134</v>
      </c>
      <c r="C52" s="71" t="s">
        <v>156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 x14ac:dyDescent="0.2">
      <c r="A53" s="8">
        <v>8</v>
      </c>
      <c r="B53" s="9" t="s">
        <v>1270</v>
      </c>
      <c r="C53" s="71" t="s">
        <v>156</v>
      </c>
      <c r="D53" s="8" t="s">
        <v>197</v>
      </c>
      <c r="E53" s="69">
        <v>500000</v>
      </c>
      <c r="F53" s="70">
        <v>0</v>
      </c>
      <c r="G53" s="69">
        <v>500000</v>
      </c>
    </row>
    <row r="54" spans="1:7" ht="20.100000000000001" customHeight="1" x14ac:dyDescent="0.2">
      <c r="A54" s="8">
        <v>9</v>
      </c>
      <c r="B54" s="9" t="s">
        <v>44</v>
      </c>
      <c r="C54" s="71" t="s">
        <v>552</v>
      </c>
      <c r="D54" s="8" t="s">
        <v>1199</v>
      </c>
      <c r="E54" s="69">
        <v>500000</v>
      </c>
      <c r="F54" s="69">
        <v>500000</v>
      </c>
      <c r="G54" s="70">
        <v>0</v>
      </c>
    </row>
    <row r="55" spans="1:7" ht="20.100000000000001" customHeight="1" x14ac:dyDescent="0.2">
      <c r="A55" s="8">
        <v>10</v>
      </c>
      <c r="B55" s="9" t="s">
        <v>142</v>
      </c>
      <c r="C55" s="71" t="s">
        <v>139</v>
      </c>
      <c r="D55" s="8" t="s">
        <v>96</v>
      </c>
      <c r="E55" s="69">
        <v>300000</v>
      </c>
      <c r="F55" s="69">
        <v>300000</v>
      </c>
      <c r="G55" s="70">
        <v>0</v>
      </c>
    </row>
    <row r="56" spans="1:7" ht="20.100000000000001" customHeight="1" x14ac:dyDescent="0.2">
      <c r="A56" s="8">
        <v>11</v>
      </c>
      <c r="B56" s="9" t="s">
        <v>539</v>
      </c>
      <c r="C56" s="71" t="s">
        <v>139</v>
      </c>
      <c r="D56" s="8" t="s">
        <v>96</v>
      </c>
      <c r="E56" s="69">
        <v>300000</v>
      </c>
      <c r="F56" s="69">
        <v>300000</v>
      </c>
      <c r="G56" s="70">
        <v>0</v>
      </c>
    </row>
    <row r="57" spans="1:7" ht="20.100000000000001" customHeight="1" x14ac:dyDescent="0.2">
      <c r="A57" s="8">
        <v>12</v>
      </c>
      <c r="B57" s="9" t="s">
        <v>143</v>
      </c>
      <c r="C57" s="71" t="s">
        <v>139</v>
      </c>
      <c r="D57" s="8" t="s">
        <v>96</v>
      </c>
      <c r="E57" s="69">
        <v>300000</v>
      </c>
      <c r="F57" s="69">
        <v>300000</v>
      </c>
      <c r="G57" s="70">
        <v>0</v>
      </c>
    </row>
    <row r="58" spans="1:7" ht="25.5" customHeight="1" x14ac:dyDescent="0.5">
      <c r="A58" s="8"/>
      <c r="B58" s="18" t="s">
        <v>111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 x14ac:dyDescent="0.2">
      <c r="A59" s="8"/>
      <c r="B59" s="20"/>
      <c r="C59" s="73"/>
      <c r="D59" s="19"/>
      <c r="E59" s="77"/>
      <c r="F59" s="77"/>
      <c r="G59" s="77"/>
    </row>
    <row r="60" spans="1:7" ht="20.100000000000001" customHeight="1" x14ac:dyDescent="0.2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 x14ac:dyDescent="0.2">
      <c r="A61" s="8">
        <v>1</v>
      </c>
      <c r="B61" s="9" t="s">
        <v>540</v>
      </c>
      <c r="C61" s="68" t="s">
        <v>147</v>
      </c>
      <c r="D61" s="13" t="s">
        <v>115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 x14ac:dyDescent="0.5">
      <c r="A62" s="8"/>
      <c r="B62" s="18" t="s">
        <v>111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 x14ac:dyDescent="0.2">
      <c r="A63" s="8"/>
      <c r="B63" s="18"/>
      <c r="C63" s="73"/>
      <c r="D63" s="19"/>
      <c r="E63" s="77"/>
      <c r="F63" s="77"/>
      <c r="G63" s="77"/>
    </row>
    <row r="64" spans="1:7" ht="20.100000000000001" customHeight="1" x14ac:dyDescent="0.2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 x14ac:dyDescent="0.2">
      <c r="A65" s="8">
        <v>1</v>
      </c>
      <c r="B65" s="9" t="s">
        <v>541</v>
      </c>
      <c r="C65" s="72" t="s">
        <v>542</v>
      </c>
      <c r="D65" s="8" t="s">
        <v>115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 x14ac:dyDescent="0.2">
      <c r="A66" s="8">
        <v>2</v>
      </c>
      <c r="B66" s="16" t="s">
        <v>543</v>
      </c>
      <c r="C66" s="72" t="s">
        <v>544</v>
      </c>
      <c r="D66" s="13" t="s">
        <v>1200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 x14ac:dyDescent="0.2">
      <c r="A67" s="8">
        <v>3</v>
      </c>
      <c r="B67" s="9" t="s">
        <v>155</v>
      </c>
      <c r="C67" s="71" t="s">
        <v>158</v>
      </c>
      <c r="D67" s="8" t="s">
        <v>1199</v>
      </c>
      <c r="E67" s="69">
        <v>500000</v>
      </c>
      <c r="F67" s="69">
        <v>500000</v>
      </c>
      <c r="G67" s="70">
        <v>0</v>
      </c>
    </row>
    <row r="68" spans="1:7" ht="20.100000000000001" customHeight="1" x14ac:dyDescent="0.2">
      <c r="A68" s="8">
        <v>4</v>
      </c>
      <c r="B68" s="16" t="s">
        <v>545</v>
      </c>
      <c r="C68" s="72" t="s">
        <v>158</v>
      </c>
      <c r="D68" s="13" t="s">
        <v>200</v>
      </c>
      <c r="E68" s="69">
        <v>500000</v>
      </c>
      <c r="F68" s="69">
        <v>500000</v>
      </c>
      <c r="G68" s="70">
        <v>0</v>
      </c>
    </row>
    <row r="69" spans="1:7" ht="20.100000000000001" customHeight="1" x14ac:dyDescent="0.2">
      <c r="A69" s="8">
        <v>5</v>
      </c>
      <c r="B69" s="12" t="s">
        <v>546</v>
      </c>
      <c r="C69" s="72" t="s">
        <v>156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 x14ac:dyDescent="0.2">
      <c r="A70" s="8">
        <v>6</v>
      </c>
      <c r="B70" s="9" t="s">
        <v>161</v>
      </c>
      <c r="C70" s="71" t="s">
        <v>139</v>
      </c>
      <c r="D70" s="8" t="s">
        <v>1409</v>
      </c>
      <c r="E70" s="69">
        <v>300000</v>
      </c>
      <c r="F70" s="69">
        <v>300000</v>
      </c>
      <c r="G70" s="70">
        <v>0</v>
      </c>
    </row>
    <row r="71" spans="1:7" ht="20.100000000000001" customHeight="1" x14ac:dyDescent="0.2">
      <c r="A71" s="8">
        <v>7</v>
      </c>
      <c r="B71" s="9" t="s">
        <v>1278</v>
      </c>
      <c r="C71" s="72" t="s">
        <v>70</v>
      </c>
      <c r="D71" s="13" t="s">
        <v>68</v>
      </c>
      <c r="E71" s="69">
        <v>400000</v>
      </c>
      <c r="F71" s="69">
        <v>400000</v>
      </c>
      <c r="G71" s="70">
        <v>0</v>
      </c>
    </row>
    <row r="72" spans="1:7" ht="20.100000000000001" customHeight="1" x14ac:dyDescent="0.2">
      <c r="A72" s="8">
        <v>8</v>
      </c>
      <c r="B72" s="9" t="s">
        <v>163</v>
      </c>
      <c r="C72" s="72" t="s">
        <v>70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 x14ac:dyDescent="0.2">
      <c r="A73" s="8">
        <v>9</v>
      </c>
      <c r="B73" s="9" t="s">
        <v>164</v>
      </c>
      <c r="C73" s="72" t="s">
        <v>70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 x14ac:dyDescent="0.2">
      <c r="A74" s="8">
        <v>10</v>
      </c>
      <c r="B74" s="9" t="s">
        <v>165</v>
      </c>
      <c r="C74" s="71" t="s">
        <v>166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 x14ac:dyDescent="0.2">
      <c r="A75" s="8">
        <v>11</v>
      </c>
      <c r="B75" s="9" t="s">
        <v>1359</v>
      </c>
      <c r="C75" s="72" t="s">
        <v>139</v>
      </c>
      <c r="D75" s="8" t="s">
        <v>73</v>
      </c>
      <c r="E75" s="69">
        <v>300000</v>
      </c>
      <c r="F75" s="69">
        <v>300000</v>
      </c>
      <c r="G75" s="70">
        <v>0</v>
      </c>
    </row>
    <row r="76" spans="1:7" ht="20.100000000000001" customHeight="1" x14ac:dyDescent="0.2">
      <c r="A76" s="8">
        <v>12</v>
      </c>
      <c r="B76" s="9" t="s">
        <v>81</v>
      </c>
      <c r="C76" s="72" t="s">
        <v>67</v>
      </c>
      <c r="D76" s="8" t="s">
        <v>96</v>
      </c>
      <c r="E76" s="69">
        <v>300000</v>
      </c>
      <c r="F76" s="69">
        <v>300000</v>
      </c>
      <c r="G76" s="70">
        <v>0</v>
      </c>
    </row>
    <row r="77" spans="1:7" ht="20.100000000000001" customHeight="1" x14ac:dyDescent="0.2">
      <c r="A77" s="8">
        <v>13</v>
      </c>
      <c r="B77" s="12" t="s">
        <v>66</v>
      </c>
      <c r="C77" s="72" t="s">
        <v>67</v>
      </c>
      <c r="D77" s="8" t="s">
        <v>108</v>
      </c>
      <c r="E77" s="69">
        <v>300000</v>
      </c>
      <c r="F77" s="69">
        <v>300000</v>
      </c>
      <c r="G77" s="70">
        <v>0</v>
      </c>
    </row>
    <row r="78" spans="1:7" ht="20.100000000000001" customHeight="1" x14ac:dyDescent="0.5">
      <c r="A78" s="8"/>
      <c r="B78" s="18" t="s">
        <v>111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 x14ac:dyDescent="0.2">
      <c r="A79" s="8"/>
      <c r="B79" s="20"/>
      <c r="C79" s="73"/>
      <c r="D79" s="19"/>
      <c r="E79" s="77"/>
      <c r="F79" s="77"/>
      <c r="G79" s="77"/>
    </row>
    <row r="80" spans="1:7" ht="20.100000000000001" customHeight="1" x14ac:dyDescent="0.2">
      <c r="A80" s="8"/>
      <c r="B80" s="18" t="s">
        <v>169</v>
      </c>
      <c r="C80" s="73"/>
      <c r="D80" s="19"/>
      <c r="E80" s="77"/>
      <c r="F80" s="77"/>
      <c r="G80" s="77"/>
    </row>
    <row r="81" spans="1:7" ht="20.100000000000001" customHeight="1" x14ac:dyDescent="0.2">
      <c r="A81" s="8">
        <v>1</v>
      </c>
      <c r="B81" s="9" t="s">
        <v>170</v>
      </c>
      <c r="C81" s="71" t="s">
        <v>171</v>
      </c>
      <c r="D81" s="8" t="s">
        <v>115</v>
      </c>
      <c r="E81" s="69">
        <v>1000000</v>
      </c>
      <c r="F81" s="70">
        <v>0</v>
      </c>
      <c r="G81" s="69">
        <v>1000000</v>
      </c>
    </row>
    <row r="82" spans="1:7" ht="20.100000000000001" customHeight="1" x14ac:dyDescent="0.2">
      <c r="A82" s="8">
        <v>2</v>
      </c>
      <c r="B82" s="12" t="s">
        <v>547</v>
      </c>
      <c r="C82" s="71" t="s">
        <v>548</v>
      </c>
      <c r="D82" s="13" t="s">
        <v>1200</v>
      </c>
      <c r="E82" s="69">
        <v>700000</v>
      </c>
      <c r="F82" s="70">
        <v>0</v>
      </c>
      <c r="G82" s="69">
        <v>700000</v>
      </c>
    </row>
    <row r="83" spans="1:7" ht="20.100000000000001" customHeight="1" x14ac:dyDescent="0.2">
      <c r="A83" s="8">
        <v>3</v>
      </c>
      <c r="B83" s="12" t="s">
        <v>1360</v>
      </c>
      <c r="C83" s="71" t="s">
        <v>1361</v>
      </c>
      <c r="D83" s="13" t="s">
        <v>1200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 x14ac:dyDescent="0.2">
      <c r="A84" s="8">
        <v>4</v>
      </c>
      <c r="B84" s="9" t="s">
        <v>174</v>
      </c>
      <c r="C84" s="71" t="s">
        <v>1214</v>
      </c>
      <c r="D84" s="13" t="s">
        <v>1199</v>
      </c>
      <c r="E84" s="69">
        <v>500000</v>
      </c>
      <c r="F84" s="69">
        <v>500000</v>
      </c>
      <c r="G84" s="70">
        <v>0</v>
      </c>
    </row>
    <row r="85" spans="1:7" ht="20.100000000000001" customHeight="1" x14ac:dyDescent="0.2">
      <c r="A85" s="8">
        <v>5</v>
      </c>
      <c r="B85" s="9" t="s">
        <v>181</v>
      </c>
      <c r="C85" s="71" t="s">
        <v>184</v>
      </c>
      <c r="D85" s="8" t="s">
        <v>73</v>
      </c>
      <c r="E85" s="69">
        <v>300000</v>
      </c>
      <c r="F85" s="69">
        <v>300000</v>
      </c>
      <c r="G85" s="70">
        <v>0</v>
      </c>
    </row>
    <row r="86" spans="1:7" ht="20.100000000000001" customHeight="1" x14ac:dyDescent="0.5">
      <c r="A86" s="8"/>
      <c r="B86" s="18" t="s">
        <v>111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 x14ac:dyDescent="0.2">
      <c r="A87" s="8"/>
      <c r="B87" s="18"/>
      <c r="C87" s="73"/>
      <c r="D87" s="19"/>
      <c r="E87" s="69"/>
      <c r="F87" s="69"/>
      <c r="G87" s="69"/>
    </row>
    <row r="88" spans="1:7" ht="20.100000000000001" customHeight="1" x14ac:dyDescent="0.2">
      <c r="A88" s="8"/>
      <c r="B88" s="18" t="s">
        <v>187</v>
      </c>
      <c r="C88" s="79"/>
      <c r="D88" s="19"/>
      <c r="E88" s="69"/>
      <c r="F88" s="69"/>
      <c r="G88" s="69"/>
    </row>
    <row r="89" spans="1:7" ht="20.100000000000001" customHeight="1" x14ac:dyDescent="0.2">
      <c r="A89" s="8">
        <v>1</v>
      </c>
      <c r="B89" s="9" t="s">
        <v>1412</v>
      </c>
      <c r="C89" s="71" t="s">
        <v>1378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 x14ac:dyDescent="0.2">
      <c r="A90" s="8">
        <v>2</v>
      </c>
      <c r="B90" s="9" t="s">
        <v>190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 x14ac:dyDescent="0.2">
      <c r="A91" s="8">
        <v>3</v>
      </c>
      <c r="B91" s="9" t="s">
        <v>188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 x14ac:dyDescent="0.2">
      <c r="A92" s="8">
        <v>4</v>
      </c>
      <c r="B92" s="12" t="s">
        <v>152</v>
      </c>
      <c r="C92" s="71" t="s">
        <v>156</v>
      </c>
      <c r="D92" s="8" t="s">
        <v>176</v>
      </c>
      <c r="E92" s="69">
        <v>500000</v>
      </c>
      <c r="F92" s="70">
        <v>0</v>
      </c>
      <c r="G92" s="69">
        <v>500000</v>
      </c>
    </row>
    <row r="93" spans="1:7" ht="20.100000000000001" customHeight="1" x14ac:dyDescent="0.2">
      <c r="A93" s="8">
        <v>5</v>
      </c>
      <c r="B93" s="9" t="s">
        <v>193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 x14ac:dyDescent="0.2">
      <c r="A94" s="8">
        <v>6</v>
      </c>
      <c r="B94" s="9" t="s">
        <v>194</v>
      </c>
      <c r="C94" s="71" t="s">
        <v>552</v>
      </c>
      <c r="D94" s="13" t="s">
        <v>1199</v>
      </c>
      <c r="E94" s="69">
        <v>500000</v>
      </c>
      <c r="F94" s="69">
        <v>500000</v>
      </c>
      <c r="G94" s="70">
        <v>0</v>
      </c>
    </row>
    <row r="95" spans="1:7" ht="21.6" customHeight="1" x14ac:dyDescent="0.2">
      <c r="A95" s="8">
        <v>7</v>
      </c>
      <c r="B95" s="9" t="s">
        <v>195</v>
      </c>
      <c r="C95" s="68" t="s">
        <v>158</v>
      </c>
      <c r="D95" s="13" t="s">
        <v>200</v>
      </c>
      <c r="E95" s="69">
        <v>500000</v>
      </c>
      <c r="F95" s="69">
        <v>500000</v>
      </c>
      <c r="G95" s="70">
        <v>0</v>
      </c>
    </row>
    <row r="96" spans="1:7" ht="21.6" customHeight="1" x14ac:dyDescent="0.2">
      <c r="A96" s="8">
        <v>8</v>
      </c>
      <c r="B96" s="9" t="s">
        <v>196</v>
      </c>
      <c r="C96" s="68" t="s">
        <v>158</v>
      </c>
      <c r="D96" s="13" t="s">
        <v>200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 x14ac:dyDescent="0.2">
      <c r="A97" s="8">
        <v>9</v>
      </c>
      <c r="B97" s="9" t="s">
        <v>198</v>
      </c>
      <c r="C97" s="72" t="s">
        <v>70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 x14ac:dyDescent="0.2">
      <c r="A98" s="8">
        <v>10</v>
      </c>
      <c r="B98" s="9" t="s">
        <v>202</v>
      </c>
      <c r="C98" s="71" t="s">
        <v>203</v>
      </c>
      <c r="D98" s="8" t="s">
        <v>73</v>
      </c>
      <c r="E98" s="69">
        <v>300000</v>
      </c>
      <c r="F98" s="69">
        <v>300000</v>
      </c>
      <c r="G98" s="70">
        <v>0</v>
      </c>
    </row>
    <row r="99" spans="1:7" ht="21.6" customHeight="1" x14ac:dyDescent="0.2">
      <c r="A99" s="8">
        <v>11</v>
      </c>
      <c r="B99" s="9" t="s">
        <v>204</v>
      </c>
      <c r="C99" s="72" t="s">
        <v>205</v>
      </c>
      <c r="D99" s="13" t="s">
        <v>108</v>
      </c>
      <c r="E99" s="69">
        <v>300000</v>
      </c>
      <c r="F99" s="69">
        <v>300000</v>
      </c>
      <c r="G99" s="70">
        <v>0</v>
      </c>
    </row>
    <row r="100" spans="1:7" ht="20.100000000000001" customHeight="1" x14ac:dyDescent="0.5">
      <c r="A100" s="8"/>
      <c r="B100" s="18" t="s">
        <v>111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 x14ac:dyDescent="0.2">
      <c r="A101" s="8"/>
      <c r="B101" s="20"/>
      <c r="C101" s="73"/>
      <c r="D101" s="19"/>
      <c r="E101" s="77"/>
      <c r="F101" s="77"/>
      <c r="G101" s="77"/>
    </row>
    <row r="102" spans="1:7" ht="20.100000000000001" customHeight="1" x14ac:dyDescent="0.2">
      <c r="A102" s="8"/>
      <c r="B102" s="18" t="s">
        <v>1458</v>
      </c>
      <c r="C102" s="73"/>
      <c r="D102" s="19"/>
      <c r="E102" s="77"/>
      <c r="F102" s="77"/>
      <c r="G102" s="77"/>
    </row>
    <row r="103" spans="1:7" ht="20.100000000000001" customHeight="1" x14ac:dyDescent="0.2">
      <c r="A103" s="8">
        <v>1</v>
      </c>
      <c r="B103" s="16" t="s">
        <v>530</v>
      </c>
      <c r="C103" s="80" t="s">
        <v>531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 x14ac:dyDescent="0.2">
      <c r="A104" s="8">
        <v>2</v>
      </c>
      <c r="B104" s="9" t="s">
        <v>36</v>
      </c>
      <c r="C104" s="71" t="s">
        <v>212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 x14ac:dyDescent="0.2">
      <c r="A105" s="8">
        <v>3</v>
      </c>
      <c r="B105" s="16" t="s">
        <v>1379</v>
      </c>
      <c r="C105" s="71" t="s">
        <v>1380</v>
      </c>
      <c r="D105" s="13" t="s">
        <v>200</v>
      </c>
      <c r="E105" s="69">
        <v>500000</v>
      </c>
      <c r="F105" s="69">
        <v>500000</v>
      </c>
      <c r="G105" s="70">
        <v>0</v>
      </c>
    </row>
    <row r="106" spans="1:7" ht="20.100000000000001" customHeight="1" x14ac:dyDescent="0.2">
      <c r="A106" s="8">
        <v>4</v>
      </c>
      <c r="B106" s="9" t="s">
        <v>217</v>
      </c>
      <c r="C106" s="71" t="s">
        <v>218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 x14ac:dyDescent="0.5">
      <c r="A107" s="2"/>
      <c r="B107" s="18" t="s">
        <v>111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 x14ac:dyDescent="0.2">
      <c r="A108" s="2"/>
      <c r="B108" s="20"/>
      <c r="C108" s="73"/>
      <c r="D108" s="24"/>
      <c r="E108" s="77"/>
      <c r="F108" s="77"/>
      <c r="G108" s="77"/>
    </row>
    <row r="109" spans="1:7" ht="20.100000000000001" customHeight="1" x14ac:dyDescent="0.2">
      <c r="A109" s="2"/>
      <c r="B109" s="18" t="s">
        <v>221</v>
      </c>
      <c r="C109" s="71"/>
      <c r="D109" s="2"/>
      <c r="E109" s="81"/>
      <c r="F109" s="81"/>
      <c r="G109" s="81"/>
    </row>
    <row r="110" spans="1:7" ht="20.100000000000001" customHeight="1" x14ac:dyDescent="0.2">
      <c r="A110" s="2">
        <v>1</v>
      </c>
      <c r="B110" s="9" t="s">
        <v>222</v>
      </c>
      <c r="C110" s="68" t="s">
        <v>223</v>
      </c>
      <c r="D110" s="13" t="s">
        <v>115</v>
      </c>
      <c r="E110" s="69">
        <v>1000000</v>
      </c>
      <c r="F110" s="70">
        <v>0</v>
      </c>
      <c r="G110" s="69">
        <v>1000000</v>
      </c>
    </row>
    <row r="111" spans="1:7" ht="20.100000000000001" customHeight="1" x14ac:dyDescent="0.2">
      <c r="A111" s="2">
        <v>2</v>
      </c>
      <c r="B111" s="9" t="s">
        <v>224</v>
      </c>
      <c r="C111" s="71" t="s">
        <v>225</v>
      </c>
      <c r="D111" s="14" t="s">
        <v>192</v>
      </c>
      <c r="E111" s="69">
        <v>700000</v>
      </c>
      <c r="F111" s="70">
        <v>0</v>
      </c>
      <c r="G111" s="69">
        <v>700000</v>
      </c>
    </row>
    <row r="112" spans="1:7" ht="20.100000000000001" customHeight="1" x14ac:dyDescent="0.2">
      <c r="A112" s="2">
        <v>3</v>
      </c>
      <c r="B112" s="9" t="s">
        <v>226</v>
      </c>
      <c r="C112" s="71" t="s">
        <v>227</v>
      </c>
      <c r="D112" s="8" t="s">
        <v>52</v>
      </c>
      <c r="E112" s="69">
        <v>500000</v>
      </c>
      <c r="F112" s="69">
        <v>500000</v>
      </c>
      <c r="G112" s="70">
        <v>0</v>
      </c>
    </row>
    <row r="113" spans="1:7" ht="20.100000000000001" customHeight="1" x14ac:dyDescent="0.2">
      <c r="A113" s="2">
        <v>4</v>
      </c>
      <c r="B113" s="9" t="s">
        <v>228</v>
      </c>
      <c r="C113" s="71" t="s">
        <v>227</v>
      </c>
      <c r="D113" s="8" t="s">
        <v>534</v>
      </c>
      <c r="E113" s="69">
        <v>500000</v>
      </c>
      <c r="F113" s="69">
        <v>500000</v>
      </c>
      <c r="G113" s="70">
        <v>0</v>
      </c>
    </row>
    <row r="114" spans="1:7" ht="20.100000000000001" customHeight="1" x14ac:dyDescent="0.2">
      <c r="A114" s="2">
        <v>5</v>
      </c>
      <c r="B114" s="9" t="s">
        <v>230</v>
      </c>
      <c r="C114" s="71" t="s">
        <v>231</v>
      </c>
      <c r="D114" s="13" t="s">
        <v>206</v>
      </c>
      <c r="E114" s="69">
        <v>300000</v>
      </c>
      <c r="F114" s="69">
        <v>300000</v>
      </c>
      <c r="G114" s="70">
        <v>0</v>
      </c>
    </row>
    <row r="115" spans="1:7" ht="20.100000000000001" customHeight="1" x14ac:dyDescent="0.2">
      <c r="A115" s="2">
        <v>6</v>
      </c>
      <c r="B115" s="16" t="s">
        <v>233</v>
      </c>
      <c r="C115" s="71" t="s">
        <v>231</v>
      </c>
      <c r="D115" s="8" t="s">
        <v>102</v>
      </c>
      <c r="E115" s="69">
        <v>300000</v>
      </c>
      <c r="F115" s="69">
        <v>300000</v>
      </c>
      <c r="G115" s="70">
        <v>0</v>
      </c>
    </row>
    <row r="116" spans="1:7" ht="20.100000000000001" customHeight="1" x14ac:dyDescent="0.2">
      <c r="A116" s="2">
        <v>7</v>
      </c>
      <c r="B116" s="16" t="s">
        <v>234</v>
      </c>
      <c r="C116" s="71" t="s">
        <v>231</v>
      </c>
      <c r="D116" s="13" t="s">
        <v>108</v>
      </c>
      <c r="E116" s="69">
        <v>300000</v>
      </c>
      <c r="F116" s="69">
        <v>300000</v>
      </c>
      <c r="G116" s="70">
        <v>0</v>
      </c>
    </row>
    <row r="117" spans="1:7" ht="20.100000000000001" customHeight="1" x14ac:dyDescent="0.5">
      <c r="A117" s="2"/>
      <c r="B117" s="18" t="s">
        <v>111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 x14ac:dyDescent="0.2">
      <c r="A118" s="2"/>
      <c r="B118" s="20"/>
      <c r="C118" s="80"/>
      <c r="D118" s="2"/>
      <c r="E118" s="83"/>
      <c r="F118" s="83"/>
      <c r="G118" s="83"/>
    </row>
    <row r="119" spans="1:7" ht="20.100000000000001" customHeight="1" x14ac:dyDescent="0.2">
      <c r="A119" s="2"/>
      <c r="B119" s="18" t="s">
        <v>250</v>
      </c>
      <c r="C119" s="73"/>
      <c r="D119" s="19"/>
      <c r="E119" s="69"/>
      <c r="F119" s="69"/>
      <c r="G119" s="69"/>
    </row>
    <row r="120" spans="1:7" ht="20.100000000000001" customHeight="1" x14ac:dyDescent="0.2">
      <c r="A120" s="2">
        <v>1</v>
      </c>
      <c r="B120" s="9" t="s">
        <v>251</v>
      </c>
      <c r="C120" s="68" t="s">
        <v>252</v>
      </c>
      <c r="D120" s="13" t="s">
        <v>115</v>
      </c>
      <c r="E120" s="69">
        <v>1000000</v>
      </c>
      <c r="F120" s="70">
        <v>0</v>
      </c>
      <c r="G120" s="69">
        <v>1000000</v>
      </c>
    </row>
    <row r="121" spans="1:7" ht="20.100000000000001" customHeight="1" x14ac:dyDescent="0.2">
      <c r="A121" s="2">
        <v>2</v>
      </c>
      <c r="B121" s="9" t="s">
        <v>1382</v>
      </c>
      <c r="C121" s="68" t="s">
        <v>1383</v>
      </c>
      <c r="D121" s="13" t="s">
        <v>154</v>
      </c>
      <c r="E121" s="69">
        <v>700000</v>
      </c>
      <c r="F121" s="70">
        <v>0</v>
      </c>
      <c r="G121" s="69">
        <v>700000</v>
      </c>
    </row>
    <row r="122" spans="1:7" ht="20.100000000000001" customHeight="1" x14ac:dyDescent="0.2">
      <c r="A122" s="2">
        <v>3</v>
      </c>
      <c r="B122" s="9" t="s">
        <v>253</v>
      </c>
      <c r="C122" s="68" t="s">
        <v>256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 x14ac:dyDescent="0.2">
      <c r="A123" s="2">
        <v>4</v>
      </c>
      <c r="B123" s="12" t="s">
        <v>255</v>
      </c>
      <c r="C123" s="68" t="s">
        <v>256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 x14ac:dyDescent="0.2">
      <c r="A124" s="2">
        <v>5</v>
      </c>
      <c r="B124" s="12" t="s">
        <v>556</v>
      </c>
      <c r="C124" s="68" t="s">
        <v>256</v>
      </c>
      <c r="D124" s="13" t="s">
        <v>49</v>
      </c>
      <c r="E124" s="69">
        <v>700000</v>
      </c>
      <c r="F124" s="70">
        <v>0</v>
      </c>
      <c r="G124" s="69">
        <v>700000</v>
      </c>
    </row>
    <row r="125" spans="1:7" ht="20.100000000000001" customHeight="1" x14ac:dyDescent="0.2">
      <c r="A125" s="2">
        <v>6</v>
      </c>
      <c r="B125" s="9" t="s">
        <v>257</v>
      </c>
      <c r="C125" s="68" t="s">
        <v>258</v>
      </c>
      <c r="D125" s="13" t="s">
        <v>197</v>
      </c>
      <c r="E125" s="69">
        <v>500000</v>
      </c>
      <c r="F125" s="70">
        <v>0</v>
      </c>
      <c r="G125" s="69">
        <v>500000</v>
      </c>
    </row>
    <row r="126" spans="1:7" ht="20.100000000000001" customHeight="1" x14ac:dyDescent="0.2">
      <c r="A126" s="2">
        <v>7</v>
      </c>
      <c r="B126" s="9" t="s">
        <v>259</v>
      </c>
      <c r="C126" s="68" t="s">
        <v>489</v>
      </c>
      <c r="D126" s="13" t="s">
        <v>1199</v>
      </c>
      <c r="E126" s="69">
        <v>500000</v>
      </c>
      <c r="F126" s="69">
        <v>500000</v>
      </c>
      <c r="G126" s="70">
        <v>0</v>
      </c>
    </row>
    <row r="127" spans="1:7" ht="20.100000000000001" customHeight="1" x14ac:dyDescent="0.2">
      <c r="A127" s="2">
        <v>8</v>
      </c>
      <c r="B127" s="9" t="s">
        <v>260</v>
      </c>
      <c r="C127" s="68" t="s">
        <v>1216</v>
      </c>
      <c r="D127" s="13" t="s">
        <v>1199</v>
      </c>
      <c r="E127" s="69">
        <v>500000</v>
      </c>
      <c r="F127" s="69">
        <v>500000</v>
      </c>
      <c r="G127" s="70">
        <v>0</v>
      </c>
    </row>
    <row r="128" spans="1:7" ht="20.100000000000001" customHeight="1" x14ac:dyDescent="0.2">
      <c r="A128" s="2">
        <v>9</v>
      </c>
      <c r="B128" s="16" t="s">
        <v>1384</v>
      </c>
      <c r="C128" s="68" t="s">
        <v>1385</v>
      </c>
      <c r="D128" s="13" t="s">
        <v>58</v>
      </c>
      <c r="E128" s="69">
        <v>500000</v>
      </c>
      <c r="F128" s="69">
        <v>500000</v>
      </c>
      <c r="G128" s="70">
        <v>0</v>
      </c>
    </row>
    <row r="129" spans="1:7" ht="20.100000000000001" customHeight="1" x14ac:dyDescent="0.2">
      <c r="A129" s="2">
        <v>10</v>
      </c>
      <c r="B129" s="9" t="s">
        <v>263</v>
      </c>
      <c r="C129" s="68" t="s">
        <v>264</v>
      </c>
      <c r="D129" s="8" t="s">
        <v>96</v>
      </c>
      <c r="E129" s="69">
        <v>300000</v>
      </c>
      <c r="F129" s="69">
        <v>300000</v>
      </c>
      <c r="G129" s="70">
        <v>0</v>
      </c>
    </row>
    <row r="130" spans="1:7" ht="20.100000000000001" customHeight="1" x14ac:dyDescent="0.2">
      <c r="A130" s="2">
        <v>11</v>
      </c>
      <c r="B130" s="16" t="s">
        <v>265</v>
      </c>
      <c r="C130" s="68" t="s">
        <v>266</v>
      </c>
      <c r="D130" s="13" t="s">
        <v>108</v>
      </c>
      <c r="E130" s="69">
        <v>300000</v>
      </c>
      <c r="F130" s="69">
        <v>300000</v>
      </c>
      <c r="G130" s="70">
        <v>0</v>
      </c>
    </row>
    <row r="131" spans="1:7" ht="20.100000000000001" customHeight="1" x14ac:dyDescent="0.5">
      <c r="A131" s="2"/>
      <c r="B131" s="18" t="s">
        <v>111</v>
      </c>
      <c r="C131" s="84" t="s">
        <v>269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 x14ac:dyDescent="0.2">
      <c r="A132" s="2"/>
      <c r="B132" s="20"/>
      <c r="C132" s="84"/>
      <c r="D132" s="13"/>
      <c r="E132" s="77"/>
      <c r="F132" s="77"/>
      <c r="G132" s="77"/>
    </row>
    <row r="133" spans="1:7" ht="20.100000000000001" customHeight="1" x14ac:dyDescent="0.2">
      <c r="A133" s="2"/>
      <c r="B133" s="18" t="s">
        <v>270</v>
      </c>
      <c r="C133" s="68"/>
      <c r="D133" s="13"/>
      <c r="E133" s="69"/>
      <c r="F133" s="69"/>
      <c r="G133" s="69"/>
    </row>
    <row r="134" spans="1:7" ht="20.100000000000001" customHeight="1" x14ac:dyDescent="0.2">
      <c r="A134" s="25">
        <v>1</v>
      </c>
      <c r="B134" s="9" t="s">
        <v>557</v>
      </c>
      <c r="C134" s="68" t="s">
        <v>1459</v>
      </c>
      <c r="D134" s="13" t="s">
        <v>115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 x14ac:dyDescent="0.2">
      <c r="A135" s="25">
        <v>2</v>
      </c>
      <c r="B135" s="9" t="s">
        <v>559</v>
      </c>
      <c r="C135" s="68" t="s">
        <v>560</v>
      </c>
      <c r="D135" s="13" t="s">
        <v>154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 x14ac:dyDescent="0.2">
      <c r="A136" s="25">
        <v>3</v>
      </c>
      <c r="B136" s="12" t="s">
        <v>274</v>
      </c>
      <c r="C136" s="71" t="s">
        <v>275</v>
      </c>
      <c r="D136" s="14" t="s">
        <v>192</v>
      </c>
      <c r="E136" s="69">
        <v>700000</v>
      </c>
      <c r="F136" s="70">
        <v>0</v>
      </c>
      <c r="G136" s="69">
        <v>700000</v>
      </c>
    </row>
    <row r="137" spans="1:7" ht="20.100000000000001" customHeight="1" x14ac:dyDescent="0.2">
      <c r="A137" s="25">
        <v>4</v>
      </c>
      <c r="B137" s="9" t="s">
        <v>276</v>
      </c>
      <c r="C137" s="68" t="s">
        <v>561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 x14ac:dyDescent="0.2">
      <c r="A138" s="25">
        <v>5</v>
      </c>
      <c r="B138" s="9" t="s">
        <v>278</v>
      </c>
      <c r="C138" s="71" t="s">
        <v>562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 x14ac:dyDescent="0.2">
      <c r="A139" s="25">
        <v>6</v>
      </c>
      <c r="B139" s="9" t="s">
        <v>211</v>
      </c>
      <c r="C139" s="71" t="s">
        <v>564</v>
      </c>
      <c r="D139" s="13" t="s">
        <v>1199</v>
      </c>
      <c r="E139" s="69">
        <v>500000</v>
      </c>
      <c r="F139" s="69">
        <v>500000</v>
      </c>
      <c r="G139" s="70">
        <v>0</v>
      </c>
    </row>
    <row r="140" spans="1:7" ht="20.100000000000001" customHeight="1" x14ac:dyDescent="0.2">
      <c r="A140" s="25">
        <v>7</v>
      </c>
      <c r="B140" s="9" t="s">
        <v>213</v>
      </c>
      <c r="C140" s="68" t="s">
        <v>563</v>
      </c>
      <c r="D140" s="13" t="s">
        <v>68</v>
      </c>
      <c r="E140" s="69">
        <v>400000</v>
      </c>
      <c r="F140" s="69">
        <v>400000</v>
      </c>
      <c r="G140" s="70">
        <v>0</v>
      </c>
    </row>
    <row r="141" spans="1:7" ht="20.100000000000001" customHeight="1" x14ac:dyDescent="0.2">
      <c r="A141" s="25">
        <v>8</v>
      </c>
      <c r="B141" s="9" t="s">
        <v>281</v>
      </c>
      <c r="C141" s="68" t="s">
        <v>563</v>
      </c>
      <c r="D141" s="13" t="s">
        <v>68</v>
      </c>
      <c r="E141" s="69">
        <v>400000</v>
      </c>
      <c r="F141" s="69">
        <v>400000</v>
      </c>
      <c r="G141" s="70">
        <v>0</v>
      </c>
    </row>
    <row r="142" spans="1:7" ht="20.100000000000001" customHeight="1" x14ac:dyDescent="0.2">
      <c r="A142" s="25">
        <v>9</v>
      </c>
      <c r="B142" s="9" t="s">
        <v>282</v>
      </c>
      <c r="C142" s="71" t="s">
        <v>564</v>
      </c>
      <c r="D142" s="13" t="s">
        <v>68</v>
      </c>
      <c r="E142" s="69">
        <v>400000</v>
      </c>
      <c r="F142" s="69">
        <v>400000</v>
      </c>
      <c r="G142" s="70">
        <v>0</v>
      </c>
    </row>
    <row r="143" spans="1:7" ht="20.100000000000001" customHeight="1" x14ac:dyDescent="0.2">
      <c r="A143" s="25">
        <v>10</v>
      </c>
      <c r="B143" s="9" t="s">
        <v>284</v>
      </c>
      <c r="C143" s="68" t="s">
        <v>565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 x14ac:dyDescent="0.2">
      <c r="A144" s="25">
        <v>11</v>
      </c>
      <c r="B144" s="9" t="s">
        <v>286</v>
      </c>
      <c r="C144" s="68" t="s">
        <v>1218</v>
      </c>
      <c r="D144" s="13" t="s">
        <v>119</v>
      </c>
      <c r="E144" s="69">
        <v>300000</v>
      </c>
      <c r="F144" s="69">
        <v>300000</v>
      </c>
      <c r="G144" s="70">
        <v>0</v>
      </c>
    </row>
    <row r="145" spans="1:7" ht="20.100000000000001" customHeight="1" x14ac:dyDescent="0.2">
      <c r="A145" s="25">
        <v>12</v>
      </c>
      <c r="B145" s="9" t="s">
        <v>60</v>
      </c>
      <c r="C145" s="68" t="s">
        <v>565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 x14ac:dyDescent="0.2">
      <c r="A146" s="25">
        <v>13</v>
      </c>
      <c r="B146" s="9" t="s">
        <v>290</v>
      </c>
      <c r="C146" s="71" t="s">
        <v>566</v>
      </c>
      <c r="D146" s="13" t="s">
        <v>76</v>
      </c>
      <c r="E146" s="69">
        <v>300000</v>
      </c>
      <c r="F146" s="69">
        <v>300000</v>
      </c>
      <c r="G146" s="70">
        <v>0</v>
      </c>
    </row>
    <row r="147" spans="1:7" ht="20.100000000000001" customHeight="1" x14ac:dyDescent="0.2">
      <c r="A147" s="25">
        <v>14</v>
      </c>
      <c r="B147" s="9" t="s">
        <v>291</v>
      </c>
      <c r="C147" s="71" t="s">
        <v>566</v>
      </c>
      <c r="D147" s="13" t="s">
        <v>76</v>
      </c>
      <c r="E147" s="69">
        <v>300000</v>
      </c>
      <c r="F147" s="69">
        <v>300000</v>
      </c>
      <c r="G147" s="70">
        <v>0</v>
      </c>
    </row>
    <row r="148" spans="1:7" ht="20.100000000000001" customHeight="1" x14ac:dyDescent="0.2">
      <c r="A148" s="25">
        <v>15</v>
      </c>
      <c r="B148" s="9" t="s">
        <v>293</v>
      </c>
      <c r="C148" s="71" t="s">
        <v>566</v>
      </c>
      <c r="D148" s="13" t="s">
        <v>76</v>
      </c>
      <c r="E148" s="69">
        <v>300000</v>
      </c>
      <c r="F148" s="69">
        <v>300000</v>
      </c>
      <c r="G148" s="70">
        <v>0</v>
      </c>
    </row>
    <row r="149" spans="1:7" ht="20.100000000000001" customHeight="1" x14ac:dyDescent="0.2">
      <c r="A149" s="25">
        <v>16</v>
      </c>
      <c r="B149" s="9" t="s">
        <v>294</v>
      </c>
      <c r="C149" s="68" t="s">
        <v>295</v>
      </c>
      <c r="D149" s="13" t="s">
        <v>73</v>
      </c>
      <c r="E149" s="69">
        <v>300000</v>
      </c>
      <c r="F149" s="69">
        <v>300000</v>
      </c>
      <c r="G149" s="70">
        <v>0</v>
      </c>
    </row>
    <row r="150" spans="1:7" ht="20.100000000000001" customHeight="1" x14ac:dyDescent="0.2">
      <c r="A150" s="25">
        <v>17</v>
      </c>
      <c r="B150" s="9" t="s">
        <v>1201</v>
      </c>
      <c r="C150" s="68" t="s">
        <v>297</v>
      </c>
      <c r="D150" s="8" t="s">
        <v>96</v>
      </c>
      <c r="E150" s="69">
        <v>300000</v>
      </c>
      <c r="F150" s="69">
        <v>300000</v>
      </c>
      <c r="G150" s="70">
        <v>0</v>
      </c>
    </row>
    <row r="151" spans="1:7" ht="20.100000000000001" customHeight="1" x14ac:dyDescent="0.2">
      <c r="A151" s="25">
        <v>18</v>
      </c>
      <c r="B151" s="9" t="s">
        <v>298</v>
      </c>
      <c r="C151" s="68" t="s">
        <v>299</v>
      </c>
      <c r="D151" s="13" t="s">
        <v>73</v>
      </c>
      <c r="E151" s="69">
        <v>300000</v>
      </c>
      <c r="F151" s="69">
        <v>300000</v>
      </c>
      <c r="G151" s="70">
        <v>0</v>
      </c>
    </row>
    <row r="152" spans="1:7" ht="20.100000000000001" customHeight="1" x14ac:dyDescent="0.2">
      <c r="A152" s="25">
        <v>19</v>
      </c>
      <c r="B152" s="9" t="s">
        <v>301</v>
      </c>
      <c r="C152" s="68" t="s">
        <v>302</v>
      </c>
      <c r="D152" s="13" t="s">
        <v>96</v>
      </c>
      <c r="E152" s="69">
        <v>300000</v>
      </c>
      <c r="F152" s="69">
        <v>300000</v>
      </c>
      <c r="G152" s="70">
        <v>0</v>
      </c>
    </row>
    <row r="153" spans="1:7" ht="20.100000000000001" customHeight="1" x14ac:dyDescent="0.2">
      <c r="A153" s="25">
        <v>20</v>
      </c>
      <c r="B153" s="9" t="s">
        <v>303</v>
      </c>
      <c r="C153" s="68" t="s">
        <v>304</v>
      </c>
      <c r="D153" s="13" t="s">
        <v>73</v>
      </c>
      <c r="E153" s="69">
        <v>300000</v>
      </c>
      <c r="F153" s="69">
        <v>300000</v>
      </c>
      <c r="G153" s="70">
        <v>0</v>
      </c>
    </row>
    <row r="154" spans="1:7" ht="20.100000000000001" customHeight="1" x14ac:dyDescent="0.2">
      <c r="A154" s="25">
        <v>21</v>
      </c>
      <c r="B154" s="9" t="s">
        <v>305</v>
      </c>
      <c r="C154" s="68" t="s">
        <v>306</v>
      </c>
      <c r="D154" s="13" t="s">
        <v>96</v>
      </c>
      <c r="E154" s="69">
        <v>300000</v>
      </c>
      <c r="F154" s="69">
        <v>300000</v>
      </c>
      <c r="G154" s="70">
        <v>0</v>
      </c>
    </row>
    <row r="155" spans="1:7" ht="20.100000000000001" customHeight="1" x14ac:dyDescent="0.2">
      <c r="A155" s="25">
        <v>22</v>
      </c>
      <c r="B155" s="16" t="s">
        <v>307</v>
      </c>
      <c r="C155" s="68" t="s">
        <v>315</v>
      </c>
      <c r="D155" s="13" t="s">
        <v>1406</v>
      </c>
      <c r="E155" s="69">
        <v>300000</v>
      </c>
      <c r="F155" s="69">
        <v>300000</v>
      </c>
      <c r="G155" s="70">
        <v>0</v>
      </c>
    </row>
    <row r="156" spans="1:7" ht="20.100000000000001" customHeight="1" x14ac:dyDescent="0.2">
      <c r="A156" s="25">
        <v>23</v>
      </c>
      <c r="B156" s="16" t="s">
        <v>1386</v>
      </c>
      <c r="C156" s="68" t="s">
        <v>313</v>
      </c>
      <c r="D156" s="13" t="s">
        <v>108</v>
      </c>
      <c r="E156" s="69">
        <v>300000</v>
      </c>
      <c r="F156" s="69">
        <v>300000</v>
      </c>
      <c r="G156" s="70">
        <v>0</v>
      </c>
    </row>
    <row r="157" spans="1:7" ht="20.100000000000001" customHeight="1" x14ac:dyDescent="0.2">
      <c r="A157" s="25">
        <v>24</v>
      </c>
      <c r="B157" s="16" t="s">
        <v>312</v>
      </c>
      <c r="C157" s="68" t="s">
        <v>313</v>
      </c>
      <c r="D157" s="13" t="s">
        <v>108</v>
      </c>
      <c r="E157" s="69">
        <v>300000</v>
      </c>
      <c r="F157" s="69">
        <v>300000</v>
      </c>
      <c r="G157" s="70">
        <v>0</v>
      </c>
    </row>
    <row r="158" spans="1:7" ht="20.100000000000001" customHeight="1" x14ac:dyDescent="0.2">
      <c r="A158" s="25">
        <v>25</v>
      </c>
      <c r="B158" s="16" t="s">
        <v>314</v>
      </c>
      <c r="C158" s="68" t="s">
        <v>315</v>
      </c>
      <c r="D158" s="13" t="s">
        <v>108</v>
      </c>
      <c r="E158" s="69">
        <v>300000</v>
      </c>
      <c r="F158" s="69">
        <v>300000</v>
      </c>
      <c r="G158" s="70">
        <v>0</v>
      </c>
    </row>
    <row r="159" spans="1:7" ht="20.100000000000001" customHeight="1" x14ac:dyDescent="0.2">
      <c r="A159" s="25">
        <v>26</v>
      </c>
      <c r="B159" s="16" t="s">
        <v>316</v>
      </c>
      <c r="C159" s="68" t="s">
        <v>317</v>
      </c>
      <c r="D159" s="13" t="s">
        <v>108</v>
      </c>
      <c r="E159" s="69">
        <v>300000</v>
      </c>
      <c r="F159" s="69">
        <v>300000</v>
      </c>
      <c r="G159" s="70">
        <v>0</v>
      </c>
    </row>
    <row r="160" spans="1:7" ht="20.100000000000001" customHeight="1" x14ac:dyDescent="0.2">
      <c r="A160" s="25">
        <v>27</v>
      </c>
      <c r="B160" s="16" t="s">
        <v>318</v>
      </c>
      <c r="C160" s="68" t="s">
        <v>319</v>
      </c>
      <c r="D160" s="13" t="s">
        <v>108</v>
      </c>
      <c r="E160" s="69">
        <v>300000</v>
      </c>
      <c r="F160" s="69">
        <v>300000</v>
      </c>
      <c r="G160" s="70">
        <v>0</v>
      </c>
    </row>
    <row r="161" spans="1:7" ht="20.100000000000001" customHeight="1" x14ac:dyDescent="0.2">
      <c r="A161" s="25">
        <v>28</v>
      </c>
      <c r="B161" s="9" t="s">
        <v>329</v>
      </c>
      <c r="C161" s="68" t="s">
        <v>330</v>
      </c>
      <c r="D161" s="13" t="s">
        <v>345</v>
      </c>
      <c r="E161" s="69">
        <v>100000</v>
      </c>
      <c r="F161" s="69">
        <v>100000</v>
      </c>
      <c r="G161" s="70">
        <v>0</v>
      </c>
    </row>
    <row r="162" spans="1:7" ht="20.100000000000001" customHeight="1" x14ac:dyDescent="0.2">
      <c r="A162" s="25">
        <v>29</v>
      </c>
      <c r="B162" s="9" t="s">
        <v>332</v>
      </c>
      <c r="C162" s="68" t="s">
        <v>330</v>
      </c>
      <c r="D162" s="13" t="s">
        <v>345</v>
      </c>
      <c r="E162" s="69">
        <v>100000</v>
      </c>
      <c r="F162" s="69">
        <v>100000</v>
      </c>
      <c r="G162" s="70">
        <v>0</v>
      </c>
    </row>
    <row r="163" spans="1:7" ht="20.100000000000001" customHeight="1" x14ac:dyDescent="0.2">
      <c r="A163" s="25">
        <v>30</v>
      </c>
      <c r="B163" s="9" t="s">
        <v>333</v>
      </c>
      <c r="C163" s="68" t="s">
        <v>330</v>
      </c>
      <c r="D163" s="13" t="s">
        <v>345</v>
      </c>
      <c r="E163" s="69">
        <v>100000</v>
      </c>
      <c r="F163" s="69">
        <v>100000</v>
      </c>
      <c r="G163" s="70">
        <v>0</v>
      </c>
    </row>
    <row r="164" spans="1:7" ht="20.100000000000001" customHeight="1" x14ac:dyDescent="0.2">
      <c r="A164" s="25">
        <v>31</v>
      </c>
      <c r="B164" s="9" t="s">
        <v>923</v>
      </c>
      <c r="C164" s="68" t="s">
        <v>330</v>
      </c>
      <c r="D164" s="13" t="s">
        <v>345</v>
      </c>
      <c r="E164" s="69">
        <v>100000</v>
      </c>
      <c r="F164" s="69">
        <v>100000</v>
      </c>
      <c r="G164" s="70">
        <v>0</v>
      </c>
    </row>
    <row r="165" spans="1:7" ht="20.100000000000001" customHeight="1" x14ac:dyDescent="0.2">
      <c r="A165" s="25">
        <v>32</v>
      </c>
      <c r="B165" s="9" t="s">
        <v>921</v>
      </c>
      <c r="C165" s="68" t="s">
        <v>330</v>
      </c>
      <c r="D165" s="13" t="s">
        <v>345</v>
      </c>
      <c r="E165" s="69">
        <v>100000</v>
      </c>
      <c r="F165" s="69">
        <v>100000</v>
      </c>
      <c r="G165" s="70">
        <v>0</v>
      </c>
    </row>
    <row r="166" spans="1:7" ht="20.100000000000001" customHeight="1" x14ac:dyDescent="0.2">
      <c r="A166" s="25">
        <v>33</v>
      </c>
      <c r="B166" s="9" t="s">
        <v>334</v>
      </c>
      <c r="C166" s="68" t="s">
        <v>330</v>
      </c>
      <c r="D166" s="13" t="s">
        <v>345</v>
      </c>
      <c r="E166" s="69">
        <v>100000</v>
      </c>
      <c r="F166" s="69">
        <v>100000</v>
      </c>
      <c r="G166" s="70">
        <v>0</v>
      </c>
    </row>
    <row r="167" spans="1:7" ht="20.100000000000001" customHeight="1" x14ac:dyDescent="0.2">
      <c r="A167" s="25">
        <v>34</v>
      </c>
      <c r="B167" s="9" t="s">
        <v>335</v>
      </c>
      <c r="C167" s="68" t="s">
        <v>330</v>
      </c>
      <c r="D167" s="13" t="s">
        <v>345</v>
      </c>
      <c r="E167" s="69">
        <v>100000</v>
      </c>
      <c r="F167" s="69">
        <v>100000</v>
      </c>
      <c r="G167" s="70">
        <v>0</v>
      </c>
    </row>
    <row r="168" spans="1:7" ht="20.100000000000001" customHeight="1" x14ac:dyDescent="0.2">
      <c r="A168" s="25">
        <v>35</v>
      </c>
      <c r="B168" s="9" t="s">
        <v>336</v>
      </c>
      <c r="C168" s="68" t="s">
        <v>330</v>
      </c>
      <c r="D168" s="13" t="s">
        <v>351</v>
      </c>
      <c r="E168" s="69">
        <v>100000</v>
      </c>
      <c r="F168" s="69">
        <v>100000</v>
      </c>
      <c r="G168" s="70">
        <v>0</v>
      </c>
    </row>
    <row r="169" spans="1:7" ht="20.100000000000001" customHeight="1" x14ac:dyDescent="0.2">
      <c r="A169" s="25">
        <v>36</v>
      </c>
      <c r="B169" s="9" t="s">
        <v>338</v>
      </c>
      <c r="C169" s="68" t="s">
        <v>330</v>
      </c>
      <c r="D169" s="13" t="s">
        <v>351</v>
      </c>
      <c r="E169" s="69">
        <v>100000</v>
      </c>
      <c r="F169" s="69">
        <v>100000</v>
      </c>
      <c r="G169" s="70">
        <v>0</v>
      </c>
    </row>
    <row r="170" spans="1:7" ht="20.100000000000001" customHeight="1" x14ac:dyDescent="0.2">
      <c r="A170" s="25">
        <v>37</v>
      </c>
      <c r="B170" s="9" t="s">
        <v>1365</v>
      </c>
      <c r="C170" s="68" t="s">
        <v>330</v>
      </c>
      <c r="D170" s="13" t="s">
        <v>351</v>
      </c>
      <c r="E170" s="69">
        <v>100000</v>
      </c>
      <c r="F170" s="69">
        <v>100000</v>
      </c>
      <c r="G170" s="70">
        <v>0</v>
      </c>
    </row>
    <row r="171" spans="1:7" ht="20.100000000000001" customHeight="1" x14ac:dyDescent="0.2">
      <c r="A171" s="25">
        <v>38</v>
      </c>
      <c r="B171" s="12" t="s">
        <v>339</v>
      </c>
      <c r="C171" s="68" t="s">
        <v>330</v>
      </c>
      <c r="D171" s="13" t="s">
        <v>351</v>
      </c>
      <c r="E171" s="69">
        <v>100000</v>
      </c>
      <c r="F171" s="69">
        <v>100000</v>
      </c>
      <c r="G171" s="70">
        <v>0</v>
      </c>
    </row>
    <row r="172" spans="1:7" ht="20.100000000000001" customHeight="1" x14ac:dyDescent="0.2">
      <c r="A172" s="25">
        <v>39</v>
      </c>
      <c r="B172" s="9" t="s">
        <v>340</v>
      </c>
      <c r="C172" s="68" t="s">
        <v>330</v>
      </c>
      <c r="D172" s="13" t="s">
        <v>351</v>
      </c>
      <c r="E172" s="69">
        <v>100000</v>
      </c>
      <c r="F172" s="69">
        <v>100000</v>
      </c>
      <c r="G172" s="70">
        <v>0</v>
      </c>
    </row>
    <row r="173" spans="1:7" ht="20.100000000000001" customHeight="1" x14ac:dyDescent="0.2">
      <c r="A173" s="25">
        <v>40</v>
      </c>
      <c r="B173" s="16" t="s">
        <v>341</v>
      </c>
      <c r="C173" s="68" t="s">
        <v>330</v>
      </c>
      <c r="D173" s="13" t="s">
        <v>351</v>
      </c>
      <c r="E173" s="69">
        <v>100000</v>
      </c>
      <c r="F173" s="69">
        <v>100000</v>
      </c>
      <c r="G173" s="70">
        <v>0</v>
      </c>
    </row>
    <row r="174" spans="1:7" ht="20.100000000000001" customHeight="1" x14ac:dyDescent="0.2">
      <c r="A174" s="25">
        <v>41</v>
      </c>
      <c r="B174" s="16" t="s">
        <v>342</v>
      </c>
      <c r="C174" s="68" t="s">
        <v>330</v>
      </c>
      <c r="D174" s="13" t="s">
        <v>351</v>
      </c>
      <c r="E174" s="69">
        <v>100000</v>
      </c>
      <c r="F174" s="69">
        <v>100000</v>
      </c>
      <c r="G174" s="70">
        <v>0</v>
      </c>
    </row>
    <row r="175" spans="1:7" ht="20.100000000000001" customHeight="1" x14ac:dyDescent="0.2">
      <c r="A175" s="25">
        <v>42</v>
      </c>
      <c r="B175" s="9" t="s">
        <v>343</v>
      </c>
      <c r="C175" s="68" t="s">
        <v>350</v>
      </c>
      <c r="D175" s="13" t="s">
        <v>1202</v>
      </c>
      <c r="E175" s="69">
        <v>100000</v>
      </c>
      <c r="F175" s="69">
        <v>100000</v>
      </c>
      <c r="G175" s="70">
        <v>0</v>
      </c>
    </row>
    <row r="176" spans="1:7" ht="20.100000000000001" customHeight="1" x14ac:dyDescent="0.2">
      <c r="A176" s="25">
        <v>43</v>
      </c>
      <c r="B176" s="9" t="s">
        <v>346</v>
      </c>
      <c r="C176" s="68" t="s">
        <v>350</v>
      </c>
      <c r="D176" s="13" t="s">
        <v>1202</v>
      </c>
      <c r="E176" s="69">
        <v>100000</v>
      </c>
      <c r="F176" s="69">
        <v>100000</v>
      </c>
      <c r="G176" s="70">
        <v>0</v>
      </c>
    </row>
    <row r="177" spans="1:7" ht="20.100000000000001" customHeight="1" x14ac:dyDescent="0.2">
      <c r="A177" s="25">
        <v>44</v>
      </c>
      <c r="B177" s="16" t="s">
        <v>347</v>
      </c>
      <c r="C177" s="68" t="s">
        <v>350</v>
      </c>
      <c r="D177" s="13" t="s">
        <v>354</v>
      </c>
      <c r="E177" s="69">
        <v>100000</v>
      </c>
      <c r="F177" s="69">
        <v>100000</v>
      </c>
      <c r="G177" s="70">
        <v>0</v>
      </c>
    </row>
    <row r="178" spans="1:7" ht="20.100000000000001" customHeight="1" x14ac:dyDescent="0.2">
      <c r="A178" s="25">
        <v>45</v>
      </c>
      <c r="B178" s="9" t="s">
        <v>349</v>
      </c>
      <c r="C178" s="68" t="s">
        <v>350</v>
      </c>
      <c r="D178" s="13" t="s">
        <v>376</v>
      </c>
      <c r="E178" s="69">
        <v>100000</v>
      </c>
      <c r="F178" s="69">
        <v>100000</v>
      </c>
      <c r="G178" s="70">
        <v>0</v>
      </c>
    </row>
    <row r="179" spans="1:7" ht="20.100000000000001" customHeight="1" x14ac:dyDescent="0.2">
      <c r="A179" s="25">
        <v>46</v>
      </c>
      <c r="B179" s="9" t="s">
        <v>352</v>
      </c>
      <c r="C179" s="68" t="s">
        <v>353</v>
      </c>
      <c r="D179" s="13" t="s">
        <v>1428</v>
      </c>
      <c r="E179" s="69">
        <v>100000</v>
      </c>
      <c r="F179" s="69">
        <v>100000</v>
      </c>
      <c r="G179" s="70">
        <v>0</v>
      </c>
    </row>
    <row r="180" spans="1:7" ht="20.100000000000001" customHeight="1" x14ac:dyDescent="0.2">
      <c r="A180" s="25">
        <v>47</v>
      </c>
      <c r="B180" s="9" t="s">
        <v>355</v>
      </c>
      <c r="C180" s="68" t="s">
        <v>353</v>
      </c>
      <c r="D180" s="13" t="s">
        <v>1428</v>
      </c>
      <c r="E180" s="69">
        <v>100000</v>
      </c>
      <c r="F180" s="69">
        <v>100000</v>
      </c>
      <c r="G180" s="70">
        <v>0</v>
      </c>
    </row>
    <row r="181" spans="1:7" ht="20.100000000000001" customHeight="1" x14ac:dyDescent="0.2">
      <c r="A181" s="25">
        <v>48</v>
      </c>
      <c r="B181" s="9" t="s">
        <v>356</v>
      </c>
      <c r="C181" s="68" t="s">
        <v>353</v>
      </c>
      <c r="D181" s="13" t="s">
        <v>1428</v>
      </c>
      <c r="E181" s="69">
        <v>100000</v>
      </c>
      <c r="F181" s="69">
        <v>100000</v>
      </c>
      <c r="G181" s="70">
        <v>0</v>
      </c>
    </row>
    <row r="182" spans="1:7" ht="20.100000000000001" customHeight="1" x14ac:dyDescent="0.2">
      <c r="A182" s="25">
        <v>49</v>
      </c>
      <c r="B182" s="9" t="s">
        <v>357</v>
      </c>
      <c r="C182" s="68" t="s">
        <v>353</v>
      </c>
      <c r="D182" s="13" t="s">
        <v>1428</v>
      </c>
      <c r="E182" s="69">
        <v>100000</v>
      </c>
      <c r="F182" s="69">
        <v>100000</v>
      </c>
      <c r="G182" s="70">
        <v>0</v>
      </c>
    </row>
    <row r="183" spans="1:7" ht="20.100000000000001" customHeight="1" x14ac:dyDescent="0.2">
      <c r="A183" s="25">
        <v>50</v>
      </c>
      <c r="B183" s="9" t="s">
        <v>358</v>
      </c>
      <c r="C183" s="68" t="s">
        <v>353</v>
      </c>
      <c r="D183" s="13" t="s">
        <v>1428</v>
      </c>
      <c r="E183" s="69">
        <v>100000</v>
      </c>
      <c r="F183" s="69">
        <v>100000</v>
      </c>
      <c r="G183" s="70">
        <v>0</v>
      </c>
    </row>
    <row r="184" spans="1:7" ht="20.100000000000001" customHeight="1" x14ac:dyDescent="0.2">
      <c r="A184" s="25">
        <v>51</v>
      </c>
      <c r="B184" s="16" t="s">
        <v>359</v>
      </c>
      <c r="C184" s="68" t="s">
        <v>353</v>
      </c>
      <c r="D184" s="13" t="s">
        <v>366</v>
      </c>
      <c r="E184" s="69">
        <v>100000</v>
      </c>
      <c r="F184" s="69">
        <v>100000</v>
      </c>
      <c r="G184" s="70">
        <v>0</v>
      </c>
    </row>
    <row r="185" spans="1:7" ht="20.100000000000001" customHeight="1" x14ac:dyDescent="0.2">
      <c r="A185" s="25">
        <v>52</v>
      </c>
      <c r="B185" s="16" t="s">
        <v>360</v>
      </c>
      <c r="C185" s="68" t="s">
        <v>353</v>
      </c>
      <c r="D185" s="13" t="s">
        <v>366</v>
      </c>
      <c r="E185" s="69">
        <v>100000</v>
      </c>
      <c r="F185" s="69">
        <v>100000</v>
      </c>
      <c r="G185" s="70">
        <v>0</v>
      </c>
    </row>
    <row r="186" spans="1:7" ht="20.100000000000001" customHeight="1" x14ac:dyDescent="0.2">
      <c r="A186" s="25">
        <v>53</v>
      </c>
      <c r="B186" s="9" t="s">
        <v>493</v>
      </c>
      <c r="C186" s="68" t="s">
        <v>350</v>
      </c>
      <c r="D186" s="13" t="s">
        <v>366</v>
      </c>
      <c r="E186" s="69">
        <v>100000</v>
      </c>
      <c r="F186" s="69">
        <v>100000</v>
      </c>
      <c r="G186" s="70">
        <v>0</v>
      </c>
    </row>
    <row r="187" spans="1:7" ht="20.100000000000001" customHeight="1" x14ac:dyDescent="0.2">
      <c r="A187" s="25">
        <v>54</v>
      </c>
      <c r="B187" s="9" t="s">
        <v>361</v>
      </c>
      <c r="C187" s="68" t="s">
        <v>350</v>
      </c>
      <c r="D187" s="13" t="s">
        <v>366</v>
      </c>
      <c r="E187" s="69">
        <v>100000</v>
      </c>
      <c r="F187" s="69">
        <v>100000</v>
      </c>
      <c r="G187" s="70">
        <v>0</v>
      </c>
    </row>
    <row r="188" spans="1:7" ht="20.100000000000001" customHeight="1" x14ac:dyDescent="0.2">
      <c r="A188" s="25">
        <v>55</v>
      </c>
      <c r="B188" s="16" t="s">
        <v>362</v>
      </c>
      <c r="C188" s="68" t="s">
        <v>353</v>
      </c>
      <c r="D188" s="13" t="s">
        <v>567</v>
      </c>
      <c r="E188" s="69">
        <v>100000</v>
      </c>
      <c r="F188" s="69">
        <v>100000</v>
      </c>
      <c r="G188" s="70">
        <v>0</v>
      </c>
    </row>
    <row r="189" spans="1:7" ht="20.100000000000001" customHeight="1" x14ac:dyDescent="0.2">
      <c r="A189" s="25">
        <v>56</v>
      </c>
      <c r="B189" s="16" t="s">
        <v>367</v>
      </c>
      <c r="C189" s="68" t="s">
        <v>353</v>
      </c>
      <c r="D189" s="13" t="s">
        <v>568</v>
      </c>
      <c r="E189" s="69">
        <v>100000</v>
      </c>
      <c r="F189" s="69">
        <v>100000</v>
      </c>
      <c r="G189" s="70">
        <v>0</v>
      </c>
    </row>
    <row r="190" spans="1:7" ht="20.100000000000001" customHeight="1" x14ac:dyDescent="0.5">
      <c r="A190" s="25"/>
      <c r="B190" s="6" t="s">
        <v>111</v>
      </c>
      <c r="C190" s="85" t="s">
        <v>1460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 x14ac:dyDescent="0.2">
      <c r="A191" s="2"/>
      <c r="B191" s="28" t="s">
        <v>379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 x14ac:dyDescent="0.2">
      <c r="B192" s="31"/>
      <c r="C192" s="31"/>
      <c r="D192" s="32"/>
      <c r="E192" s="88"/>
      <c r="F192" s="89"/>
      <c r="G192" s="89"/>
    </row>
    <row r="193" spans="2:5" ht="28.5" customHeight="1" x14ac:dyDescent="0.2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193"/>
  <sheetViews>
    <sheetView view="pageBreakPreview" zoomScaleNormal="100" workbookViewId="0">
      <pane xSplit="2" ySplit="6" topLeftCell="C187" activePane="bottomRight" state="frozen"/>
      <selection pane="bottomLeft"/>
      <selection pane="topRight"/>
      <selection pane="bottomRight" activeCell="K15" sqref="K15"/>
    </sheetView>
  </sheetViews>
  <sheetFormatPr defaultColWidth="9.16796875" defaultRowHeight="20.100000000000001" customHeight="1" x14ac:dyDescent="0.2"/>
  <cols>
    <col min="1" max="1" width="5.390625" style="1" customWidth="1"/>
    <col min="2" max="2" width="43.82421875" style="1" customWidth="1"/>
    <col min="3" max="3" width="32.36328125" style="1" customWidth="1"/>
    <col min="4" max="4" width="9.16796875" style="1" customWidth="1"/>
    <col min="5" max="5" width="13.88671875" style="1" customWidth="1"/>
    <col min="6" max="6" width="14.6953125" style="1" customWidth="1"/>
    <col min="7" max="7" width="14.0234375" style="1" customWidth="1"/>
    <col min="8" max="16384" width="9.16796875" style="1"/>
  </cols>
  <sheetData>
    <row r="1" spans="1:7" ht="27" customHeight="1" x14ac:dyDescent="0.25">
      <c r="A1" s="966" t="s">
        <v>0</v>
      </c>
      <c r="B1" s="966"/>
      <c r="C1" s="966"/>
      <c r="D1" s="966"/>
      <c r="E1" s="966"/>
    </row>
    <row r="2" spans="1:7" ht="33.75" customHeight="1" x14ac:dyDescent="0.3">
      <c r="A2" s="61" t="s">
        <v>1456</v>
      </c>
      <c r="B2" s="62"/>
      <c r="C2" s="62"/>
      <c r="D2" s="61"/>
      <c r="E2" s="63"/>
    </row>
    <row r="3" spans="1:7" ht="9.75" customHeight="1" x14ac:dyDescent="0.2"/>
    <row r="4" spans="1:7" ht="61.5" customHeight="1" x14ac:dyDescent="0.2">
      <c r="A4" s="2"/>
      <c r="B4" s="3" t="s">
        <v>2</v>
      </c>
      <c r="C4" s="4" t="s">
        <v>3</v>
      </c>
      <c r="D4" s="64" t="s">
        <v>4</v>
      </c>
      <c r="E4" s="65" t="s">
        <v>638</v>
      </c>
      <c r="F4" s="65" t="s">
        <v>1189</v>
      </c>
      <c r="G4" s="65" t="s">
        <v>1190</v>
      </c>
    </row>
    <row r="5" spans="1:7" ht="20.100000000000001" customHeight="1" x14ac:dyDescent="0.2">
      <c r="A5" s="7" t="s">
        <v>21</v>
      </c>
      <c r="B5" s="6" t="s">
        <v>22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 x14ac:dyDescent="0.2">
      <c r="A6" s="8">
        <v>1</v>
      </c>
      <c r="B6" s="9" t="s">
        <v>23</v>
      </c>
      <c r="C6" s="68" t="s">
        <v>24</v>
      </c>
      <c r="D6" s="10" t="s">
        <v>25</v>
      </c>
      <c r="E6" s="69">
        <v>2000000</v>
      </c>
      <c r="F6" s="70">
        <v>0</v>
      </c>
      <c r="G6" s="69">
        <v>2000000</v>
      </c>
    </row>
    <row r="7" spans="1:7" ht="20.100000000000001" customHeight="1" x14ac:dyDescent="0.2">
      <c r="A7" s="8">
        <v>2</v>
      </c>
      <c r="B7" s="9" t="s">
        <v>1261</v>
      </c>
      <c r="C7" s="71" t="s">
        <v>1350</v>
      </c>
      <c r="D7" s="8" t="s">
        <v>154</v>
      </c>
      <c r="E7" s="69">
        <v>700000</v>
      </c>
      <c r="F7" s="70">
        <v>0</v>
      </c>
      <c r="G7" s="69">
        <v>700000</v>
      </c>
    </row>
    <row r="8" spans="1:7" ht="20.100000000000001" customHeight="1" x14ac:dyDescent="0.2">
      <c r="A8" s="8">
        <v>3</v>
      </c>
      <c r="B8" s="12" t="s">
        <v>1351</v>
      </c>
      <c r="C8" s="71" t="s">
        <v>1352</v>
      </c>
      <c r="D8" s="8" t="s">
        <v>35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 x14ac:dyDescent="0.2">
      <c r="A9" s="8">
        <v>4</v>
      </c>
      <c r="B9" s="9" t="s">
        <v>26</v>
      </c>
      <c r="C9" s="68" t="s">
        <v>27</v>
      </c>
      <c r="D9" s="8" t="s">
        <v>1400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 x14ac:dyDescent="0.2">
      <c r="A10" s="8">
        <v>5</v>
      </c>
      <c r="B10" s="12" t="s">
        <v>29</v>
      </c>
      <c r="C10" s="71" t="s">
        <v>30</v>
      </c>
      <c r="D10" s="13" t="s">
        <v>192</v>
      </c>
      <c r="E10" s="69">
        <v>700000</v>
      </c>
      <c r="F10" s="70">
        <v>0</v>
      </c>
      <c r="G10" s="69">
        <v>700000</v>
      </c>
    </row>
    <row r="11" spans="1:7" ht="20.100000000000001" customHeight="1" x14ac:dyDescent="0.2">
      <c r="A11" s="8">
        <v>6</v>
      </c>
      <c r="B11" s="12" t="s">
        <v>208</v>
      </c>
      <c r="C11" s="71" t="s">
        <v>1263</v>
      </c>
      <c r="D11" s="14" t="s">
        <v>192</v>
      </c>
      <c r="E11" s="69">
        <v>700000</v>
      </c>
      <c r="F11" s="70">
        <v>0</v>
      </c>
      <c r="G11" s="69">
        <v>700000</v>
      </c>
    </row>
    <row r="12" spans="1:7" ht="20.100000000000001" customHeight="1" x14ac:dyDescent="0.2">
      <c r="A12" s="8">
        <v>7</v>
      </c>
      <c r="B12" s="9" t="s">
        <v>31</v>
      </c>
      <c r="C12" s="72" t="s">
        <v>32</v>
      </c>
      <c r="D12" s="14" t="s">
        <v>192</v>
      </c>
      <c r="E12" s="69">
        <v>700000</v>
      </c>
      <c r="F12" s="70">
        <v>0</v>
      </c>
      <c r="G12" s="69">
        <v>700000</v>
      </c>
    </row>
    <row r="13" spans="1:7" ht="20.100000000000001" customHeight="1" x14ac:dyDescent="0.2">
      <c r="A13" s="8">
        <v>8</v>
      </c>
      <c r="B13" s="12" t="s">
        <v>271</v>
      </c>
      <c r="C13" s="71" t="s">
        <v>529</v>
      </c>
      <c r="D13" s="14" t="s">
        <v>192</v>
      </c>
      <c r="E13" s="69">
        <v>700000</v>
      </c>
      <c r="F13" s="70">
        <v>0</v>
      </c>
      <c r="G13" s="69">
        <v>700000</v>
      </c>
    </row>
    <row r="14" spans="1:7" ht="20.100000000000001" customHeight="1" x14ac:dyDescent="0.2">
      <c r="A14" s="8">
        <v>9</v>
      </c>
      <c r="B14" s="9" t="s">
        <v>33</v>
      </c>
      <c r="C14" s="68" t="s">
        <v>532</v>
      </c>
      <c r="D14" s="13" t="s">
        <v>131</v>
      </c>
      <c r="E14" s="69">
        <v>700000</v>
      </c>
      <c r="F14" s="70">
        <v>0</v>
      </c>
      <c r="G14" s="69">
        <v>700000</v>
      </c>
    </row>
    <row r="15" spans="1:7" ht="20.100000000000001" customHeight="1" x14ac:dyDescent="0.2">
      <c r="A15" s="8">
        <v>10</v>
      </c>
      <c r="B15" s="16" t="s">
        <v>550</v>
      </c>
      <c r="C15" s="68" t="s">
        <v>551</v>
      </c>
      <c r="D15" s="8" t="s">
        <v>1200</v>
      </c>
      <c r="E15" s="69">
        <v>700000</v>
      </c>
      <c r="F15" s="70">
        <v>0</v>
      </c>
      <c r="G15" s="69">
        <v>700000</v>
      </c>
    </row>
    <row r="16" spans="1:7" ht="20.100000000000001" customHeight="1" x14ac:dyDescent="0.2">
      <c r="A16" s="8">
        <v>11</v>
      </c>
      <c r="B16" s="17" t="s">
        <v>1353</v>
      </c>
      <c r="C16" s="71" t="s">
        <v>1354</v>
      </c>
      <c r="D16" s="14" t="s">
        <v>46</v>
      </c>
      <c r="E16" s="69">
        <v>500000</v>
      </c>
      <c r="F16" s="70">
        <v>0</v>
      </c>
      <c r="G16" s="69">
        <v>500000</v>
      </c>
    </row>
    <row r="17" spans="1:7" ht="19.5" customHeight="1" x14ac:dyDescent="0.2">
      <c r="A17" s="8">
        <v>12</v>
      </c>
      <c r="B17" s="12" t="s">
        <v>1264</v>
      </c>
      <c r="C17" s="71" t="s">
        <v>40</v>
      </c>
      <c r="D17" s="8" t="s">
        <v>46</v>
      </c>
      <c r="E17" s="69">
        <v>500000</v>
      </c>
      <c r="F17" s="70">
        <v>0</v>
      </c>
      <c r="G17" s="69">
        <v>500000</v>
      </c>
    </row>
    <row r="18" spans="1:7" ht="19.5" customHeight="1" x14ac:dyDescent="0.2">
      <c r="A18" s="8">
        <v>13</v>
      </c>
      <c r="B18" s="12" t="s">
        <v>1355</v>
      </c>
      <c r="C18" s="71" t="s">
        <v>1356</v>
      </c>
      <c r="D18" s="8" t="s">
        <v>46</v>
      </c>
      <c r="E18" s="69">
        <v>500000</v>
      </c>
      <c r="F18" s="70">
        <v>0</v>
      </c>
      <c r="G18" s="69">
        <v>500000</v>
      </c>
    </row>
    <row r="19" spans="1:7" ht="20.100000000000001" customHeight="1" x14ac:dyDescent="0.2">
      <c r="A19" s="8">
        <v>14</v>
      </c>
      <c r="B19" s="9" t="s">
        <v>39</v>
      </c>
      <c r="C19" s="71" t="s">
        <v>40</v>
      </c>
      <c r="D19" s="13" t="s">
        <v>46</v>
      </c>
      <c r="E19" s="69">
        <v>500000</v>
      </c>
      <c r="F19" s="70">
        <v>0</v>
      </c>
      <c r="G19" s="69">
        <v>500000</v>
      </c>
    </row>
    <row r="20" spans="1:7" ht="20.100000000000001" customHeight="1" x14ac:dyDescent="0.2">
      <c r="A20" s="8">
        <v>15</v>
      </c>
      <c r="B20" s="9" t="s">
        <v>50</v>
      </c>
      <c r="C20" s="68" t="s">
        <v>51</v>
      </c>
      <c r="D20" s="13" t="s">
        <v>200</v>
      </c>
      <c r="E20" s="69">
        <v>500000</v>
      </c>
      <c r="F20" s="69">
        <v>500000</v>
      </c>
      <c r="G20" s="70">
        <v>0</v>
      </c>
    </row>
    <row r="21" spans="1:7" ht="20.100000000000001" customHeight="1" x14ac:dyDescent="0.2">
      <c r="A21" s="8">
        <v>16</v>
      </c>
      <c r="B21" s="16" t="s">
        <v>53</v>
      </c>
      <c r="C21" s="71" t="s">
        <v>54</v>
      </c>
      <c r="D21" s="13" t="s">
        <v>630</v>
      </c>
      <c r="E21" s="69">
        <v>500000</v>
      </c>
      <c r="F21" s="69">
        <v>500000</v>
      </c>
      <c r="G21" s="70">
        <v>0</v>
      </c>
    </row>
    <row r="22" spans="1:7" ht="20.100000000000001" customHeight="1" x14ac:dyDescent="0.2">
      <c r="A22" s="8">
        <v>17</v>
      </c>
      <c r="B22" s="9" t="s">
        <v>177</v>
      </c>
      <c r="C22" s="68" t="s">
        <v>555</v>
      </c>
      <c r="D22" s="13" t="s">
        <v>68</v>
      </c>
      <c r="E22" s="69">
        <v>400000</v>
      </c>
      <c r="F22" s="69">
        <v>400000</v>
      </c>
      <c r="G22" s="70">
        <v>0</v>
      </c>
    </row>
    <row r="23" spans="1:7" ht="18.75" customHeight="1" x14ac:dyDescent="0.2">
      <c r="A23" s="8">
        <v>18</v>
      </c>
      <c r="B23" s="9" t="s">
        <v>63</v>
      </c>
      <c r="C23" s="68" t="s">
        <v>64</v>
      </c>
      <c r="D23" s="13" t="s">
        <v>137</v>
      </c>
      <c r="E23" s="69">
        <v>400000</v>
      </c>
      <c r="F23" s="69">
        <v>400000</v>
      </c>
      <c r="G23" s="70">
        <v>0</v>
      </c>
    </row>
    <row r="24" spans="1:7" ht="18.75" customHeight="1" x14ac:dyDescent="0.2">
      <c r="A24" s="8">
        <v>19</v>
      </c>
      <c r="B24" s="9" t="s">
        <v>236</v>
      </c>
      <c r="C24" s="71" t="s">
        <v>237</v>
      </c>
      <c r="D24" s="13" t="s">
        <v>137</v>
      </c>
      <c r="E24" s="69">
        <v>400000</v>
      </c>
      <c r="F24" s="69">
        <v>400000</v>
      </c>
      <c r="G24" s="70">
        <v>0</v>
      </c>
    </row>
    <row r="25" spans="1:7" ht="18.75" customHeight="1" x14ac:dyDescent="0.2">
      <c r="A25" s="8">
        <v>20</v>
      </c>
      <c r="B25" s="16" t="s">
        <v>288</v>
      </c>
      <c r="C25" s="71" t="s">
        <v>1372</v>
      </c>
      <c r="D25" s="13" t="s">
        <v>119</v>
      </c>
      <c r="E25" s="69">
        <v>300000</v>
      </c>
      <c r="F25" s="69">
        <v>300000</v>
      </c>
      <c r="G25" s="70">
        <v>0</v>
      </c>
    </row>
    <row r="26" spans="1:7" ht="18.75" customHeight="1" x14ac:dyDescent="0.2">
      <c r="A26" s="8">
        <v>21</v>
      </c>
      <c r="B26" s="16" t="s">
        <v>1357</v>
      </c>
      <c r="C26" s="68" t="s">
        <v>101</v>
      </c>
      <c r="D26" s="13" t="s">
        <v>76</v>
      </c>
      <c r="E26" s="69">
        <v>300000</v>
      </c>
      <c r="F26" s="69">
        <v>300000</v>
      </c>
      <c r="G26" s="70">
        <v>0</v>
      </c>
    </row>
    <row r="27" spans="1:7" ht="18.75" customHeight="1" x14ac:dyDescent="0.2">
      <c r="A27" s="8">
        <v>22</v>
      </c>
      <c r="B27" s="2" t="s">
        <v>77</v>
      </c>
      <c r="C27" s="71" t="s">
        <v>78</v>
      </c>
      <c r="D27" s="8" t="s">
        <v>96</v>
      </c>
      <c r="E27" s="69">
        <v>300000</v>
      </c>
      <c r="F27" s="69">
        <v>300000</v>
      </c>
      <c r="G27" s="70">
        <v>0</v>
      </c>
    </row>
    <row r="28" spans="1:7" ht="18.75" customHeight="1" x14ac:dyDescent="0.2">
      <c r="A28" s="8">
        <v>23</v>
      </c>
      <c r="B28" s="16" t="s">
        <v>80</v>
      </c>
      <c r="C28" s="68" t="s">
        <v>78</v>
      </c>
      <c r="D28" s="13" t="s">
        <v>96</v>
      </c>
      <c r="E28" s="69">
        <v>300000</v>
      </c>
      <c r="F28" s="69">
        <v>300000</v>
      </c>
      <c r="G28" s="70">
        <v>0</v>
      </c>
    </row>
    <row r="29" spans="1:7" ht="18.75" customHeight="1" x14ac:dyDescent="0.2">
      <c r="A29" s="8">
        <v>24</v>
      </c>
      <c r="B29" s="9" t="s">
        <v>1265</v>
      </c>
      <c r="C29" s="68" t="s">
        <v>1266</v>
      </c>
      <c r="D29" s="13" t="s">
        <v>96</v>
      </c>
      <c r="E29" s="69">
        <v>300000</v>
      </c>
      <c r="F29" s="69">
        <v>300000</v>
      </c>
      <c r="G29" s="70">
        <v>0</v>
      </c>
    </row>
    <row r="30" spans="1:7" ht="18.75" customHeight="1" x14ac:dyDescent="0.2">
      <c r="A30" s="8">
        <v>25</v>
      </c>
      <c r="B30" s="16" t="s">
        <v>82</v>
      </c>
      <c r="C30" s="68" t="s">
        <v>1213</v>
      </c>
      <c r="D30" s="13" t="s">
        <v>1406</v>
      </c>
      <c r="E30" s="69">
        <v>300000</v>
      </c>
      <c r="F30" s="69">
        <v>300000</v>
      </c>
      <c r="G30" s="70">
        <v>0</v>
      </c>
    </row>
    <row r="31" spans="1:7" ht="18.75" customHeight="1" x14ac:dyDescent="0.2">
      <c r="A31" s="8">
        <v>26</v>
      </c>
      <c r="B31" s="9" t="s">
        <v>219</v>
      </c>
      <c r="C31" s="72" t="s">
        <v>1374</v>
      </c>
      <c r="D31" s="13" t="s">
        <v>102</v>
      </c>
      <c r="E31" s="69">
        <v>300000</v>
      </c>
      <c r="F31" s="69">
        <v>300000</v>
      </c>
      <c r="G31" s="70">
        <v>0</v>
      </c>
    </row>
    <row r="32" spans="1:7" ht="18.75" customHeight="1" x14ac:dyDescent="0.2">
      <c r="A32" s="8">
        <v>27</v>
      </c>
      <c r="B32" s="16" t="s">
        <v>85</v>
      </c>
      <c r="C32" s="71" t="s">
        <v>1267</v>
      </c>
      <c r="D32" s="8" t="s">
        <v>102</v>
      </c>
      <c r="E32" s="69">
        <v>300000</v>
      </c>
      <c r="F32" s="69">
        <v>300000</v>
      </c>
      <c r="G32" s="70">
        <v>0</v>
      </c>
    </row>
    <row r="33" spans="1:7" ht="18.75" customHeight="1" x14ac:dyDescent="0.2">
      <c r="A33" s="8">
        <v>28</v>
      </c>
      <c r="B33" s="16" t="s">
        <v>89</v>
      </c>
      <c r="C33" s="72" t="s">
        <v>90</v>
      </c>
      <c r="D33" s="13" t="s">
        <v>96</v>
      </c>
      <c r="E33" s="69">
        <v>300000</v>
      </c>
      <c r="F33" s="69">
        <v>300000</v>
      </c>
      <c r="G33" s="70">
        <v>0</v>
      </c>
    </row>
    <row r="34" spans="1:7" ht="18.75" customHeight="1" x14ac:dyDescent="0.2">
      <c r="A34" s="8">
        <v>29</v>
      </c>
      <c r="B34" s="16" t="s">
        <v>1457</v>
      </c>
      <c r="C34" s="72" t="s">
        <v>90</v>
      </c>
      <c r="D34" s="13" t="s">
        <v>108</v>
      </c>
      <c r="E34" s="69">
        <v>300000</v>
      </c>
      <c r="F34" s="69">
        <v>300000</v>
      </c>
      <c r="G34" s="70">
        <v>0</v>
      </c>
    </row>
    <row r="35" spans="1:7" ht="18.75" customHeight="1" x14ac:dyDescent="0.2">
      <c r="A35" s="8">
        <v>30</v>
      </c>
      <c r="B35" s="16" t="s">
        <v>92</v>
      </c>
      <c r="C35" s="71" t="s">
        <v>1375</v>
      </c>
      <c r="D35" s="8" t="s">
        <v>108</v>
      </c>
      <c r="E35" s="69">
        <v>300000</v>
      </c>
      <c r="F35" s="69">
        <v>300000</v>
      </c>
      <c r="G35" s="70">
        <v>0</v>
      </c>
    </row>
    <row r="36" spans="1:7" ht="18.75" customHeight="1" x14ac:dyDescent="0.2">
      <c r="A36" s="8">
        <v>31</v>
      </c>
      <c r="B36" s="16" t="s">
        <v>1191</v>
      </c>
      <c r="C36" s="68" t="s">
        <v>101</v>
      </c>
      <c r="D36" s="13" t="s">
        <v>108</v>
      </c>
      <c r="E36" s="69">
        <v>300000</v>
      </c>
      <c r="F36" s="69">
        <v>300000</v>
      </c>
      <c r="G36" s="70">
        <v>0</v>
      </c>
    </row>
    <row r="37" spans="1:7" ht="18.75" customHeight="1" x14ac:dyDescent="0.2">
      <c r="A37" s="8">
        <v>32</v>
      </c>
      <c r="B37" s="16" t="s">
        <v>1358</v>
      </c>
      <c r="C37" s="68" t="s">
        <v>101</v>
      </c>
      <c r="D37" s="13" t="s">
        <v>108</v>
      </c>
      <c r="E37" s="69">
        <v>300000</v>
      </c>
      <c r="F37" s="69">
        <v>300000</v>
      </c>
      <c r="G37" s="70">
        <v>0</v>
      </c>
    </row>
    <row r="38" spans="1:7" ht="26.25" customHeight="1" x14ac:dyDescent="0.2">
      <c r="A38" s="8"/>
      <c r="B38" s="18" t="s">
        <v>111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 x14ac:dyDescent="0.2">
      <c r="A39" s="8"/>
      <c r="B39" s="20"/>
      <c r="C39" s="71"/>
      <c r="D39" s="13"/>
      <c r="E39" s="74"/>
      <c r="F39" s="69"/>
      <c r="G39" s="74"/>
    </row>
    <row r="40" spans="1:7" ht="18.75" customHeight="1" x14ac:dyDescent="0.2">
      <c r="A40" s="8"/>
      <c r="B40" s="18" t="s">
        <v>112</v>
      </c>
      <c r="C40" s="71"/>
      <c r="D40" s="13"/>
      <c r="E40" s="69"/>
      <c r="F40" s="69"/>
      <c r="G40" s="69"/>
    </row>
    <row r="41" spans="1:7" ht="18.75" customHeight="1" x14ac:dyDescent="0.2">
      <c r="A41" s="8">
        <v>1</v>
      </c>
      <c r="B41" s="16" t="s">
        <v>113</v>
      </c>
      <c r="C41" s="71" t="s">
        <v>114</v>
      </c>
      <c r="D41" s="8" t="s">
        <v>210</v>
      </c>
      <c r="E41" s="69">
        <v>1000000</v>
      </c>
      <c r="F41" s="70">
        <v>0</v>
      </c>
      <c r="G41" s="69">
        <v>1000000</v>
      </c>
    </row>
    <row r="42" spans="1:7" ht="18.75" customHeight="1" x14ac:dyDescent="0.2">
      <c r="A42" s="8">
        <v>2</v>
      </c>
      <c r="B42" s="16" t="s">
        <v>116</v>
      </c>
      <c r="C42" s="71" t="s">
        <v>799</v>
      </c>
      <c r="D42" s="8" t="s">
        <v>108</v>
      </c>
      <c r="E42" s="69">
        <v>300000</v>
      </c>
      <c r="F42" s="69">
        <v>300000</v>
      </c>
      <c r="G42" s="70">
        <v>0</v>
      </c>
    </row>
    <row r="43" spans="1:7" ht="19.5" customHeight="1" x14ac:dyDescent="0.2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 x14ac:dyDescent="0.2">
      <c r="A44" s="8"/>
      <c r="B44" s="12"/>
      <c r="C44" s="71"/>
      <c r="D44" s="8"/>
      <c r="E44" s="69"/>
      <c r="F44" s="69"/>
      <c r="G44" s="69"/>
    </row>
    <row r="45" spans="1:7" ht="20.100000000000001" customHeight="1" x14ac:dyDescent="0.2">
      <c r="A45" s="8"/>
      <c r="B45" s="21" t="s">
        <v>125</v>
      </c>
      <c r="C45" s="75"/>
      <c r="D45" s="22"/>
      <c r="E45" s="69"/>
      <c r="F45" s="69"/>
      <c r="G45" s="69"/>
    </row>
    <row r="46" spans="1:7" ht="20.100000000000001" customHeight="1" x14ac:dyDescent="0.2">
      <c r="A46" s="8">
        <v>1</v>
      </c>
      <c r="B46" s="9" t="s">
        <v>536</v>
      </c>
      <c r="C46" s="71" t="s">
        <v>537</v>
      </c>
      <c r="D46" s="8" t="s">
        <v>115</v>
      </c>
      <c r="E46" s="69">
        <v>1000000</v>
      </c>
      <c r="F46" s="70">
        <v>0</v>
      </c>
      <c r="G46" s="69">
        <v>1000000</v>
      </c>
    </row>
    <row r="47" spans="1:7" ht="20.100000000000001" customHeight="1" x14ac:dyDescent="0.2">
      <c r="A47" s="8">
        <v>2</v>
      </c>
      <c r="B47" s="9" t="s">
        <v>538</v>
      </c>
      <c r="C47" s="71" t="s">
        <v>43</v>
      </c>
      <c r="D47" s="8" t="s">
        <v>131</v>
      </c>
      <c r="E47" s="69">
        <v>700000</v>
      </c>
      <c r="F47" s="70">
        <v>0</v>
      </c>
      <c r="G47" s="69">
        <v>700000</v>
      </c>
    </row>
    <row r="48" spans="1:7" ht="20.100000000000001" customHeight="1" x14ac:dyDescent="0.2">
      <c r="A48" s="8">
        <v>3</v>
      </c>
      <c r="B48" s="9" t="s">
        <v>126</v>
      </c>
      <c r="C48" s="71" t="s">
        <v>130</v>
      </c>
      <c r="D48" s="8" t="s">
        <v>131</v>
      </c>
      <c r="E48" s="69">
        <v>700000</v>
      </c>
      <c r="F48" s="70">
        <v>0</v>
      </c>
      <c r="G48" s="69">
        <v>700000</v>
      </c>
    </row>
    <row r="49" spans="1:7" ht="20.100000000000001" customHeight="1" x14ac:dyDescent="0.2">
      <c r="A49" s="8">
        <v>4</v>
      </c>
      <c r="B49" s="9" t="s">
        <v>129</v>
      </c>
      <c r="C49" s="71" t="s">
        <v>130</v>
      </c>
      <c r="D49" s="8" t="s">
        <v>38</v>
      </c>
      <c r="E49" s="69">
        <v>700000</v>
      </c>
      <c r="F49" s="70">
        <v>0</v>
      </c>
      <c r="G49" s="69">
        <v>700000</v>
      </c>
    </row>
    <row r="50" spans="1:7" ht="20.100000000000001" customHeight="1" x14ac:dyDescent="0.2">
      <c r="A50" s="8">
        <v>5</v>
      </c>
      <c r="B50" s="9" t="s">
        <v>132</v>
      </c>
      <c r="C50" s="71" t="s">
        <v>130</v>
      </c>
      <c r="D50" s="8" t="s">
        <v>49</v>
      </c>
      <c r="E50" s="69">
        <v>700000</v>
      </c>
      <c r="F50" s="70">
        <v>0</v>
      </c>
      <c r="G50" s="69">
        <v>700000</v>
      </c>
    </row>
    <row r="51" spans="1:7" ht="20.100000000000001" customHeight="1" x14ac:dyDescent="0.2">
      <c r="A51" s="8">
        <v>6</v>
      </c>
      <c r="B51" s="9" t="s">
        <v>133</v>
      </c>
      <c r="C51" s="71" t="s">
        <v>45</v>
      </c>
      <c r="D51" s="8" t="s">
        <v>46</v>
      </c>
      <c r="E51" s="69">
        <v>500000</v>
      </c>
      <c r="F51" s="70">
        <v>0</v>
      </c>
      <c r="G51" s="69">
        <v>500000</v>
      </c>
    </row>
    <row r="52" spans="1:7" ht="20.100000000000001" customHeight="1" x14ac:dyDescent="0.2">
      <c r="A52" s="8">
        <v>7</v>
      </c>
      <c r="B52" s="12" t="s">
        <v>134</v>
      </c>
      <c r="C52" s="71" t="s">
        <v>156</v>
      </c>
      <c r="D52" s="14" t="s">
        <v>46</v>
      </c>
      <c r="E52" s="69">
        <v>500000</v>
      </c>
      <c r="F52" s="70">
        <v>0</v>
      </c>
      <c r="G52" s="69">
        <v>500000</v>
      </c>
    </row>
    <row r="53" spans="1:7" ht="20.100000000000001" customHeight="1" x14ac:dyDescent="0.2">
      <c r="A53" s="8">
        <v>8</v>
      </c>
      <c r="B53" s="9" t="s">
        <v>1270</v>
      </c>
      <c r="C53" s="71" t="s">
        <v>156</v>
      </c>
      <c r="D53" s="8" t="s">
        <v>197</v>
      </c>
      <c r="E53" s="69">
        <v>500000</v>
      </c>
      <c r="F53" s="70">
        <v>0</v>
      </c>
      <c r="G53" s="69">
        <v>500000</v>
      </c>
    </row>
    <row r="54" spans="1:7" ht="20.100000000000001" customHeight="1" x14ac:dyDescent="0.2">
      <c r="A54" s="8">
        <v>9</v>
      </c>
      <c r="B54" s="9" t="s">
        <v>44</v>
      </c>
      <c r="C54" s="71" t="s">
        <v>552</v>
      </c>
      <c r="D54" s="8" t="s">
        <v>1199</v>
      </c>
      <c r="E54" s="69">
        <v>500000</v>
      </c>
      <c r="F54" s="69">
        <v>500000</v>
      </c>
      <c r="G54" s="70">
        <v>0</v>
      </c>
    </row>
    <row r="55" spans="1:7" ht="20.100000000000001" customHeight="1" x14ac:dyDescent="0.2">
      <c r="A55" s="8">
        <v>10</v>
      </c>
      <c r="B55" s="9" t="s">
        <v>142</v>
      </c>
      <c r="C55" s="71" t="s">
        <v>139</v>
      </c>
      <c r="D55" s="8" t="s">
        <v>96</v>
      </c>
      <c r="E55" s="69">
        <v>300000</v>
      </c>
      <c r="F55" s="69">
        <v>300000</v>
      </c>
      <c r="G55" s="70">
        <v>0</v>
      </c>
    </row>
    <row r="56" spans="1:7" ht="20.100000000000001" customHeight="1" x14ac:dyDescent="0.2">
      <c r="A56" s="8">
        <v>11</v>
      </c>
      <c r="B56" s="9" t="s">
        <v>539</v>
      </c>
      <c r="C56" s="71" t="s">
        <v>139</v>
      </c>
      <c r="D56" s="8" t="s">
        <v>96</v>
      </c>
      <c r="E56" s="69">
        <v>300000</v>
      </c>
      <c r="F56" s="69">
        <v>300000</v>
      </c>
      <c r="G56" s="70">
        <v>0</v>
      </c>
    </row>
    <row r="57" spans="1:7" ht="20.100000000000001" customHeight="1" x14ac:dyDescent="0.2">
      <c r="A57" s="8">
        <v>12</v>
      </c>
      <c r="B57" s="9" t="s">
        <v>143</v>
      </c>
      <c r="C57" s="71" t="s">
        <v>139</v>
      </c>
      <c r="D57" s="8" t="s">
        <v>96</v>
      </c>
      <c r="E57" s="69">
        <v>300000</v>
      </c>
      <c r="F57" s="69">
        <v>300000</v>
      </c>
      <c r="G57" s="70">
        <v>0</v>
      </c>
    </row>
    <row r="58" spans="1:7" ht="25.5" customHeight="1" x14ac:dyDescent="0.5">
      <c r="A58" s="8"/>
      <c r="B58" s="18" t="s">
        <v>111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 x14ac:dyDescent="0.2">
      <c r="A59" s="8"/>
      <c r="B59" s="20"/>
      <c r="C59" s="73"/>
      <c r="D59" s="19"/>
      <c r="E59" s="77"/>
      <c r="F59" s="77"/>
      <c r="G59" s="77"/>
    </row>
    <row r="60" spans="1:7" ht="20.100000000000001" customHeight="1" x14ac:dyDescent="0.2">
      <c r="A60" s="8"/>
      <c r="B60" s="18" t="s">
        <v>145</v>
      </c>
      <c r="C60" s="73"/>
      <c r="D60" s="19"/>
      <c r="E60" s="77"/>
      <c r="F60" s="77"/>
      <c r="G60" s="77"/>
    </row>
    <row r="61" spans="1:7" ht="20.100000000000001" customHeight="1" x14ac:dyDescent="0.2">
      <c r="A61" s="8">
        <v>1</v>
      </c>
      <c r="B61" s="9" t="s">
        <v>540</v>
      </c>
      <c r="C61" s="68" t="s">
        <v>147</v>
      </c>
      <c r="D61" s="13" t="s">
        <v>115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 x14ac:dyDescent="0.5">
      <c r="A62" s="8"/>
      <c r="B62" s="18" t="s">
        <v>111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 x14ac:dyDescent="0.2">
      <c r="A63" s="8"/>
      <c r="B63" s="18"/>
      <c r="C63" s="73"/>
      <c r="D63" s="19"/>
      <c r="E63" s="77"/>
      <c r="F63" s="77"/>
      <c r="G63" s="77"/>
    </row>
    <row r="64" spans="1:7" ht="20.100000000000001" customHeight="1" x14ac:dyDescent="0.2">
      <c r="A64" s="8"/>
      <c r="B64" s="18" t="s">
        <v>151</v>
      </c>
      <c r="C64" s="73"/>
      <c r="D64" s="19"/>
      <c r="E64" s="77"/>
      <c r="F64" s="77"/>
      <c r="G64" s="77"/>
    </row>
    <row r="65" spans="1:7" ht="20.100000000000001" customHeight="1" x14ac:dyDescent="0.2">
      <c r="A65" s="8">
        <v>1</v>
      </c>
      <c r="B65" s="9" t="s">
        <v>541</v>
      </c>
      <c r="C65" s="72" t="s">
        <v>542</v>
      </c>
      <c r="D65" s="8" t="s">
        <v>115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 x14ac:dyDescent="0.2">
      <c r="A66" s="8">
        <v>2</v>
      </c>
      <c r="B66" s="16" t="s">
        <v>543</v>
      </c>
      <c r="C66" s="72" t="s">
        <v>544</v>
      </c>
      <c r="D66" s="13" t="s">
        <v>1200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 x14ac:dyDescent="0.2">
      <c r="A67" s="8">
        <v>3</v>
      </c>
      <c r="B67" s="9" t="s">
        <v>155</v>
      </c>
      <c r="C67" s="71" t="s">
        <v>158</v>
      </c>
      <c r="D67" s="8" t="s">
        <v>1199</v>
      </c>
      <c r="E67" s="69">
        <v>500000</v>
      </c>
      <c r="F67" s="69">
        <v>500000</v>
      </c>
      <c r="G67" s="70">
        <v>0</v>
      </c>
    </row>
    <row r="68" spans="1:7" ht="20.100000000000001" customHeight="1" x14ac:dyDescent="0.2">
      <c r="A68" s="8">
        <v>4</v>
      </c>
      <c r="B68" s="16" t="s">
        <v>545</v>
      </c>
      <c r="C68" s="72" t="s">
        <v>158</v>
      </c>
      <c r="D68" s="13" t="s">
        <v>200</v>
      </c>
      <c r="E68" s="69">
        <v>500000</v>
      </c>
      <c r="F68" s="69">
        <v>500000</v>
      </c>
      <c r="G68" s="70">
        <v>0</v>
      </c>
    </row>
    <row r="69" spans="1:7" ht="20.100000000000001" customHeight="1" x14ac:dyDescent="0.2">
      <c r="A69" s="8">
        <v>5</v>
      </c>
      <c r="B69" s="12" t="s">
        <v>546</v>
      </c>
      <c r="C69" s="72" t="s">
        <v>156</v>
      </c>
      <c r="D69" s="13" t="s">
        <v>46</v>
      </c>
      <c r="E69" s="69">
        <v>500000</v>
      </c>
      <c r="F69" s="70">
        <v>0</v>
      </c>
      <c r="G69" s="69">
        <v>500000</v>
      </c>
    </row>
    <row r="70" spans="1:7" ht="20.100000000000001" customHeight="1" x14ac:dyDescent="0.2">
      <c r="A70" s="8">
        <v>6</v>
      </c>
      <c r="B70" s="9" t="s">
        <v>161</v>
      </c>
      <c r="C70" s="71" t="s">
        <v>139</v>
      </c>
      <c r="D70" s="8" t="s">
        <v>1409</v>
      </c>
      <c r="E70" s="69">
        <v>300000</v>
      </c>
      <c r="F70" s="69">
        <v>300000</v>
      </c>
      <c r="G70" s="70">
        <v>0</v>
      </c>
    </row>
    <row r="71" spans="1:7" ht="20.100000000000001" customHeight="1" x14ac:dyDescent="0.2">
      <c r="A71" s="8">
        <v>7</v>
      </c>
      <c r="B71" s="9" t="s">
        <v>1278</v>
      </c>
      <c r="C71" s="72" t="s">
        <v>70</v>
      </c>
      <c r="D71" s="13" t="s">
        <v>68</v>
      </c>
      <c r="E71" s="69">
        <v>400000</v>
      </c>
      <c r="F71" s="69">
        <v>400000</v>
      </c>
      <c r="G71" s="70">
        <v>0</v>
      </c>
    </row>
    <row r="72" spans="1:7" ht="20.100000000000001" customHeight="1" x14ac:dyDescent="0.2">
      <c r="A72" s="8">
        <v>8</v>
      </c>
      <c r="B72" s="9" t="s">
        <v>163</v>
      </c>
      <c r="C72" s="72" t="s">
        <v>70</v>
      </c>
      <c r="D72" s="13" t="s">
        <v>137</v>
      </c>
      <c r="E72" s="69">
        <v>400000</v>
      </c>
      <c r="F72" s="69">
        <v>400000</v>
      </c>
      <c r="G72" s="70">
        <v>0</v>
      </c>
    </row>
    <row r="73" spans="1:7" ht="20.100000000000001" customHeight="1" x14ac:dyDescent="0.2">
      <c r="A73" s="8">
        <v>9</v>
      </c>
      <c r="B73" s="9" t="s">
        <v>164</v>
      </c>
      <c r="C73" s="72" t="s">
        <v>70</v>
      </c>
      <c r="D73" s="13" t="s">
        <v>137</v>
      </c>
      <c r="E73" s="69">
        <v>400000</v>
      </c>
      <c r="F73" s="69">
        <v>400000</v>
      </c>
      <c r="G73" s="70">
        <v>0</v>
      </c>
    </row>
    <row r="74" spans="1:7" ht="20.100000000000001" customHeight="1" x14ac:dyDescent="0.2">
      <c r="A74" s="8">
        <v>10</v>
      </c>
      <c r="B74" s="9" t="s">
        <v>165</v>
      </c>
      <c r="C74" s="71" t="s">
        <v>166</v>
      </c>
      <c r="D74" s="8" t="s">
        <v>137</v>
      </c>
      <c r="E74" s="69">
        <v>400000</v>
      </c>
      <c r="F74" s="69">
        <v>400000</v>
      </c>
      <c r="G74" s="70">
        <v>0</v>
      </c>
    </row>
    <row r="75" spans="1:7" ht="20.100000000000001" customHeight="1" x14ac:dyDescent="0.2">
      <c r="A75" s="8">
        <v>11</v>
      </c>
      <c r="B75" s="9" t="s">
        <v>1359</v>
      </c>
      <c r="C75" s="72" t="s">
        <v>139</v>
      </c>
      <c r="D75" s="8" t="s">
        <v>73</v>
      </c>
      <c r="E75" s="69">
        <v>300000</v>
      </c>
      <c r="F75" s="69">
        <v>300000</v>
      </c>
      <c r="G75" s="70">
        <v>0</v>
      </c>
    </row>
    <row r="76" spans="1:7" ht="20.100000000000001" customHeight="1" x14ac:dyDescent="0.2">
      <c r="A76" s="8">
        <v>12</v>
      </c>
      <c r="B76" s="9" t="s">
        <v>81</v>
      </c>
      <c r="C76" s="72" t="s">
        <v>67</v>
      </c>
      <c r="D76" s="8" t="s">
        <v>96</v>
      </c>
      <c r="E76" s="69">
        <v>300000</v>
      </c>
      <c r="F76" s="69">
        <v>300000</v>
      </c>
      <c r="G76" s="70">
        <v>0</v>
      </c>
    </row>
    <row r="77" spans="1:7" ht="20.100000000000001" customHeight="1" x14ac:dyDescent="0.2">
      <c r="A77" s="8">
        <v>13</v>
      </c>
      <c r="B77" s="12" t="s">
        <v>66</v>
      </c>
      <c r="C77" s="72" t="s">
        <v>67</v>
      </c>
      <c r="D77" s="8" t="s">
        <v>108</v>
      </c>
      <c r="E77" s="69">
        <v>300000</v>
      </c>
      <c r="F77" s="69">
        <v>300000</v>
      </c>
      <c r="G77" s="70">
        <v>0</v>
      </c>
    </row>
    <row r="78" spans="1:7" ht="20.100000000000001" customHeight="1" x14ac:dyDescent="0.5">
      <c r="A78" s="8"/>
      <c r="B78" s="18" t="s">
        <v>111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 x14ac:dyDescent="0.2">
      <c r="A79" s="8"/>
      <c r="B79" s="20"/>
      <c r="C79" s="73"/>
      <c r="D79" s="19"/>
      <c r="E79" s="77"/>
      <c r="F79" s="77"/>
      <c r="G79" s="77"/>
    </row>
    <row r="80" spans="1:7" ht="20.100000000000001" customHeight="1" x14ac:dyDescent="0.2">
      <c r="A80" s="8"/>
      <c r="B80" s="18" t="s">
        <v>169</v>
      </c>
      <c r="C80" s="73"/>
      <c r="D80" s="19"/>
      <c r="E80" s="77"/>
      <c r="F80" s="77"/>
      <c r="G80" s="77"/>
    </row>
    <row r="81" spans="1:7" ht="20.100000000000001" customHeight="1" x14ac:dyDescent="0.2">
      <c r="A81" s="8">
        <v>1</v>
      </c>
      <c r="B81" s="9" t="s">
        <v>170</v>
      </c>
      <c r="C81" s="71" t="s">
        <v>171</v>
      </c>
      <c r="D81" s="8" t="s">
        <v>115</v>
      </c>
      <c r="E81" s="69">
        <v>1000000</v>
      </c>
      <c r="F81" s="70">
        <v>0</v>
      </c>
      <c r="G81" s="69">
        <v>1000000</v>
      </c>
    </row>
    <row r="82" spans="1:7" ht="20.100000000000001" customHeight="1" x14ac:dyDescent="0.2">
      <c r="A82" s="8">
        <v>2</v>
      </c>
      <c r="B82" s="12" t="s">
        <v>547</v>
      </c>
      <c r="C82" s="71" t="s">
        <v>548</v>
      </c>
      <c r="D82" s="13" t="s">
        <v>1200</v>
      </c>
      <c r="E82" s="69">
        <v>700000</v>
      </c>
      <c r="F82" s="70">
        <v>0</v>
      </c>
      <c r="G82" s="69">
        <v>700000</v>
      </c>
    </row>
    <row r="83" spans="1:7" ht="20.100000000000001" customHeight="1" x14ac:dyDescent="0.2">
      <c r="A83" s="8">
        <v>3</v>
      </c>
      <c r="B83" s="12" t="s">
        <v>1360</v>
      </c>
      <c r="C83" s="71" t="s">
        <v>1361</v>
      </c>
      <c r="D83" s="13" t="s">
        <v>1200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 x14ac:dyDescent="0.2">
      <c r="A84" s="8">
        <v>4</v>
      </c>
      <c r="B84" s="9" t="s">
        <v>174</v>
      </c>
      <c r="C84" s="71" t="s">
        <v>1214</v>
      </c>
      <c r="D84" s="13" t="s">
        <v>1199</v>
      </c>
      <c r="E84" s="69">
        <v>500000</v>
      </c>
      <c r="F84" s="69">
        <v>500000</v>
      </c>
      <c r="G84" s="70">
        <v>0</v>
      </c>
    </row>
    <row r="85" spans="1:7" ht="20.100000000000001" customHeight="1" x14ac:dyDescent="0.2">
      <c r="A85" s="8">
        <v>5</v>
      </c>
      <c r="B85" s="9" t="s">
        <v>181</v>
      </c>
      <c r="C85" s="71" t="s">
        <v>184</v>
      </c>
      <c r="D85" s="8" t="s">
        <v>73</v>
      </c>
      <c r="E85" s="69">
        <v>300000</v>
      </c>
      <c r="F85" s="69">
        <v>300000</v>
      </c>
      <c r="G85" s="70">
        <v>0</v>
      </c>
    </row>
    <row r="86" spans="1:7" ht="20.100000000000001" customHeight="1" x14ac:dyDescent="0.5">
      <c r="A86" s="8"/>
      <c r="B86" s="18" t="s">
        <v>111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 x14ac:dyDescent="0.2">
      <c r="A87" s="8"/>
      <c r="B87" s="18"/>
      <c r="C87" s="73"/>
      <c r="D87" s="19"/>
      <c r="E87" s="69"/>
      <c r="F87" s="69"/>
      <c r="G87" s="69"/>
    </row>
    <row r="88" spans="1:7" ht="20.100000000000001" customHeight="1" x14ac:dyDescent="0.2">
      <c r="A88" s="8"/>
      <c r="B88" s="18" t="s">
        <v>187</v>
      </c>
      <c r="C88" s="79"/>
      <c r="D88" s="19"/>
      <c r="E88" s="69"/>
      <c r="F88" s="69"/>
      <c r="G88" s="69"/>
    </row>
    <row r="89" spans="1:7" ht="20.100000000000001" customHeight="1" x14ac:dyDescent="0.2">
      <c r="A89" s="8">
        <v>1</v>
      </c>
      <c r="B89" s="9" t="s">
        <v>1412</v>
      </c>
      <c r="C89" s="71" t="s">
        <v>1378</v>
      </c>
      <c r="D89" s="8" t="s">
        <v>35</v>
      </c>
      <c r="E89" s="69">
        <v>700000</v>
      </c>
      <c r="F89" s="70">
        <v>0</v>
      </c>
      <c r="G89" s="69">
        <v>700000</v>
      </c>
    </row>
    <row r="90" spans="1:7" ht="20.100000000000001" customHeight="1" x14ac:dyDescent="0.2">
      <c r="A90" s="8">
        <v>2</v>
      </c>
      <c r="B90" s="9" t="s">
        <v>190</v>
      </c>
      <c r="C90" s="71" t="s">
        <v>130</v>
      </c>
      <c r="D90" s="8" t="s">
        <v>131</v>
      </c>
      <c r="E90" s="69">
        <v>700000</v>
      </c>
      <c r="F90" s="70">
        <v>0</v>
      </c>
      <c r="G90" s="69">
        <v>700000</v>
      </c>
    </row>
    <row r="91" spans="1:7" ht="20.100000000000001" customHeight="1" x14ac:dyDescent="0.2">
      <c r="A91" s="8">
        <v>3</v>
      </c>
      <c r="B91" s="9" t="s">
        <v>188</v>
      </c>
      <c r="C91" s="71" t="s">
        <v>130</v>
      </c>
      <c r="D91" s="8" t="s">
        <v>131</v>
      </c>
      <c r="E91" s="69">
        <v>700000</v>
      </c>
      <c r="F91" s="70">
        <v>0</v>
      </c>
      <c r="G91" s="69">
        <v>700000</v>
      </c>
    </row>
    <row r="92" spans="1:7" ht="20.100000000000001" customHeight="1" x14ac:dyDescent="0.2">
      <c r="A92" s="8">
        <v>4</v>
      </c>
      <c r="B92" s="12" t="s">
        <v>152</v>
      </c>
      <c r="C92" s="71" t="s">
        <v>156</v>
      </c>
      <c r="D92" s="8" t="s">
        <v>176</v>
      </c>
      <c r="E92" s="69">
        <v>500000</v>
      </c>
      <c r="F92" s="70">
        <v>0</v>
      </c>
      <c r="G92" s="69">
        <v>500000</v>
      </c>
    </row>
    <row r="93" spans="1:7" ht="20.100000000000001" customHeight="1" x14ac:dyDescent="0.2">
      <c r="A93" s="8">
        <v>5</v>
      </c>
      <c r="B93" s="9" t="s">
        <v>193</v>
      </c>
      <c r="C93" s="71" t="s">
        <v>45</v>
      </c>
      <c r="D93" s="8" t="s">
        <v>46</v>
      </c>
      <c r="E93" s="69">
        <v>500000</v>
      </c>
      <c r="F93" s="70">
        <v>0</v>
      </c>
      <c r="G93" s="69">
        <v>500000</v>
      </c>
    </row>
    <row r="94" spans="1:7" ht="21.6" customHeight="1" x14ac:dyDescent="0.2">
      <c r="A94" s="8">
        <v>6</v>
      </c>
      <c r="B94" s="9" t="s">
        <v>194</v>
      </c>
      <c r="C94" s="71" t="s">
        <v>552</v>
      </c>
      <c r="D94" s="13" t="s">
        <v>1199</v>
      </c>
      <c r="E94" s="69">
        <v>500000</v>
      </c>
      <c r="F94" s="69">
        <v>500000</v>
      </c>
      <c r="G94" s="70">
        <v>0</v>
      </c>
    </row>
    <row r="95" spans="1:7" ht="21.6" customHeight="1" x14ac:dyDescent="0.2">
      <c r="A95" s="8">
        <v>7</v>
      </c>
      <c r="B95" s="9" t="s">
        <v>195</v>
      </c>
      <c r="C95" s="68" t="s">
        <v>158</v>
      </c>
      <c r="D95" s="13" t="s">
        <v>200</v>
      </c>
      <c r="E95" s="69">
        <v>500000</v>
      </c>
      <c r="F95" s="69">
        <v>500000</v>
      </c>
      <c r="G95" s="70">
        <v>0</v>
      </c>
    </row>
    <row r="96" spans="1:7" ht="21.6" customHeight="1" x14ac:dyDescent="0.2">
      <c r="A96" s="8">
        <v>8</v>
      </c>
      <c r="B96" s="9" t="s">
        <v>196</v>
      </c>
      <c r="C96" s="68" t="s">
        <v>158</v>
      </c>
      <c r="D96" s="13" t="s">
        <v>200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 x14ac:dyDescent="0.2">
      <c r="A97" s="8">
        <v>9</v>
      </c>
      <c r="B97" s="9" t="s">
        <v>198</v>
      </c>
      <c r="C97" s="72" t="s">
        <v>70</v>
      </c>
      <c r="D97" s="13" t="s">
        <v>137</v>
      </c>
      <c r="E97" s="69">
        <v>400000</v>
      </c>
      <c r="F97" s="69">
        <v>400000</v>
      </c>
      <c r="G97" s="70">
        <v>0</v>
      </c>
    </row>
    <row r="98" spans="1:7" ht="21.6" customHeight="1" x14ac:dyDescent="0.2">
      <c r="A98" s="8">
        <v>10</v>
      </c>
      <c r="B98" s="9" t="s">
        <v>202</v>
      </c>
      <c r="C98" s="71" t="s">
        <v>203</v>
      </c>
      <c r="D98" s="8" t="s">
        <v>73</v>
      </c>
      <c r="E98" s="69">
        <v>300000</v>
      </c>
      <c r="F98" s="69">
        <v>300000</v>
      </c>
      <c r="G98" s="70">
        <v>0</v>
      </c>
    </row>
    <row r="99" spans="1:7" ht="21.6" customHeight="1" x14ac:dyDescent="0.2">
      <c r="A99" s="8">
        <v>11</v>
      </c>
      <c r="B99" s="9" t="s">
        <v>204</v>
      </c>
      <c r="C99" s="72" t="s">
        <v>205</v>
      </c>
      <c r="D99" s="13" t="s">
        <v>108</v>
      </c>
      <c r="E99" s="69">
        <v>300000</v>
      </c>
      <c r="F99" s="69">
        <v>300000</v>
      </c>
      <c r="G99" s="70">
        <v>0</v>
      </c>
    </row>
    <row r="100" spans="1:7" ht="20.100000000000001" customHeight="1" x14ac:dyDescent="0.5">
      <c r="A100" s="8"/>
      <c r="B100" s="18" t="s">
        <v>111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 x14ac:dyDescent="0.2">
      <c r="A101" s="8"/>
      <c r="B101" s="20"/>
      <c r="C101" s="73"/>
      <c r="D101" s="19"/>
      <c r="E101" s="77"/>
      <c r="F101" s="77"/>
      <c r="G101" s="77"/>
    </row>
    <row r="102" spans="1:7" ht="20.100000000000001" customHeight="1" x14ac:dyDescent="0.2">
      <c r="A102" s="8"/>
      <c r="B102" s="18" t="s">
        <v>1458</v>
      </c>
      <c r="C102" s="73"/>
      <c r="D102" s="19"/>
      <c r="E102" s="77"/>
      <c r="F102" s="77"/>
      <c r="G102" s="77"/>
    </row>
    <row r="103" spans="1:7" ht="20.100000000000001" customHeight="1" x14ac:dyDescent="0.2">
      <c r="A103" s="8">
        <v>1</v>
      </c>
      <c r="B103" s="16" t="s">
        <v>530</v>
      </c>
      <c r="C103" s="80" t="s">
        <v>531</v>
      </c>
      <c r="D103" s="13" t="s">
        <v>35</v>
      </c>
      <c r="E103" s="69">
        <v>700000</v>
      </c>
      <c r="F103" s="70">
        <v>0</v>
      </c>
      <c r="G103" s="69">
        <v>700000</v>
      </c>
    </row>
    <row r="104" spans="1:7" ht="20.100000000000001" customHeight="1" x14ac:dyDescent="0.2">
      <c r="A104" s="8">
        <v>2</v>
      </c>
      <c r="B104" s="9" t="s">
        <v>36</v>
      </c>
      <c r="C104" s="71" t="s">
        <v>212</v>
      </c>
      <c r="D104" s="8" t="s">
        <v>46</v>
      </c>
      <c r="E104" s="69">
        <v>500000</v>
      </c>
      <c r="F104" s="70">
        <v>0</v>
      </c>
      <c r="G104" s="69">
        <v>500000</v>
      </c>
    </row>
    <row r="105" spans="1:7" ht="20.100000000000001" customHeight="1" x14ac:dyDescent="0.2">
      <c r="A105" s="8">
        <v>3</v>
      </c>
      <c r="B105" s="16" t="s">
        <v>1379</v>
      </c>
      <c r="C105" s="71" t="s">
        <v>1380</v>
      </c>
      <c r="D105" s="13" t="s">
        <v>200</v>
      </c>
      <c r="E105" s="69">
        <v>500000</v>
      </c>
      <c r="F105" s="69">
        <v>500000</v>
      </c>
      <c r="G105" s="70">
        <v>0</v>
      </c>
    </row>
    <row r="106" spans="1:7" ht="20.100000000000001" customHeight="1" x14ac:dyDescent="0.2">
      <c r="A106" s="8">
        <v>4</v>
      </c>
      <c r="B106" s="9" t="s">
        <v>217</v>
      </c>
      <c r="C106" s="71" t="s">
        <v>218</v>
      </c>
      <c r="D106" s="13" t="s">
        <v>137</v>
      </c>
      <c r="E106" s="69">
        <v>400000</v>
      </c>
      <c r="F106" s="69">
        <v>400000</v>
      </c>
      <c r="G106" s="70">
        <v>0</v>
      </c>
    </row>
    <row r="107" spans="1:7" ht="20.100000000000001" customHeight="1" x14ac:dyDescent="0.5">
      <c r="A107" s="2"/>
      <c r="B107" s="18" t="s">
        <v>111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 x14ac:dyDescent="0.2">
      <c r="A108" s="2"/>
      <c r="B108" s="20"/>
      <c r="C108" s="73"/>
      <c r="D108" s="24"/>
      <c r="E108" s="77"/>
      <c r="F108" s="77"/>
      <c r="G108" s="77"/>
    </row>
    <row r="109" spans="1:7" ht="20.100000000000001" customHeight="1" x14ac:dyDescent="0.2">
      <c r="A109" s="2"/>
      <c r="B109" s="18" t="s">
        <v>221</v>
      </c>
      <c r="C109" s="71"/>
      <c r="D109" s="2"/>
      <c r="E109" s="81"/>
      <c r="F109" s="81"/>
      <c r="G109" s="81"/>
    </row>
    <row r="110" spans="1:7" ht="20.100000000000001" customHeight="1" x14ac:dyDescent="0.2">
      <c r="A110" s="2">
        <v>1</v>
      </c>
      <c r="B110" s="9" t="s">
        <v>222</v>
      </c>
      <c r="C110" s="68" t="s">
        <v>223</v>
      </c>
      <c r="D110" s="13" t="s">
        <v>115</v>
      </c>
      <c r="E110" s="69">
        <v>1000000</v>
      </c>
      <c r="F110" s="70">
        <v>0</v>
      </c>
      <c r="G110" s="69">
        <v>1000000</v>
      </c>
    </row>
    <row r="111" spans="1:7" ht="20.100000000000001" customHeight="1" x14ac:dyDescent="0.2">
      <c r="A111" s="2">
        <v>2</v>
      </c>
      <c r="B111" s="9" t="s">
        <v>224</v>
      </c>
      <c r="C111" s="71" t="s">
        <v>225</v>
      </c>
      <c r="D111" s="14" t="s">
        <v>192</v>
      </c>
      <c r="E111" s="69">
        <v>700000</v>
      </c>
      <c r="F111" s="70">
        <v>0</v>
      </c>
      <c r="G111" s="69">
        <v>700000</v>
      </c>
    </row>
    <row r="112" spans="1:7" ht="20.100000000000001" customHeight="1" x14ac:dyDescent="0.2">
      <c r="A112" s="2">
        <v>3</v>
      </c>
      <c r="B112" s="9" t="s">
        <v>226</v>
      </c>
      <c r="C112" s="71" t="s">
        <v>227</v>
      </c>
      <c r="D112" s="8" t="s">
        <v>52</v>
      </c>
      <c r="E112" s="69">
        <v>500000</v>
      </c>
      <c r="F112" s="69">
        <v>500000</v>
      </c>
      <c r="G112" s="70">
        <v>0</v>
      </c>
    </row>
    <row r="113" spans="1:7" ht="20.100000000000001" customHeight="1" x14ac:dyDescent="0.2">
      <c r="A113" s="2">
        <v>4</v>
      </c>
      <c r="B113" s="9" t="s">
        <v>228</v>
      </c>
      <c r="C113" s="71" t="s">
        <v>227</v>
      </c>
      <c r="D113" s="8" t="s">
        <v>534</v>
      </c>
      <c r="E113" s="69">
        <v>500000</v>
      </c>
      <c r="F113" s="69">
        <v>500000</v>
      </c>
      <c r="G113" s="70">
        <v>0</v>
      </c>
    </row>
    <row r="114" spans="1:7" ht="20.100000000000001" customHeight="1" x14ac:dyDescent="0.2">
      <c r="A114" s="2">
        <v>5</v>
      </c>
      <c r="B114" s="9" t="s">
        <v>230</v>
      </c>
      <c r="C114" s="71" t="s">
        <v>231</v>
      </c>
      <c r="D114" s="13" t="s">
        <v>206</v>
      </c>
      <c r="E114" s="69">
        <v>300000</v>
      </c>
      <c r="F114" s="69">
        <v>300000</v>
      </c>
      <c r="G114" s="70">
        <v>0</v>
      </c>
    </row>
    <row r="115" spans="1:7" ht="20.100000000000001" customHeight="1" x14ac:dyDescent="0.2">
      <c r="A115" s="2">
        <v>6</v>
      </c>
      <c r="B115" s="16" t="s">
        <v>233</v>
      </c>
      <c r="C115" s="71" t="s">
        <v>231</v>
      </c>
      <c r="D115" s="8" t="s">
        <v>102</v>
      </c>
      <c r="E115" s="69">
        <v>300000</v>
      </c>
      <c r="F115" s="69">
        <v>300000</v>
      </c>
      <c r="G115" s="70">
        <v>0</v>
      </c>
    </row>
    <row r="116" spans="1:7" ht="20.100000000000001" customHeight="1" x14ac:dyDescent="0.2">
      <c r="A116" s="2">
        <v>7</v>
      </c>
      <c r="B116" s="16" t="s">
        <v>234</v>
      </c>
      <c r="C116" s="71" t="s">
        <v>231</v>
      </c>
      <c r="D116" s="13" t="s">
        <v>108</v>
      </c>
      <c r="E116" s="69">
        <v>300000</v>
      </c>
      <c r="F116" s="69">
        <v>300000</v>
      </c>
      <c r="G116" s="70">
        <v>0</v>
      </c>
    </row>
    <row r="117" spans="1:7" ht="20.100000000000001" customHeight="1" x14ac:dyDescent="0.5">
      <c r="A117" s="2"/>
      <c r="B117" s="18" t="s">
        <v>111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 x14ac:dyDescent="0.2">
      <c r="A118" s="2"/>
      <c r="B118" s="20"/>
      <c r="C118" s="80"/>
      <c r="D118" s="2"/>
      <c r="E118" s="83"/>
      <c r="F118" s="83"/>
      <c r="G118" s="83"/>
    </row>
    <row r="119" spans="1:7" ht="20.100000000000001" customHeight="1" x14ac:dyDescent="0.2">
      <c r="A119" s="2"/>
      <c r="B119" s="18" t="s">
        <v>250</v>
      </c>
      <c r="C119" s="73"/>
      <c r="D119" s="19"/>
      <c r="E119" s="69"/>
      <c r="F119" s="69"/>
      <c r="G119" s="69"/>
    </row>
    <row r="120" spans="1:7" ht="20.100000000000001" customHeight="1" x14ac:dyDescent="0.2">
      <c r="A120" s="2">
        <v>1</v>
      </c>
      <c r="B120" s="9" t="s">
        <v>251</v>
      </c>
      <c r="C120" s="68" t="s">
        <v>252</v>
      </c>
      <c r="D120" s="13" t="s">
        <v>115</v>
      </c>
      <c r="E120" s="69">
        <v>1000000</v>
      </c>
      <c r="F120" s="70">
        <v>0</v>
      </c>
      <c r="G120" s="69">
        <v>1000000</v>
      </c>
    </row>
    <row r="121" spans="1:7" ht="20.100000000000001" customHeight="1" x14ac:dyDescent="0.2">
      <c r="A121" s="2">
        <v>2</v>
      </c>
      <c r="B121" s="9" t="s">
        <v>1382</v>
      </c>
      <c r="C121" s="68" t="s">
        <v>1383</v>
      </c>
      <c r="D121" s="13" t="s">
        <v>154</v>
      </c>
      <c r="E121" s="69">
        <v>700000</v>
      </c>
      <c r="F121" s="70">
        <v>0</v>
      </c>
      <c r="G121" s="69">
        <v>700000</v>
      </c>
    </row>
    <row r="122" spans="1:7" ht="20.100000000000001" customHeight="1" x14ac:dyDescent="0.2">
      <c r="A122" s="2">
        <v>3</v>
      </c>
      <c r="B122" s="9" t="s">
        <v>253</v>
      </c>
      <c r="C122" s="68" t="s">
        <v>256</v>
      </c>
      <c r="D122" s="13" t="s">
        <v>131</v>
      </c>
      <c r="E122" s="69">
        <v>700000</v>
      </c>
      <c r="F122" s="70">
        <v>0</v>
      </c>
      <c r="G122" s="69">
        <v>700000</v>
      </c>
    </row>
    <row r="123" spans="1:7" ht="20.100000000000001" customHeight="1" x14ac:dyDescent="0.2">
      <c r="A123" s="2">
        <v>4</v>
      </c>
      <c r="B123" s="12" t="s">
        <v>255</v>
      </c>
      <c r="C123" s="68" t="s">
        <v>256</v>
      </c>
      <c r="D123" s="13" t="s">
        <v>131</v>
      </c>
      <c r="E123" s="69">
        <v>700000</v>
      </c>
      <c r="F123" s="70">
        <v>0</v>
      </c>
      <c r="G123" s="69">
        <v>700000</v>
      </c>
    </row>
    <row r="124" spans="1:7" ht="20.100000000000001" customHeight="1" x14ac:dyDescent="0.2">
      <c r="A124" s="2">
        <v>5</v>
      </c>
      <c r="B124" s="12" t="s">
        <v>556</v>
      </c>
      <c r="C124" s="68" t="s">
        <v>256</v>
      </c>
      <c r="D124" s="13" t="s">
        <v>49</v>
      </c>
      <c r="E124" s="69">
        <v>700000</v>
      </c>
      <c r="F124" s="70">
        <v>0</v>
      </c>
      <c r="G124" s="69">
        <v>700000</v>
      </c>
    </row>
    <row r="125" spans="1:7" ht="20.100000000000001" customHeight="1" x14ac:dyDescent="0.2">
      <c r="A125" s="2">
        <v>6</v>
      </c>
      <c r="B125" s="9" t="s">
        <v>257</v>
      </c>
      <c r="C125" s="68" t="s">
        <v>258</v>
      </c>
      <c r="D125" s="13" t="s">
        <v>197</v>
      </c>
      <c r="E125" s="69">
        <v>500000</v>
      </c>
      <c r="F125" s="70">
        <v>0</v>
      </c>
      <c r="G125" s="69">
        <v>500000</v>
      </c>
    </row>
    <row r="126" spans="1:7" ht="20.100000000000001" customHeight="1" x14ac:dyDescent="0.2">
      <c r="A126" s="2">
        <v>7</v>
      </c>
      <c r="B126" s="9" t="s">
        <v>259</v>
      </c>
      <c r="C126" s="68" t="s">
        <v>489</v>
      </c>
      <c r="D126" s="13" t="s">
        <v>1199</v>
      </c>
      <c r="E126" s="69">
        <v>500000</v>
      </c>
      <c r="F126" s="69">
        <v>500000</v>
      </c>
      <c r="G126" s="70">
        <v>0</v>
      </c>
    </row>
    <row r="127" spans="1:7" ht="20.100000000000001" customHeight="1" x14ac:dyDescent="0.2">
      <c r="A127" s="2">
        <v>8</v>
      </c>
      <c r="B127" s="9" t="s">
        <v>260</v>
      </c>
      <c r="C127" s="68" t="s">
        <v>1216</v>
      </c>
      <c r="D127" s="13" t="s">
        <v>1199</v>
      </c>
      <c r="E127" s="69">
        <v>500000</v>
      </c>
      <c r="F127" s="69">
        <v>500000</v>
      </c>
      <c r="G127" s="70">
        <v>0</v>
      </c>
    </row>
    <row r="128" spans="1:7" ht="20.100000000000001" customHeight="1" x14ac:dyDescent="0.2">
      <c r="A128" s="2">
        <v>9</v>
      </c>
      <c r="B128" s="16" t="s">
        <v>1384</v>
      </c>
      <c r="C128" s="68" t="s">
        <v>1385</v>
      </c>
      <c r="D128" s="13" t="s">
        <v>58</v>
      </c>
      <c r="E128" s="69">
        <v>500000</v>
      </c>
      <c r="F128" s="69">
        <v>500000</v>
      </c>
      <c r="G128" s="70">
        <v>0</v>
      </c>
    </row>
    <row r="129" spans="1:7" ht="20.100000000000001" customHeight="1" x14ac:dyDescent="0.2">
      <c r="A129" s="2">
        <v>10</v>
      </c>
      <c r="B129" s="9" t="s">
        <v>263</v>
      </c>
      <c r="C129" s="68" t="s">
        <v>264</v>
      </c>
      <c r="D129" s="8" t="s">
        <v>96</v>
      </c>
      <c r="E129" s="69">
        <v>300000</v>
      </c>
      <c r="F129" s="69">
        <v>300000</v>
      </c>
      <c r="G129" s="70">
        <v>0</v>
      </c>
    </row>
    <row r="130" spans="1:7" ht="20.100000000000001" customHeight="1" x14ac:dyDescent="0.2">
      <c r="A130" s="2">
        <v>11</v>
      </c>
      <c r="B130" s="16" t="s">
        <v>265</v>
      </c>
      <c r="C130" s="68" t="s">
        <v>266</v>
      </c>
      <c r="D130" s="13" t="s">
        <v>108</v>
      </c>
      <c r="E130" s="69">
        <v>300000</v>
      </c>
      <c r="F130" s="69">
        <v>300000</v>
      </c>
      <c r="G130" s="70">
        <v>0</v>
      </c>
    </row>
    <row r="131" spans="1:7" ht="20.100000000000001" customHeight="1" x14ac:dyDescent="0.5">
      <c r="A131" s="2"/>
      <c r="B131" s="18" t="s">
        <v>111</v>
      </c>
      <c r="C131" s="84" t="s">
        <v>269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 x14ac:dyDescent="0.2">
      <c r="A132" s="2"/>
      <c r="B132" s="20"/>
      <c r="C132" s="84"/>
      <c r="D132" s="13"/>
      <c r="E132" s="77"/>
      <c r="F132" s="77"/>
      <c r="G132" s="77"/>
    </row>
    <row r="133" spans="1:7" ht="20.100000000000001" customHeight="1" x14ac:dyDescent="0.2">
      <c r="A133" s="2"/>
      <c r="B133" s="18" t="s">
        <v>270</v>
      </c>
      <c r="C133" s="68"/>
      <c r="D133" s="13"/>
      <c r="E133" s="69"/>
      <c r="F133" s="69"/>
      <c r="G133" s="69"/>
    </row>
    <row r="134" spans="1:7" ht="20.100000000000001" customHeight="1" x14ac:dyDescent="0.2">
      <c r="A134" s="25">
        <v>1</v>
      </c>
      <c r="B134" s="9" t="s">
        <v>557</v>
      </c>
      <c r="C134" s="68" t="s">
        <v>1459</v>
      </c>
      <c r="D134" s="13" t="s">
        <v>115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 x14ac:dyDescent="0.2">
      <c r="A135" s="25">
        <v>2</v>
      </c>
      <c r="B135" s="9" t="s">
        <v>559</v>
      </c>
      <c r="C135" s="68" t="s">
        <v>560</v>
      </c>
      <c r="D135" s="13" t="s">
        <v>154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 x14ac:dyDescent="0.2">
      <c r="A136" s="25">
        <v>3</v>
      </c>
      <c r="B136" s="12" t="s">
        <v>274</v>
      </c>
      <c r="C136" s="71" t="s">
        <v>275</v>
      </c>
      <c r="D136" s="14" t="s">
        <v>192</v>
      </c>
      <c r="E136" s="69">
        <v>700000</v>
      </c>
      <c r="F136" s="70">
        <v>0</v>
      </c>
      <c r="G136" s="69">
        <v>700000</v>
      </c>
    </row>
    <row r="137" spans="1:7" ht="20.100000000000001" customHeight="1" x14ac:dyDescent="0.2">
      <c r="A137" s="25">
        <v>4</v>
      </c>
      <c r="B137" s="9" t="s">
        <v>276</v>
      </c>
      <c r="C137" s="68" t="s">
        <v>561</v>
      </c>
      <c r="D137" s="13" t="s">
        <v>46</v>
      </c>
      <c r="E137" s="69">
        <v>500000</v>
      </c>
      <c r="F137" s="70">
        <v>0</v>
      </c>
      <c r="G137" s="69">
        <v>500000</v>
      </c>
    </row>
    <row r="138" spans="1:7" ht="20.100000000000001" customHeight="1" x14ac:dyDescent="0.2">
      <c r="A138" s="25">
        <v>5</v>
      </c>
      <c r="B138" s="9" t="s">
        <v>278</v>
      </c>
      <c r="C138" s="71" t="s">
        <v>562</v>
      </c>
      <c r="D138" s="13" t="s">
        <v>46</v>
      </c>
      <c r="E138" s="69">
        <v>500000</v>
      </c>
      <c r="F138" s="70">
        <v>0</v>
      </c>
      <c r="G138" s="69">
        <v>500000</v>
      </c>
    </row>
    <row r="139" spans="1:7" ht="20.100000000000001" customHeight="1" x14ac:dyDescent="0.2">
      <c r="A139" s="25">
        <v>6</v>
      </c>
      <c r="B139" s="9" t="s">
        <v>211</v>
      </c>
      <c r="C139" s="71" t="s">
        <v>564</v>
      </c>
      <c r="D139" s="13" t="s">
        <v>1199</v>
      </c>
      <c r="E139" s="69">
        <v>500000</v>
      </c>
      <c r="F139" s="69">
        <v>500000</v>
      </c>
      <c r="G139" s="70">
        <v>0</v>
      </c>
    </row>
    <row r="140" spans="1:7" ht="20.100000000000001" customHeight="1" x14ac:dyDescent="0.2">
      <c r="A140" s="25">
        <v>7</v>
      </c>
      <c r="B140" s="9" t="s">
        <v>213</v>
      </c>
      <c r="C140" s="68" t="s">
        <v>563</v>
      </c>
      <c r="D140" s="13" t="s">
        <v>68</v>
      </c>
      <c r="E140" s="69">
        <v>400000</v>
      </c>
      <c r="F140" s="69">
        <v>400000</v>
      </c>
      <c r="G140" s="70">
        <v>0</v>
      </c>
    </row>
    <row r="141" spans="1:7" ht="20.100000000000001" customHeight="1" x14ac:dyDescent="0.2">
      <c r="A141" s="25">
        <v>8</v>
      </c>
      <c r="B141" s="9" t="s">
        <v>281</v>
      </c>
      <c r="C141" s="68" t="s">
        <v>563</v>
      </c>
      <c r="D141" s="13" t="s">
        <v>68</v>
      </c>
      <c r="E141" s="69">
        <v>400000</v>
      </c>
      <c r="F141" s="69">
        <v>400000</v>
      </c>
      <c r="G141" s="70">
        <v>0</v>
      </c>
    </row>
    <row r="142" spans="1:7" ht="20.100000000000001" customHeight="1" x14ac:dyDescent="0.2">
      <c r="A142" s="25">
        <v>9</v>
      </c>
      <c r="B142" s="9" t="s">
        <v>282</v>
      </c>
      <c r="C142" s="71" t="s">
        <v>564</v>
      </c>
      <c r="D142" s="13" t="s">
        <v>68</v>
      </c>
      <c r="E142" s="69">
        <v>400000</v>
      </c>
      <c r="F142" s="69">
        <v>400000</v>
      </c>
      <c r="G142" s="70">
        <v>0</v>
      </c>
    </row>
    <row r="143" spans="1:7" ht="20.100000000000001" customHeight="1" x14ac:dyDescent="0.2">
      <c r="A143" s="25">
        <v>10</v>
      </c>
      <c r="B143" s="9" t="s">
        <v>284</v>
      </c>
      <c r="C143" s="68" t="s">
        <v>565</v>
      </c>
      <c r="D143" s="13" t="s">
        <v>137</v>
      </c>
      <c r="E143" s="69">
        <v>400000</v>
      </c>
      <c r="F143" s="69">
        <v>400000</v>
      </c>
      <c r="G143" s="70">
        <v>0</v>
      </c>
    </row>
    <row r="144" spans="1:7" ht="20.100000000000001" customHeight="1" x14ac:dyDescent="0.2">
      <c r="A144" s="25">
        <v>11</v>
      </c>
      <c r="B144" s="9" t="s">
        <v>286</v>
      </c>
      <c r="C144" s="68" t="s">
        <v>1218</v>
      </c>
      <c r="D144" s="13" t="s">
        <v>119</v>
      </c>
      <c r="E144" s="69">
        <v>300000</v>
      </c>
      <c r="F144" s="69">
        <v>300000</v>
      </c>
      <c r="G144" s="70">
        <v>0</v>
      </c>
    </row>
    <row r="145" spans="1:7" ht="20.100000000000001" customHeight="1" x14ac:dyDescent="0.2">
      <c r="A145" s="25">
        <v>12</v>
      </c>
      <c r="B145" s="9" t="s">
        <v>60</v>
      </c>
      <c r="C145" s="68" t="s">
        <v>565</v>
      </c>
      <c r="D145" s="13" t="s">
        <v>137</v>
      </c>
      <c r="E145" s="69">
        <v>400000</v>
      </c>
      <c r="F145" s="69">
        <v>400000</v>
      </c>
      <c r="G145" s="70">
        <v>0</v>
      </c>
    </row>
    <row r="146" spans="1:7" ht="20.100000000000001" customHeight="1" x14ac:dyDescent="0.2">
      <c r="A146" s="25">
        <v>13</v>
      </c>
      <c r="B146" s="9" t="s">
        <v>290</v>
      </c>
      <c r="C146" s="71" t="s">
        <v>566</v>
      </c>
      <c r="D146" s="13" t="s">
        <v>76</v>
      </c>
      <c r="E146" s="69">
        <v>300000</v>
      </c>
      <c r="F146" s="69">
        <v>300000</v>
      </c>
      <c r="G146" s="70">
        <v>0</v>
      </c>
    </row>
    <row r="147" spans="1:7" ht="20.100000000000001" customHeight="1" x14ac:dyDescent="0.2">
      <c r="A147" s="25">
        <v>14</v>
      </c>
      <c r="B147" s="9" t="s">
        <v>291</v>
      </c>
      <c r="C147" s="71" t="s">
        <v>566</v>
      </c>
      <c r="D147" s="13" t="s">
        <v>76</v>
      </c>
      <c r="E147" s="69">
        <v>300000</v>
      </c>
      <c r="F147" s="69">
        <v>300000</v>
      </c>
      <c r="G147" s="70">
        <v>0</v>
      </c>
    </row>
    <row r="148" spans="1:7" ht="20.100000000000001" customHeight="1" x14ac:dyDescent="0.2">
      <c r="A148" s="25">
        <v>15</v>
      </c>
      <c r="B148" s="9" t="s">
        <v>293</v>
      </c>
      <c r="C148" s="71" t="s">
        <v>566</v>
      </c>
      <c r="D148" s="13" t="s">
        <v>76</v>
      </c>
      <c r="E148" s="69">
        <v>300000</v>
      </c>
      <c r="F148" s="69">
        <v>300000</v>
      </c>
      <c r="G148" s="70">
        <v>0</v>
      </c>
    </row>
    <row r="149" spans="1:7" ht="20.100000000000001" customHeight="1" x14ac:dyDescent="0.2">
      <c r="A149" s="25">
        <v>16</v>
      </c>
      <c r="B149" s="9" t="s">
        <v>294</v>
      </c>
      <c r="C149" s="68" t="s">
        <v>295</v>
      </c>
      <c r="D149" s="13" t="s">
        <v>73</v>
      </c>
      <c r="E149" s="69">
        <v>300000</v>
      </c>
      <c r="F149" s="69">
        <v>300000</v>
      </c>
      <c r="G149" s="70">
        <v>0</v>
      </c>
    </row>
    <row r="150" spans="1:7" ht="20.100000000000001" customHeight="1" x14ac:dyDescent="0.2">
      <c r="A150" s="25">
        <v>17</v>
      </c>
      <c r="B150" s="9" t="s">
        <v>1201</v>
      </c>
      <c r="C150" s="68" t="s">
        <v>297</v>
      </c>
      <c r="D150" s="8" t="s">
        <v>96</v>
      </c>
      <c r="E150" s="69">
        <v>300000</v>
      </c>
      <c r="F150" s="69">
        <v>300000</v>
      </c>
      <c r="G150" s="70">
        <v>0</v>
      </c>
    </row>
    <row r="151" spans="1:7" ht="20.100000000000001" customHeight="1" x14ac:dyDescent="0.2">
      <c r="A151" s="25">
        <v>18</v>
      </c>
      <c r="B151" s="9" t="s">
        <v>298</v>
      </c>
      <c r="C151" s="68" t="s">
        <v>299</v>
      </c>
      <c r="D151" s="13" t="s">
        <v>73</v>
      </c>
      <c r="E151" s="69">
        <v>300000</v>
      </c>
      <c r="F151" s="69">
        <v>300000</v>
      </c>
      <c r="G151" s="70">
        <v>0</v>
      </c>
    </row>
    <row r="152" spans="1:7" ht="20.100000000000001" customHeight="1" x14ac:dyDescent="0.2">
      <c r="A152" s="25">
        <v>19</v>
      </c>
      <c r="B152" s="9" t="s">
        <v>301</v>
      </c>
      <c r="C152" s="68" t="s">
        <v>302</v>
      </c>
      <c r="D152" s="13" t="s">
        <v>96</v>
      </c>
      <c r="E152" s="69">
        <v>300000</v>
      </c>
      <c r="F152" s="69">
        <v>300000</v>
      </c>
      <c r="G152" s="70">
        <v>0</v>
      </c>
    </row>
    <row r="153" spans="1:7" ht="20.100000000000001" customHeight="1" x14ac:dyDescent="0.2">
      <c r="A153" s="25">
        <v>20</v>
      </c>
      <c r="B153" s="9" t="s">
        <v>303</v>
      </c>
      <c r="C153" s="68" t="s">
        <v>304</v>
      </c>
      <c r="D153" s="13" t="s">
        <v>73</v>
      </c>
      <c r="E153" s="69">
        <v>300000</v>
      </c>
      <c r="F153" s="69">
        <v>300000</v>
      </c>
      <c r="G153" s="70">
        <v>0</v>
      </c>
    </row>
    <row r="154" spans="1:7" ht="20.100000000000001" customHeight="1" x14ac:dyDescent="0.2">
      <c r="A154" s="25">
        <v>21</v>
      </c>
      <c r="B154" s="9" t="s">
        <v>305</v>
      </c>
      <c r="C154" s="68" t="s">
        <v>306</v>
      </c>
      <c r="D154" s="13" t="s">
        <v>96</v>
      </c>
      <c r="E154" s="69">
        <v>300000</v>
      </c>
      <c r="F154" s="69">
        <v>300000</v>
      </c>
      <c r="G154" s="70">
        <v>0</v>
      </c>
    </row>
    <row r="155" spans="1:7" ht="20.100000000000001" customHeight="1" x14ac:dyDescent="0.2">
      <c r="A155" s="25">
        <v>22</v>
      </c>
      <c r="B155" s="16" t="s">
        <v>307</v>
      </c>
      <c r="C155" s="68" t="s">
        <v>315</v>
      </c>
      <c r="D155" s="13" t="s">
        <v>1406</v>
      </c>
      <c r="E155" s="69">
        <v>300000</v>
      </c>
      <c r="F155" s="69">
        <v>300000</v>
      </c>
      <c r="G155" s="70">
        <v>0</v>
      </c>
    </row>
    <row r="156" spans="1:7" ht="20.100000000000001" customHeight="1" x14ac:dyDescent="0.2">
      <c r="A156" s="25">
        <v>23</v>
      </c>
      <c r="B156" s="16" t="s">
        <v>1386</v>
      </c>
      <c r="C156" s="68" t="s">
        <v>313</v>
      </c>
      <c r="D156" s="13" t="s">
        <v>108</v>
      </c>
      <c r="E156" s="69">
        <v>300000</v>
      </c>
      <c r="F156" s="69">
        <v>300000</v>
      </c>
      <c r="G156" s="70">
        <v>0</v>
      </c>
    </row>
    <row r="157" spans="1:7" ht="20.100000000000001" customHeight="1" x14ac:dyDescent="0.2">
      <c r="A157" s="25">
        <v>24</v>
      </c>
      <c r="B157" s="16" t="s">
        <v>312</v>
      </c>
      <c r="C157" s="68" t="s">
        <v>313</v>
      </c>
      <c r="D157" s="13" t="s">
        <v>108</v>
      </c>
      <c r="E157" s="69">
        <v>300000</v>
      </c>
      <c r="F157" s="69">
        <v>300000</v>
      </c>
      <c r="G157" s="70">
        <v>0</v>
      </c>
    </row>
    <row r="158" spans="1:7" ht="20.100000000000001" customHeight="1" x14ac:dyDescent="0.2">
      <c r="A158" s="25">
        <v>25</v>
      </c>
      <c r="B158" s="16" t="s">
        <v>314</v>
      </c>
      <c r="C158" s="68" t="s">
        <v>315</v>
      </c>
      <c r="D158" s="13" t="s">
        <v>108</v>
      </c>
      <c r="E158" s="69">
        <v>300000</v>
      </c>
      <c r="F158" s="69">
        <v>300000</v>
      </c>
      <c r="G158" s="70">
        <v>0</v>
      </c>
    </row>
    <row r="159" spans="1:7" ht="20.100000000000001" customHeight="1" x14ac:dyDescent="0.2">
      <c r="A159" s="25">
        <v>26</v>
      </c>
      <c r="B159" s="16" t="s">
        <v>316</v>
      </c>
      <c r="C159" s="68" t="s">
        <v>317</v>
      </c>
      <c r="D159" s="13" t="s">
        <v>108</v>
      </c>
      <c r="E159" s="69">
        <v>300000</v>
      </c>
      <c r="F159" s="69">
        <v>300000</v>
      </c>
      <c r="G159" s="70">
        <v>0</v>
      </c>
    </row>
    <row r="160" spans="1:7" ht="20.100000000000001" customHeight="1" x14ac:dyDescent="0.2">
      <c r="A160" s="25">
        <v>27</v>
      </c>
      <c r="B160" s="16" t="s">
        <v>318</v>
      </c>
      <c r="C160" s="68" t="s">
        <v>319</v>
      </c>
      <c r="D160" s="13" t="s">
        <v>108</v>
      </c>
      <c r="E160" s="69">
        <v>300000</v>
      </c>
      <c r="F160" s="69">
        <v>300000</v>
      </c>
      <c r="G160" s="70">
        <v>0</v>
      </c>
    </row>
    <row r="161" spans="1:7" ht="20.100000000000001" customHeight="1" x14ac:dyDescent="0.2">
      <c r="A161" s="25">
        <v>28</v>
      </c>
      <c r="B161" s="9" t="s">
        <v>329</v>
      </c>
      <c r="C161" s="68" t="s">
        <v>330</v>
      </c>
      <c r="D161" s="13" t="s">
        <v>345</v>
      </c>
      <c r="E161" s="69">
        <v>100000</v>
      </c>
      <c r="F161" s="69">
        <v>100000</v>
      </c>
      <c r="G161" s="70">
        <v>0</v>
      </c>
    </row>
    <row r="162" spans="1:7" ht="20.100000000000001" customHeight="1" x14ac:dyDescent="0.2">
      <c r="A162" s="25">
        <v>29</v>
      </c>
      <c r="B162" s="9" t="s">
        <v>332</v>
      </c>
      <c r="C162" s="68" t="s">
        <v>330</v>
      </c>
      <c r="D162" s="13" t="s">
        <v>345</v>
      </c>
      <c r="E162" s="69">
        <v>100000</v>
      </c>
      <c r="F162" s="69">
        <v>100000</v>
      </c>
      <c r="G162" s="70">
        <v>0</v>
      </c>
    </row>
    <row r="163" spans="1:7" ht="20.100000000000001" customHeight="1" x14ac:dyDescent="0.2">
      <c r="A163" s="25">
        <v>30</v>
      </c>
      <c r="B163" s="9" t="s">
        <v>333</v>
      </c>
      <c r="C163" s="68" t="s">
        <v>330</v>
      </c>
      <c r="D163" s="13" t="s">
        <v>345</v>
      </c>
      <c r="E163" s="69">
        <v>100000</v>
      </c>
      <c r="F163" s="69">
        <v>100000</v>
      </c>
      <c r="G163" s="70">
        <v>0</v>
      </c>
    </row>
    <row r="164" spans="1:7" ht="20.100000000000001" customHeight="1" x14ac:dyDescent="0.2">
      <c r="A164" s="25">
        <v>31</v>
      </c>
      <c r="B164" s="9" t="s">
        <v>923</v>
      </c>
      <c r="C164" s="68" t="s">
        <v>330</v>
      </c>
      <c r="D164" s="13" t="s">
        <v>345</v>
      </c>
      <c r="E164" s="69">
        <v>100000</v>
      </c>
      <c r="F164" s="69">
        <v>100000</v>
      </c>
      <c r="G164" s="70">
        <v>0</v>
      </c>
    </row>
    <row r="165" spans="1:7" ht="20.100000000000001" customHeight="1" x14ac:dyDescent="0.2">
      <c r="A165" s="25">
        <v>32</v>
      </c>
      <c r="B165" s="9" t="s">
        <v>921</v>
      </c>
      <c r="C165" s="68" t="s">
        <v>330</v>
      </c>
      <c r="D165" s="13" t="s">
        <v>345</v>
      </c>
      <c r="E165" s="69">
        <v>100000</v>
      </c>
      <c r="F165" s="69">
        <v>100000</v>
      </c>
      <c r="G165" s="70">
        <v>0</v>
      </c>
    </row>
    <row r="166" spans="1:7" ht="20.100000000000001" customHeight="1" x14ac:dyDescent="0.2">
      <c r="A166" s="25">
        <v>33</v>
      </c>
      <c r="B166" s="9" t="s">
        <v>334</v>
      </c>
      <c r="C166" s="68" t="s">
        <v>330</v>
      </c>
      <c r="D166" s="13" t="s">
        <v>345</v>
      </c>
      <c r="E166" s="69">
        <v>100000</v>
      </c>
      <c r="F166" s="69">
        <v>100000</v>
      </c>
      <c r="G166" s="70">
        <v>0</v>
      </c>
    </row>
    <row r="167" spans="1:7" ht="20.100000000000001" customHeight="1" x14ac:dyDescent="0.2">
      <c r="A167" s="25">
        <v>34</v>
      </c>
      <c r="B167" s="9" t="s">
        <v>335</v>
      </c>
      <c r="C167" s="68" t="s">
        <v>330</v>
      </c>
      <c r="D167" s="13" t="s">
        <v>345</v>
      </c>
      <c r="E167" s="69">
        <v>100000</v>
      </c>
      <c r="F167" s="69">
        <v>100000</v>
      </c>
      <c r="G167" s="70">
        <v>0</v>
      </c>
    </row>
    <row r="168" spans="1:7" ht="20.100000000000001" customHeight="1" x14ac:dyDescent="0.2">
      <c r="A168" s="25">
        <v>35</v>
      </c>
      <c r="B168" s="9" t="s">
        <v>336</v>
      </c>
      <c r="C168" s="68" t="s">
        <v>330</v>
      </c>
      <c r="D168" s="13" t="s">
        <v>351</v>
      </c>
      <c r="E168" s="69">
        <v>100000</v>
      </c>
      <c r="F168" s="69">
        <v>100000</v>
      </c>
      <c r="G168" s="70">
        <v>0</v>
      </c>
    </row>
    <row r="169" spans="1:7" ht="20.100000000000001" customHeight="1" x14ac:dyDescent="0.2">
      <c r="A169" s="25">
        <v>36</v>
      </c>
      <c r="B169" s="9" t="s">
        <v>338</v>
      </c>
      <c r="C169" s="68" t="s">
        <v>330</v>
      </c>
      <c r="D169" s="13" t="s">
        <v>351</v>
      </c>
      <c r="E169" s="69">
        <v>100000</v>
      </c>
      <c r="F169" s="69">
        <v>100000</v>
      </c>
      <c r="G169" s="70">
        <v>0</v>
      </c>
    </row>
    <row r="170" spans="1:7" ht="20.100000000000001" customHeight="1" x14ac:dyDescent="0.2">
      <c r="A170" s="25">
        <v>37</v>
      </c>
      <c r="B170" s="9" t="s">
        <v>1365</v>
      </c>
      <c r="C170" s="68" t="s">
        <v>330</v>
      </c>
      <c r="D170" s="13" t="s">
        <v>351</v>
      </c>
      <c r="E170" s="69">
        <v>100000</v>
      </c>
      <c r="F170" s="69">
        <v>100000</v>
      </c>
      <c r="G170" s="70">
        <v>0</v>
      </c>
    </row>
    <row r="171" spans="1:7" ht="20.100000000000001" customHeight="1" x14ac:dyDescent="0.2">
      <c r="A171" s="25">
        <v>38</v>
      </c>
      <c r="B171" s="12" t="s">
        <v>339</v>
      </c>
      <c r="C171" s="68" t="s">
        <v>330</v>
      </c>
      <c r="D171" s="13" t="s">
        <v>351</v>
      </c>
      <c r="E171" s="69">
        <v>100000</v>
      </c>
      <c r="F171" s="69">
        <v>100000</v>
      </c>
      <c r="G171" s="70">
        <v>0</v>
      </c>
    </row>
    <row r="172" spans="1:7" ht="20.100000000000001" customHeight="1" x14ac:dyDescent="0.2">
      <c r="A172" s="25">
        <v>39</v>
      </c>
      <c r="B172" s="9" t="s">
        <v>340</v>
      </c>
      <c r="C172" s="68" t="s">
        <v>330</v>
      </c>
      <c r="D172" s="13" t="s">
        <v>351</v>
      </c>
      <c r="E172" s="69">
        <v>100000</v>
      </c>
      <c r="F172" s="69">
        <v>100000</v>
      </c>
      <c r="G172" s="70">
        <v>0</v>
      </c>
    </row>
    <row r="173" spans="1:7" ht="20.100000000000001" customHeight="1" x14ac:dyDescent="0.2">
      <c r="A173" s="25">
        <v>40</v>
      </c>
      <c r="B173" s="16" t="s">
        <v>341</v>
      </c>
      <c r="C173" s="68" t="s">
        <v>330</v>
      </c>
      <c r="D173" s="13" t="s">
        <v>351</v>
      </c>
      <c r="E173" s="69">
        <v>100000</v>
      </c>
      <c r="F173" s="69">
        <v>100000</v>
      </c>
      <c r="G173" s="70">
        <v>0</v>
      </c>
    </row>
    <row r="174" spans="1:7" ht="20.100000000000001" customHeight="1" x14ac:dyDescent="0.2">
      <c r="A174" s="25">
        <v>41</v>
      </c>
      <c r="B174" s="16" t="s">
        <v>342</v>
      </c>
      <c r="C174" s="68" t="s">
        <v>330</v>
      </c>
      <c r="D174" s="13" t="s">
        <v>351</v>
      </c>
      <c r="E174" s="69">
        <v>100000</v>
      </c>
      <c r="F174" s="69">
        <v>100000</v>
      </c>
      <c r="G174" s="70">
        <v>0</v>
      </c>
    </row>
    <row r="175" spans="1:7" ht="20.100000000000001" customHeight="1" x14ac:dyDescent="0.2">
      <c r="A175" s="25">
        <v>42</v>
      </c>
      <c r="B175" s="9" t="s">
        <v>343</v>
      </c>
      <c r="C175" s="68" t="s">
        <v>350</v>
      </c>
      <c r="D175" s="13" t="s">
        <v>1202</v>
      </c>
      <c r="E175" s="69">
        <v>100000</v>
      </c>
      <c r="F175" s="69">
        <v>100000</v>
      </c>
      <c r="G175" s="70">
        <v>0</v>
      </c>
    </row>
    <row r="176" spans="1:7" ht="20.100000000000001" customHeight="1" x14ac:dyDescent="0.2">
      <c r="A176" s="25">
        <v>43</v>
      </c>
      <c r="B176" s="9" t="s">
        <v>346</v>
      </c>
      <c r="C176" s="68" t="s">
        <v>350</v>
      </c>
      <c r="D176" s="13" t="s">
        <v>1202</v>
      </c>
      <c r="E176" s="69">
        <v>100000</v>
      </c>
      <c r="F176" s="69">
        <v>100000</v>
      </c>
      <c r="G176" s="70">
        <v>0</v>
      </c>
    </row>
    <row r="177" spans="1:7" ht="20.100000000000001" customHeight="1" x14ac:dyDescent="0.2">
      <c r="A177" s="25">
        <v>44</v>
      </c>
      <c r="B177" s="16" t="s">
        <v>347</v>
      </c>
      <c r="C177" s="68" t="s">
        <v>350</v>
      </c>
      <c r="D177" s="13" t="s">
        <v>354</v>
      </c>
      <c r="E177" s="69">
        <v>100000</v>
      </c>
      <c r="F177" s="69">
        <v>100000</v>
      </c>
      <c r="G177" s="70">
        <v>0</v>
      </c>
    </row>
    <row r="178" spans="1:7" ht="20.100000000000001" customHeight="1" x14ac:dyDescent="0.2">
      <c r="A178" s="25">
        <v>45</v>
      </c>
      <c r="B178" s="9" t="s">
        <v>349</v>
      </c>
      <c r="C178" s="68" t="s">
        <v>350</v>
      </c>
      <c r="D178" s="13" t="s">
        <v>376</v>
      </c>
      <c r="E178" s="69">
        <v>100000</v>
      </c>
      <c r="F178" s="69">
        <v>100000</v>
      </c>
      <c r="G178" s="70">
        <v>0</v>
      </c>
    </row>
    <row r="179" spans="1:7" ht="20.100000000000001" customHeight="1" x14ac:dyDescent="0.2">
      <c r="A179" s="25">
        <v>46</v>
      </c>
      <c r="B179" s="9" t="s">
        <v>352</v>
      </c>
      <c r="C179" s="68" t="s">
        <v>353</v>
      </c>
      <c r="D179" s="13" t="s">
        <v>1428</v>
      </c>
      <c r="E179" s="69">
        <v>100000</v>
      </c>
      <c r="F179" s="69">
        <v>100000</v>
      </c>
      <c r="G179" s="70">
        <v>0</v>
      </c>
    </row>
    <row r="180" spans="1:7" ht="20.100000000000001" customHeight="1" x14ac:dyDescent="0.2">
      <c r="A180" s="25">
        <v>47</v>
      </c>
      <c r="B180" s="9" t="s">
        <v>355</v>
      </c>
      <c r="C180" s="68" t="s">
        <v>353</v>
      </c>
      <c r="D180" s="13" t="s">
        <v>1428</v>
      </c>
      <c r="E180" s="69">
        <v>100000</v>
      </c>
      <c r="F180" s="69">
        <v>100000</v>
      </c>
      <c r="G180" s="70">
        <v>0</v>
      </c>
    </row>
    <row r="181" spans="1:7" ht="20.100000000000001" customHeight="1" x14ac:dyDescent="0.2">
      <c r="A181" s="25">
        <v>48</v>
      </c>
      <c r="B181" s="9" t="s">
        <v>356</v>
      </c>
      <c r="C181" s="68" t="s">
        <v>353</v>
      </c>
      <c r="D181" s="13" t="s">
        <v>1428</v>
      </c>
      <c r="E181" s="69">
        <v>100000</v>
      </c>
      <c r="F181" s="69">
        <v>100000</v>
      </c>
      <c r="G181" s="70">
        <v>0</v>
      </c>
    </row>
    <row r="182" spans="1:7" ht="20.100000000000001" customHeight="1" x14ac:dyDescent="0.2">
      <c r="A182" s="25">
        <v>49</v>
      </c>
      <c r="B182" s="9" t="s">
        <v>357</v>
      </c>
      <c r="C182" s="68" t="s">
        <v>353</v>
      </c>
      <c r="D182" s="13" t="s">
        <v>1428</v>
      </c>
      <c r="E182" s="69">
        <v>100000</v>
      </c>
      <c r="F182" s="69">
        <v>100000</v>
      </c>
      <c r="G182" s="70">
        <v>0</v>
      </c>
    </row>
    <row r="183" spans="1:7" ht="20.100000000000001" customHeight="1" x14ac:dyDescent="0.2">
      <c r="A183" s="25">
        <v>50</v>
      </c>
      <c r="B183" s="9" t="s">
        <v>358</v>
      </c>
      <c r="C183" s="68" t="s">
        <v>353</v>
      </c>
      <c r="D183" s="13" t="s">
        <v>1428</v>
      </c>
      <c r="E183" s="69">
        <v>100000</v>
      </c>
      <c r="F183" s="69">
        <v>100000</v>
      </c>
      <c r="G183" s="70">
        <v>0</v>
      </c>
    </row>
    <row r="184" spans="1:7" ht="20.100000000000001" customHeight="1" x14ac:dyDescent="0.2">
      <c r="A184" s="25">
        <v>51</v>
      </c>
      <c r="B184" s="16" t="s">
        <v>359</v>
      </c>
      <c r="C184" s="68" t="s">
        <v>353</v>
      </c>
      <c r="D184" s="13" t="s">
        <v>366</v>
      </c>
      <c r="E184" s="69">
        <v>100000</v>
      </c>
      <c r="F184" s="69">
        <v>100000</v>
      </c>
      <c r="G184" s="70">
        <v>0</v>
      </c>
    </row>
    <row r="185" spans="1:7" ht="20.100000000000001" customHeight="1" x14ac:dyDescent="0.2">
      <c r="A185" s="25">
        <v>52</v>
      </c>
      <c r="B185" s="16" t="s">
        <v>360</v>
      </c>
      <c r="C185" s="68" t="s">
        <v>353</v>
      </c>
      <c r="D185" s="13" t="s">
        <v>366</v>
      </c>
      <c r="E185" s="69">
        <v>100000</v>
      </c>
      <c r="F185" s="69">
        <v>100000</v>
      </c>
      <c r="G185" s="70">
        <v>0</v>
      </c>
    </row>
    <row r="186" spans="1:7" ht="20.100000000000001" customHeight="1" x14ac:dyDescent="0.2">
      <c r="A186" s="25">
        <v>53</v>
      </c>
      <c r="B186" s="9" t="s">
        <v>493</v>
      </c>
      <c r="C186" s="68" t="s">
        <v>350</v>
      </c>
      <c r="D186" s="13" t="s">
        <v>366</v>
      </c>
      <c r="E186" s="69">
        <v>100000</v>
      </c>
      <c r="F186" s="69">
        <v>100000</v>
      </c>
      <c r="G186" s="70">
        <v>0</v>
      </c>
    </row>
    <row r="187" spans="1:7" ht="20.100000000000001" customHeight="1" x14ac:dyDescent="0.2">
      <c r="A187" s="25">
        <v>54</v>
      </c>
      <c r="B187" s="9" t="s">
        <v>361</v>
      </c>
      <c r="C187" s="68" t="s">
        <v>350</v>
      </c>
      <c r="D187" s="13" t="s">
        <v>366</v>
      </c>
      <c r="E187" s="69">
        <v>100000</v>
      </c>
      <c r="F187" s="69">
        <v>100000</v>
      </c>
      <c r="G187" s="70">
        <v>0</v>
      </c>
    </row>
    <row r="188" spans="1:7" ht="20.100000000000001" customHeight="1" x14ac:dyDescent="0.2">
      <c r="A188" s="25">
        <v>55</v>
      </c>
      <c r="B188" s="16" t="s">
        <v>362</v>
      </c>
      <c r="C188" s="68" t="s">
        <v>353</v>
      </c>
      <c r="D188" s="13" t="s">
        <v>567</v>
      </c>
      <c r="E188" s="69">
        <v>100000</v>
      </c>
      <c r="F188" s="69">
        <v>100000</v>
      </c>
      <c r="G188" s="70">
        <v>0</v>
      </c>
    </row>
    <row r="189" spans="1:7" ht="20.100000000000001" customHeight="1" x14ac:dyDescent="0.2">
      <c r="A189" s="25">
        <v>56</v>
      </c>
      <c r="B189" s="16" t="s">
        <v>367</v>
      </c>
      <c r="C189" s="68" t="s">
        <v>353</v>
      </c>
      <c r="D189" s="13" t="s">
        <v>568</v>
      </c>
      <c r="E189" s="69">
        <v>100000</v>
      </c>
      <c r="F189" s="69">
        <v>100000</v>
      </c>
      <c r="G189" s="70">
        <v>0</v>
      </c>
    </row>
    <row r="190" spans="1:7" ht="20.100000000000001" customHeight="1" x14ac:dyDescent="0.5">
      <c r="A190" s="25"/>
      <c r="B190" s="6" t="s">
        <v>111</v>
      </c>
      <c r="C190" s="85" t="s">
        <v>1460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 x14ac:dyDescent="0.2">
      <c r="A191" s="2"/>
      <c r="B191" s="28" t="s">
        <v>379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 x14ac:dyDescent="0.2">
      <c r="B192" s="31"/>
      <c r="C192" s="31"/>
      <c r="D192" s="32"/>
      <c r="E192" s="88"/>
      <c r="F192" s="89"/>
      <c r="G192" s="89"/>
    </row>
    <row r="193" spans="2:5" ht="28.5" customHeight="1" x14ac:dyDescent="0.2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14"/>
  <sheetViews>
    <sheetView workbookViewId="0">
      <selection activeCell="G6" sqref="G6"/>
    </sheetView>
  </sheetViews>
  <sheetFormatPr defaultColWidth="9.03515625" defaultRowHeight="12.75" x14ac:dyDescent="0.15"/>
  <cols>
    <col min="3" max="3" width="11.8671875" customWidth="1"/>
    <col min="4" max="5" width="28.18359375" customWidth="1"/>
  </cols>
  <sheetData>
    <row r="1" spans="1:6" ht="18" x14ac:dyDescent="0.2">
      <c r="A1" s="1017" t="s">
        <v>1461</v>
      </c>
      <c r="B1" s="1017"/>
      <c r="C1" s="1017"/>
      <c r="D1" s="1017"/>
      <c r="E1" s="1017"/>
      <c r="F1" s="1017"/>
    </row>
    <row r="2" spans="1:6" ht="18" x14ac:dyDescent="0.2">
      <c r="A2" s="961" t="s">
        <v>1462</v>
      </c>
      <c r="B2" s="961"/>
      <c r="C2" s="961"/>
      <c r="D2" s="961"/>
      <c r="E2" s="961"/>
      <c r="F2" s="961"/>
    </row>
    <row r="3" spans="1:6" ht="18" x14ac:dyDescent="0.2">
      <c r="A3" s="994"/>
      <c r="B3" s="994"/>
      <c r="C3" s="994"/>
      <c r="D3" s="45" t="s">
        <v>1463</v>
      </c>
      <c r="E3" s="45" t="s">
        <v>1464</v>
      </c>
      <c r="F3" s="46"/>
    </row>
    <row r="4" spans="1:6" ht="18" x14ac:dyDescent="0.2">
      <c r="A4" s="994" t="s">
        <v>1465</v>
      </c>
      <c r="B4" s="994"/>
      <c r="C4" s="994"/>
      <c r="D4" s="47">
        <f>E4*12</f>
        <v>948475.68</v>
      </c>
      <c r="E4" s="47">
        <f>SUMMARY!F3</f>
        <v>79039.64</v>
      </c>
      <c r="F4" s="44"/>
    </row>
    <row r="5" spans="1:6" ht="18" x14ac:dyDescent="0.2">
      <c r="A5" s="994" t="s">
        <v>1466</v>
      </c>
      <c r="B5" s="994"/>
      <c r="C5" s="994"/>
      <c r="D5" s="47">
        <f t="shared" ref="D5:D14" si="0">E5*12</f>
        <v>2845427.04</v>
      </c>
      <c r="E5" s="47">
        <f>SUMMARY!H3</f>
        <v>237118.92</v>
      </c>
      <c r="F5" s="44"/>
    </row>
    <row r="6" spans="1:6" ht="18" x14ac:dyDescent="0.2">
      <c r="A6" s="994" t="s">
        <v>1467</v>
      </c>
      <c r="B6" s="994"/>
      <c r="C6" s="994"/>
      <c r="D6" s="47">
        <f t="shared" si="0"/>
        <v>71135.676000000007</v>
      </c>
      <c r="E6" s="47">
        <f>SUMMARY!I3</f>
        <v>5927.973</v>
      </c>
      <c r="F6" s="44"/>
    </row>
    <row r="7" spans="1:6" ht="18" x14ac:dyDescent="0.2">
      <c r="A7" s="994" t="s">
        <v>1468</v>
      </c>
      <c r="B7" s="994"/>
      <c r="C7" s="994"/>
      <c r="D7" s="47">
        <f t="shared" si="0"/>
        <v>962932.56</v>
      </c>
      <c r="E7" s="47">
        <f>SUMMARY!J3</f>
        <v>80244.38</v>
      </c>
      <c r="F7" s="44"/>
    </row>
    <row r="8" spans="1:6" ht="18" x14ac:dyDescent="0.2">
      <c r="A8" s="994" t="s">
        <v>1469</v>
      </c>
      <c r="B8" s="994"/>
      <c r="C8" s="994"/>
      <c r="D8" s="47">
        <f t="shared" si="0"/>
        <v>474237.84</v>
      </c>
      <c r="E8" s="47">
        <f>SUMMARY!K3</f>
        <v>39519.82</v>
      </c>
      <c r="F8" s="44"/>
    </row>
    <row r="9" spans="1:6" ht="18" x14ac:dyDescent="0.2">
      <c r="A9" s="994" t="s">
        <v>1470</v>
      </c>
      <c r="B9" s="994"/>
      <c r="C9" s="994"/>
      <c r="D9" s="47">
        <f t="shared" si="0"/>
        <v>3319664.88</v>
      </c>
      <c r="E9" s="47">
        <f>SUMMARY!L3</f>
        <v>276638.74</v>
      </c>
      <c r="F9" s="44"/>
    </row>
    <row r="10" spans="1:6" ht="18" x14ac:dyDescent="0.2">
      <c r="A10" s="1006" t="s">
        <v>1471</v>
      </c>
      <c r="B10" s="1016"/>
      <c r="C10" s="1007"/>
      <c r="D10" s="47">
        <f t="shared" si="0"/>
        <v>0</v>
      </c>
      <c r="E10" s="47"/>
      <c r="F10" s="44"/>
    </row>
    <row r="11" spans="1:6" ht="18" x14ac:dyDescent="0.2">
      <c r="A11" s="994" t="s">
        <v>1472</v>
      </c>
      <c r="B11" s="994"/>
      <c r="C11" s="994"/>
      <c r="D11" s="47">
        <f t="shared" si="0"/>
        <v>948475.68</v>
      </c>
      <c r="E11" s="47">
        <f>SUMMARY!N3</f>
        <v>79039.64</v>
      </c>
      <c r="F11" s="44"/>
    </row>
    <row r="12" spans="1:6" ht="18" x14ac:dyDescent="0.2">
      <c r="A12" s="994" t="s">
        <v>1473</v>
      </c>
      <c r="B12" s="994"/>
      <c r="C12" s="994"/>
      <c r="D12" s="47">
        <f t="shared" si="0"/>
        <v>94847.567999999999</v>
      </c>
      <c r="E12" s="47">
        <f>SUMMARY!O3</f>
        <v>7903.9639999999999</v>
      </c>
      <c r="F12" s="44"/>
    </row>
    <row r="13" spans="1:6" ht="18" x14ac:dyDescent="0.2">
      <c r="A13" s="994" t="s">
        <v>1474</v>
      </c>
      <c r="B13" s="994"/>
      <c r="C13" s="994"/>
      <c r="D13" s="47">
        <f t="shared" si="0"/>
        <v>240000</v>
      </c>
      <c r="E13" s="47">
        <f>SUMMARY!P3</f>
        <v>20000</v>
      </c>
      <c r="F13" s="44"/>
    </row>
    <row r="14" spans="1:6" ht="18" x14ac:dyDescent="0.2">
      <c r="A14" s="1014" t="s">
        <v>9</v>
      </c>
      <c r="B14" s="1014"/>
      <c r="C14" s="1014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1.1399999999999999" bottom="0.75" header="0.3" footer="0.3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14"/>
  <sheetViews>
    <sheetView workbookViewId="0">
      <selection activeCell="E4" sqref="E4"/>
    </sheetView>
  </sheetViews>
  <sheetFormatPr defaultColWidth="9.03515625" defaultRowHeight="12.75" x14ac:dyDescent="0.15"/>
  <cols>
    <col min="3" max="3" width="11.59375" customWidth="1"/>
    <col min="4" max="4" width="25.484375" customWidth="1"/>
    <col min="5" max="5" width="25.890625" customWidth="1"/>
  </cols>
  <sheetData>
    <row r="1" spans="1:6" ht="18" x14ac:dyDescent="0.2">
      <c r="A1" s="1018" t="s">
        <v>1475</v>
      </c>
      <c r="B1" s="1018"/>
      <c r="C1" s="1018"/>
      <c r="D1" s="1018"/>
      <c r="E1" s="1018"/>
      <c r="F1" s="1018"/>
    </row>
    <row r="2" spans="1:6" ht="18" x14ac:dyDescent="0.2">
      <c r="A2" s="961" t="s">
        <v>1476</v>
      </c>
      <c r="B2" s="961"/>
      <c r="C2" s="961"/>
      <c r="D2" s="961"/>
      <c r="E2" s="961"/>
      <c r="F2" s="961"/>
    </row>
    <row r="3" spans="1:6" ht="18" x14ac:dyDescent="0.2">
      <c r="A3" s="994"/>
      <c r="B3" s="994"/>
      <c r="C3" s="994"/>
      <c r="D3" s="45" t="s">
        <v>1463</v>
      </c>
      <c r="E3" s="45" t="s">
        <v>1464</v>
      </c>
      <c r="F3" s="46"/>
    </row>
    <row r="4" spans="1:6" ht="18" x14ac:dyDescent="0.2">
      <c r="A4" s="994" t="s">
        <v>1465</v>
      </c>
      <c r="B4" s="994"/>
      <c r="C4" s="994"/>
      <c r="D4" s="47" t="e">
        <f>E4*12</f>
        <v>#REF!</v>
      </c>
      <c r="E4" s="47" t="e">
        <f>'JULY 2025'!#REF!</f>
        <v>#REF!</v>
      </c>
      <c r="F4" s="44"/>
    </row>
    <row r="5" spans="1:6" ht="18" x14ac:dyDescent="0.2">
      <c r="A5" s="994" t="s">
        <v>1466</v>
      </c>
      <c r="B5" s="994"/>
      <c r="C5" s="994"/>
      <c r="D5" s="47" t="e">
        <f t="shared" ref="D5:D13" si="0">E5*12</f>
        <v>#REF!</v>
      </c>
      <c r="E5" s="47" t="e">
        <f>'JULY 2025'!#REF!</f>
        <v>#REF!</v>
      </c>
      <c r="F5" s="44"/>
    </row>
    <row r="6" spans="1:6" ht="18" x14ac:dyDescent="0.2">
      <c r="A6" s="994" t="s">
        <v>1467</v>
      </c>
      <c r="B6" s="994"/>
      <c r="C6" s="994"/>
      <c r="D6" s="47" t="e">
        <f t="shared" si="0"/>
        <v>#REF!</v>
      </c>
      <c r="E6" s="47" t="e">
        <f>'JULY 2025'!#REF!</f>
        <v>#REF!</v>
      </c>
      <c r="F6" s="44"/>
    </row>
    <row r="7" spans="1:6" ht="18" x14ac:dyDescent="0.2">
      <c r="A7" s="994" t="s">
        <v>1468</v>
      </c>
      <c r="B7" s="994"/>
      <c r="C7" s="994"/>
      <c r="D7" s="47" t="e">
        <f t="shared" si="0"/>
        <v>#REF!</v>
      </c>
      <c r="E7" s="47" t="e">
        <f>'JULY 2025'!#REF!</f>
        <v>#REF!</v>
      </c>
      <c r="F7" s="44"/>
    </row>
    <row r="8" spans="1:6" ht="18" x14ac:dyDescent="0.2">
      <c r="A8" s="994" t="s">
        <v>1469</v>
      </c>
      <c r="B8" s="994"/>
      <c r="C8" s="994"/>
      <c r="D8" s="47" t="e">
        <f t="shared" si="0"/>
        <v>#REF!</v>
      </c>
      <c r="E8" s="47" t="e">
        <f>'JULY 2025'!#REF!</f>
        <v>#REF!</v>
      </c>
      <c r="F8" s="44"/>
    </row>
    <row r="9" spans="1:6" ht="18" x14ac:dyDescent="0.2">
      <c r="A9" s="994" t="s">
        <v>1470</v>
      </c>
      <c r="B9" s="994"/>
      <c r="C9" s="994"/>
      <c r="D9" s="47" t="e">
        <f t="shared" si="0"/>
        <v>#REF!</v>
      </c>
      <c r="E9" s="47" t="e">
        <f>'JULY 2025'!#REF!</f>
        <v>#REF!</v>
      </c>
      <c r="F9" s="44"/>
    </row>
    <row r="10" spans="1:6" ht="18" x14ac:dyDescent="0.2">
      <c r="A10" s="994" t="s">
        <v>1472</v>
      </c>
      <c r="B10" s="994"/>
      <c r="C10" s="994"/>
      <c r="D10" s="47" t="e">
        <f t="shared" si="0"/>
        <v>#REF!</v>
      </c>
      <c r="E10" s="47" t="e">
        <f>'JULY 2025'!#REF!</f>
        <v>#REF!</v>
      </c>
      <c r="F10" s="44"/>
    </row>
    <row r="11" spans="1:6" ht="18" x14ac:dyDescent="0.2">
      <c r="A11" s="1006" t="s">
        <v>1477</v>
      </c>
      <c r="B11" s="1016"/>
      <c r="C11" s="1007"/>
      <c r="D11" s="47">
        <f t="shared" si="0"/>
        <v>1200000</v>
      </c>
      <c r="E11" s="47">
        <v>100000</v>
      </c>
      <c r="F11" s="44"/>
    </row>
    <row r="12" spans="1:6" ht="18" x14ac:dyDescent="0.2">
      <c r="A12" s="994" t="s">
        <v>1473</v>
      </c>
      <c r="B12" s="994"/>
      <c r="C12" s="994"/>
      <c r="D12" s="47" t="e">
        <f t="shared" si="0"/>
        <v>#REF!</v>
      </c>
      <c r="E12" s="47" t="e">
        <f>'JULY 2025'!#REF!</f>
        <v>#REF!</v>
      </c>
      <c r="F12" s="44"/>
    </row>
    <row r="13" spans="1:6" ht="18" x14ac:dyDescent="0.2">
      <c r="A13" s="994" t="s">
        <v>1474</v>
      </c>
      <c r="B13" s="994"/>
      <c r="C13" s="994"/>
      <c r="D13" s="47" t="e">
        <f t="shared" si="0"/>
        <v>#REF!</v>
      </c>
      <c r="E13" s="47" t="e">
        <f>'JULY 2025'!#REF!</f>
        <v>#REF!</v>
      </c>
      <c r="F13" s="44"/>
    </row>
    <row r="14" spans="1:6" ht="18" x14ac:dyDescent="0.2">
      <c r="A14" s="1014" t="s">
        <v>9</v>
      </c>
      <c r="B14" s="1014"/>
      <c r="C14" s="1014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14"/>
  <sheetViews>
    <sheetView workbookViewId="0">
      <selection activeCell="G9" sqref="G9"/>
    </sheetView>
  </sheetViews>
  <sheetFormatPr defaultColWidth="9.03515625" defaultRowHeight="12.75" x14ac:dyDescent="0.15"/>
  <cols>
    <col min="3" max="3" width="11.32421875" customWidth="1"/>
    <col min="4" max="4" width="19.01171875" customWidth="1"/>
    <col min="5" max="5" width="19.1484375" customWidth="1"/>
  </cols>
  <sheetData>
    <row r="1" spans="1:6" ht="18" x14ac:dyDescent="0.2">
      <c r="A1" s="1018" t="s">
        <v>1478</v>
      </c>
      <c r="B1" s="1018"/>
      <c r="C1" s="1018"/>
      <c r="D1" s="1018"/>
      <c r="E1" s="1018"/>
      <c r="F1" s="1018"/>
    </row>
    <row r="2" spans="1:6" ht="18" x14ac:dyDescent="0.2">
      <c r="A2" s="961" t="s">
        <v>1479</v>
      </c>
      <c r="B2" s="961"/>
      <c r="C2" s="961"/>
      <c r="D2" s="961"/>
      <c r="E2" s="961"/>
      <c r="F2" s="961"/>
    </row>
    <row r="3" spans="1:6" ht="18" x14ac:dyDescent="0.2">
      <c r="A3" s="994"/>
      <c r="B3" s="994"/>
      <c r="C3" s="994"/>
      <c r="D3" s="45" t="s">
        <v>1463</v>
      </c>
      <c r="E3" s="45" t="s">
        <v>1464</v>
      </c>
      <c r="F3" s="46"/>
    </row>
    <row r="4" spans="1:6" ht="18" x14ac:dyDescent="0.2">
      <c r="A4" s="994" t="s">
        <v>1465</v>
      </c>
      <c r="B4" s="994"/>
      <c r="C4" s="994"/>
      <c r="D4" s="47">
        <f>E4*12</f>
        <v>20368312</v>
      </c>
      <c r="E4" s="47">
        <f>'JULY 2025'!E113</f>
        <v>1697359.33333333</v>
      </c>
      <c r="F4" s="44"/>
    </row>
    <row r="5" spans="1:6" ht="18" x14ac:dyDescent="0.2">
      <c r="A5" s="994" t="s">
        <v>1466</v>
      </c>
      <c r="B5" s="994"/>
      <c r="C5" s="994"/>
      <c r="D5" s="47" t="e">
        <f t="shared" ref="D5:D14" si="0">E5*12</f>
        <v>#REF!</v>
      </c>
      <c r="E5" s="47" t="e">
        <f>'JULY 2025'!#REF!</f>
        <v>#REF!</v>
      </c>
      <c r="F5" s="44"/>
    </row>
    <row r="6" spans="1:6" ht="18" x14ac:dyDescent="0.2">
      <c r="A6" s="994" t="s">
        <v>1467</v>
      </c>
      <c r="B6" s="994"/>
      <c r="C6" s="994"/>
      <c r="D6" s="47" t="e">
        <f t="shared" si="0"/>
        <v>#REF!</v>
      </c>
      <c r="E6" s="47" t="e">
        <f>'JULY 2025'!#REF!</f>
        <v>#REF!</v>
      </c>
      <c r="F6" s="44"/>
    </row>
    <row r="7" spans="1:6" ht="18" x14ac:dyDescent="0.2">
      <c r="A7" s="994" t="s">
        <v>1468</v>
      </c>
      <c r="B7" s="994"/>
      <c r="C7" s="994"/>
      <c r="D7" s="47" t="e">
        <f t="shared" si="0"/>
        <v>#REF!</v>
      </c>
      <c r="E7" s="47" t="e">
        <f>'JULY 2025'!#REF!</f>
        <v>#REF!</v>
      </c>
      <c r="F7" s="44"/>
    </row>
    <row r="8" spans="1:6" ht="18" x14ac:dyDescent="0.2">
      <c r="A8" s="994" t="s">
        <v>1469</v>
      </c>
      <c r="B8" s="994"/>
      <c r="C8" s="994"/>
      <c r="D8" s="47" t="e">
        <f t="shared" si="0"/>
        <v>#REF!</v>
      </c>
      <c r="E8" s="47" t="e">
        <f>'JULY 2025'!#REF!</f>
        <v>#REF!</v>
      </c>
      <c r="F8" s="44"/>
    </row>
    <row r="9" spans="1:6" ht="18" x14ac:dyDescent="0.2">
      <c r="A9" s="994" t="s">
        <v>1470</v>
      </c>
      <c r="B9" s="994"/>
      <c r="C9" s="994"/>
      <c r="D9" s="47" t="e">
        <f t="shared" si="0"/>
        <v>#REF!</v>
      </c>
      <c r="E9" s="47" t="e">
        <f>'JULY 2025'!#REF!</f>
        <v>#REF!</v>
      </c>
      <c r="F9" s="44"/>
    </row>
    <row r="10" spans="1:6" ht="18" x14ac:dyDescent="0.2">
      <c r="A10" s="994" t="s">
        <v>1472</v>
      </c>
      <c r="B10" s="994"/>
      <c r="C10" s="994"/>
      <c r="D10" s="47" t="e">
        <f t="shared" si="0"/>
        <v>#REF!</v>
      </c>
      <c r="E10" s="47" t="e">
        <f>'JULY 2025'!#REF!</f>
        <v>#REF!</v>
      </c>
      <c r="F10" s="44"/>
    </row>
    <row r="11" spans="1:6" ht="18" x14ac:dyDescent="0.2">
      <c r="A11" s="1006" t="s">
        <v>1471</v>
      </c>
      <c r="B11" s="1016"/>
      <c r="C11" s="1007"/>
      <c r="D11" s="47">
        <f t="shared" si="0"/>
        <v>0</v>
      </c>
      <c r="E11" s="47">
        <v>0</v>
      </c>
      <c r="F11" s="44"/>
    </row>
    <row r="12" spans="1:6" ht="18" x14ac:dyDescent="0.2">
      <c r="A12" s="994" t="s">
        <v>1473</v>
      </c>
      <c r="B12" s="994"/>
      <c r="C12" s="994"/>
      <c r="D12" s="47" t="e">
        <f t="shared" si="0"/>
        <v>#REF!</v>
      </c>
      <c r="E12" s="47" t="e">
        <f>'JULY 2025'!#REF!</f>
        <v>#REF!</v>
      </c>
      <c r="F12" s="44"/>
    </row>
    <row r="13" spans="1:6" ht="18" x14ac:dyDescent="0.2">
      <c r="A13" s="994" t="s">
        <v>1474</v>
      </c>
      <c r="B13" s="994"/>
      <c r="C13" s="994"/>
      <c r="D13" s="47">
        <f t="shared" si="0"/>
        <v>240000</v>
      </c>
      <c r="E13" s="47">
        <v>20000</v>
      </c>
      <c r="F13" s="44"/>
    </row>
    <row r="14" spans="1:6" ht="18" x14ac:dyDescent="0.2">
      <c r="A14" s="1014" t="s">
        <v>9</v>
      </c>
      <c r="B14" s="1014"/>
      <c r="C14" s="1014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21" right="0.7" top="0.75" bottom="0.75" header="0.3" footer="0.3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14"/>
  <sheetViews>
    <sheetView workbookViewId="0">
      <selection activeCell="A2" sqref="A2:F2"/>
    </sheetView>
  </sheetViews>
  <sheetFormatPr defaultColWidth="9.03515625" defaultRowHeight="12.75" x14ac:dyDescent="0.15"/>
  <cols>
    <col min="3" max="3" width="11.19140625" customWidth="1"/>
    <col min="4" max="4" width="19.28125" customWidth="1"/>
    <col min="5" max="5" width="19.1484375" customWidth="1"/>
  </cols>
  <sheetData>
    <row r="1" spans="1:6" ht="18" x14ac:dyDescent="0.2">
      <c r="A1" s="1018" t="s">
        <v>1480</v>
      </c>
      <c r="B1" s="1018"/>
      <c r="C1" s="1018"/>
      <c r="D1" s="1018"/>
      <c r="E1" s="1018"/>
      <c r="F1" s="1018"/>
    </row>
    <row r="2" spans="1:6" ht="18" x14ac:dyDescent="0.2">
      <c r="A2" s="961" t="s">
        <v>1481</v>
      </c>
      <c r="B2" s="961"/>
      <c r="C2" s="961"/>
      <c r="D2" s="961"/>
      <c r="E2" s="961"/>
      <c r="F2" s="961"/>
    </row>
    <row r="3" spans="1:6" ht="18" x14ac:dyDescent="0.2">
      <c r="A3" s="994"/>
      <c r="B3" s="994"/>
      <c r="C3" s="994"/>
      <c r="D3" s="45" t="s">
        <v>1463</v>
      </c>
      <c r="E3" s="45" t="s">
        <v>1464</v>
      </c>
      <c r="F3" s="46"/>
    </row>
    <row r="4" spans="1:6" ht="18" x14ac:dyDescent="0.2">
      <c r="A4" s="994" t="s">
        <v>1465</v>
      </c>
      <c r="B4" s="994"/>
      <c r="C4" s="994"/>
      <c r="D4" s="47" t="e">
        <f>E4*12</f>
        <v>#REF!</v>
      </c>
      <c r="E4" s="47" t="e">
        <f>'JULY 2025'!#REF!</f>
        <v>#REF!</v>
      </c>
      <c r="F4" s="44"/>
    </row>
    <row r="5" spans="1:6" ht="18" x14ac:dyDescent="0.2">
      <c r="A5" s="994" t="s">
        <v>1466</v>
      </c>
      <c r="B5" s="994"/>
      <c r="C5" s="994"/>
      <c r="D5" s="47" t="e">
        <f t="shared" ref="D5:D14" si="0">E5*12</f>
        <v>#REF!</v>
      </c>
      <c r="E5" s="47" t="e">
        <f>'JULY 2025'!#REF!</f>
        <v>#REF!</v>
      </c>
      <c r="F5" s="44"/>
    </row>
    <row r="6" spans="1:6" ht="18" x14ac:dyDescent="0.2">
      <c r="A6" s="994" t="s">
        <v>1467</v>
      </c>
      <c r="B6" s="994"/>
      <c r="C6" s="994"/>
      <c r="D6" s="47" t="e">
        <f t="shared" si="0"/>
        <v>#REF!</v>
      </c>
      <c r="E6" s="47" t="e">
        <f>'JULY 2025'!#REF!</f>
        <v>#REF!</v>
      </c>
      <c r="F6" s="44"/>
    </row>
    <row r="7" spans="1:6" ht="18" x14ac:dyDescent="0.2">
      <c r="A7" s="994" t="s">
        <v>1468</v>
      </c>
      <c r="B7" s="994"/>
      <c r="C7" s="994"/>
      <c r="D7" s="47">
        <f t="shared" si="0"/>
        <v>0</v>
      </c>
      <c r="E7" s="47">
        <f>SUMMARY!J6</f>
        <v>0</v>
      </c>
      <c r="F7" s="44"/>
    </row>
    <row r="8" spans="1:6" ht="18" x14ac:dyDescent="0.2">
      <c r="A8" s="994" t="s">
        <v>1469</v>
      </c>
      <c r="B8" s="994"/>
      <c r="C8" s="994"/>
      <c r="D8" s="47" t="e">
        <f t="shared" si="0"/>
        <v>#REF!</v>
      </c>
      <c r="E8" s="47" t="e">
        <f>'JULY 2025'!#REF!</f>
        <v>#REF!</v>
      </c>
      <c r="F8" s="44"/>
    </row>
    <row r="9" spans="1:6" ht="18" x14ac:dyDescent="0.2">
      <c r="A9" s="994" t="s">
        <v>1470</v>
      </c>
      <c r="B9" s="994"/>
      <c r="C9" s="994"/>
      <c r="D9" s="47" t="e">
        <f t="shared" si="0"/>
        <v>#REF!</v>
      </c>
      <c r="E9" s="47" t="e">
        <f>'JULY 2025'!#REF!</f>
        <v>#REF!</v>
      </c>
      <c r="F9" s="44"/>
    </row>
    <row r="10" spans="1:6" ht="18" x14ac:dyDescent="0.2">
      <c r="A10" s="994" t="s">
        <v>1472</v>
      </c>
      <c r="B10" s="994"/>
      <c r="C10" s="994"/>
      <c r="D10" s="47" t="e">
        <f t="shared" si="0"/>
        <v>#REF!</v>
      </c>
      <c r="E10" s="47" t="e">
        <f>'JULY 2025'!#REF!</f>
        <v>#REF!</v>
      </c>
      <c r="F10" s="44"/>
    </row>
    <row r="11" spans="1:6" ht="18" x14ac:dyDescent="0.2">
      <c r="A11" s="1006" t="s">
        <v>1471</v>
      </c>
      <c r="B11" s="1016"/>
      <c r="C11" s="1007"/>
      <c r="D11" s="47">
        <f t="shared" si="0"/>
        <v>0</v>
      </c>
      <c r="E11" s="47">
        <v>0</v>
      </c>
      <c r="F11" s="44"/>
    </row>
    <row r="12" spans="1:6" ht="18" x14ac:dyDescent="0.2">
      <c r="A12" s="994" t="s">
        <v>1473</v>
      </c>
      <c r="B12" s="994"/>
      <c r="C12" s="994"/>
      <c r="D12" s="47" t="e">
        <f t="shared" si="0"/>
        <v>#REF!</v>
      </c>
      <c r="E12" s="47" t="e">
        <f>'JULY 2025'!#REF!</f>
        <v>#REF!</v>
      </c>
      <c r="F12" s="44"/>
    </row>
    <row r="13" spans="1:6" ht="18" x14ac:dyDescent="0.2">
      <c r="A13" s="994" t="s">
        <v>1474</v>
      </c>
      <c r="B13" s="994"/>
      <c r="C13" s="994"/>
      <c r="D13" s="47" t="e">
        <f t="shared" si="0"/>
        <v>#REF!</v>
      </c>
      <c r="E13" s="47" t="e">
        <f>'JULY 2025'!#REF!</f>
        <v>#REF!</v>
      </c>
      <c r="F13" s="44"/>
    </row>
    <row r="14" spans="1:6" ht="18" x14ac:dyDescent="0.2">
      <c r="A14" s="1014" t="s">
        <v>9</v>
      </c>
      <c r="B14" s="1014"/>
      <c r="C14" s="1014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5" right="0.7" top="0.75" bottom="0.75" header="0.17" footer="0.3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13"/>
  <sheetViews>
    <sheetView workbookViewId="0">
      <selection activeCell="B37" sqref="B37"/>
    </sheetView>
  </sheetViews>
  <sheetFormatPr defaultColWidth="9.03515625" defaultRowHeight="12.75" x14ac:dyDescent="0.15"/>
  <cols>
    <col min="3" max="3" width="11.19140625" customWidth="1"/>
    <col min="4" max="4" width="19.28125" customWidth="1"/>
    <col min="5" max="5" width="18.7421875" customWidth="1"/>
  </cols>
  <sheetData>
    <row r="1" spans="1:6" ht="18" x14ac:dyDescent="0.2">
      <c r="A1" s="1018"/>
      <c r="B1" s="1018"/>
      <c r="C1" s="1018"/>
      <c r="D1" s="1018"/>
      <c r="E1" s="1018"/>
      <c r="F1" s="1018"/>
    </row>
    <row r="2" spans="1:6" ht="18" x14ac:dyDescent="0.2">
      <c r="A2" s="961"/>
      <c r="B2" s="961"/>
      <c r="C2" s="961"/>
      <c r="D2" s="961"/>
      <c r="E2" s="961"/>
      <c r="F2" s="961"/>
    </row>
    <row r="3" spans="1:6" ht="18" x14ac:dyDescent="0.2">
      <c r="A3" s="994"/>
      <c r="B3" s="994"/>
      <c r="C3" s="994"/>
      <c r="D3" s="45" t="s">
        <v>1463</v>
      </c>
      <c r="E3" s="45" t="s">
        <v>1464</v>
      </c>
      <c r="F3" s="46"/>
    </row>
    <row r="4" spans="1:6" ht="18" x14ac:dyDescent="0.2">
      <c r="A4" s="994" t="s">
        <v>1465</v>
      </c>
      <c r="B4" s="994"/>
      <c r="C4" s="994"/>
      <c r="D4" s="47">
        <f>E4*12</f>
        <v>255527.52</v>
      </c>
      <c r="E4" s="47">
        <f>SUMMARY!F7</f>
        <v>21293.96</v>
      </c>
      <c r="F4" s="44"/>
    </row>
    <row r="5" spans="1:6" ht="18" x14ac:dyDescent="0.2">
      <c r="A5" s="994" t="s">
        <v>1466</v>
      </c>
      <c r="B5" s="994"/>
      <c r="C5" s="994"/>
      <c r="D5" s="47">
        <f t="shared" ref="D5:D13" si="0">E5*12</f>
        <v>766582.56</v>
      </c>
      <c r="E5" s="47">
        <f>SUMMARY!H7</f>
        <v>63881.88</v>
      </c>
      <c r="F5" s="44"/>
    </row>
    <row r="6" spans="1:6" ht="18" x14ac:dyDescent="0.2">
      <c r="A6" s="994" t="s">
        <v>1467</v>
      </c>
      <c r="B6" s="994"/>
      <c r="C6" s="994"/>
      <c r="D6" s="47">
        <f t="shared" si="0"/>
        <v>19164.563999999998</v>
      </c>
      <c r="E6" s="47">
        <f>SUMMARY!I7</f>
        <v>1597.047</v>
      </c>
      <c r="F6" s="44"/>
    </row>
    <row r="7" spans="1:6" ht="18" x14ac:dyDescent="0.2">
      <c r="A7" s="994" t="s">
        <v>1468</v>
      </c>
      <c r="B7" s="994"/>
      <c r="C7" s="994"/>
      <c r="D7" s="47">
        <f t="shared" si="0"/>
        <v>0</v>
      </c>
      <c r="E7" s="47">
        <f>SUMMARY!J6</f>
        <v>0</v>
      </c>
      <c r="F7" s="44"/>
    </row>
    <row r="8" spans="1:6" ht="18" x14ac:dyDescent="0.2">
      <c r="A8" s="994" t="s">
        <v>1469</v>
      </c>
      <c r="B8" s="994"/>
      <c r="C8" s="994"/>
      <c r="D8" s="47">
        <f t="shared" si="0"/>
        <v>127763.76</v>
      </c>
      <c r="E8" s="47">
        <f>SUMMARY!K7</f>
        <v>10646.98</v>
      </c>
      <c r="F8" s="44"/>
    </row>
    <row r="9" spans="1:6" ht="18" x14ac:dyDescent="0.2">
      <c r="A9" s="994" t="s">
        <v>1470</v>
      </c>
      <c r="B9" s="994"/>
      <c r="C9" s="994"/>
      <c r="D9" s="47">
        <f t="shared" si="0"/>
        <v>894346.32</v>
      </c>
      <c r="E9" s="47">
        <f>SUMMARY!L7</f>
        <v>74528.86</v>
      </c>
      <c r="F9" s="44"/>
    </row>
    <row r="10" spans="1:6" ht="18" x14ac:dyDescent="0.2">
      <c r="A10" s="994" t="s">
        <v>1472</v>
      </c>
      <c r="B10" s="994"/>
      <c r="C10" s="994"/>
      <c r="D10" s="47">
        <f t="shared" si="0"/>
        <v>255527.52</v>
      </c>
      <c r="E10" s="47">
        <f>SUMMARY!N7</f>
        <v>21293.96</v>
      </c>
      <c r="F10" s="44"/>
    </row>
    <row r="11" spans="1:6" ht="18" x14ac:dyDescent="0.2">
      <c r="A11" s="994" t="s">
        <v>1473</v>
      </c>
      <c r="B11" s="994"/>
      <c r="C11" s="994"/>
      <c r="D11" s="47">
        <f t="shared" si="0"/>
        <v>25552.752</v>
      </c>
      <c r="E11" s="47">
        <f>SUMMARY!O7</f>
        <v>2129.3960000000002</v>
      </c>
      <c r="F11" s="44"/>
    </row>
    <row r="12" spans="1:6" ht="18" x14ac:dyDescent="0.2">
      <c r="A12" s="994" t="s">
        <v>1474</v>
      </c>
      <c r="B12" s="994"/>
      <c r="C12" s="994"/>
      <c r="D12" s="47">
        <f t="shared" si="0"/>
        <v>120000</v>
      </c>
      <c r="E12" s="47">
        <f>SUMMARY!P7</f>
        <v>10000</v>
      </c>
      <c r="F12" s="44"/>
    </row>
    <row r="13" spans="1:6" ht="18" x14ac:dyDescent="0.2">
      <c r="A13" s="1014" t="s">
        <v>9</v>
      </c>
      <c r="B13" s="1014"/>
      <c r="C13" s="1014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:F1"/>
    <mergeCell ref="A2:F2"/>
    <mergeCell ref="A3:C3"/>
    <mergeCell ref="A4:C4"/>
    <mergeCell ref="A5:C5"/>
    <mergeCell ref="A11:C11"/>
    <mergeCell ref="A12:C12"/>
    <mergeCell ref="A13:C13"/>
    <mergeCell ref="A6:C6"/>
    <mergeCell ref="A7:C7"/>
    <mergeCell ref="A8:C8"/>
    <mergeCell ref="A9:C9"/>
    <mergeCell ref="A10:C10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14"/>
  <sheetViews>
    <sheetView workbookViewId="0">
      <selection activeCell="D34" sqref="D34"/>
    </sheetView>
  </sheetViews>
  <sheetFormatPr defaultColWidth="9.03515625" defaultRowHeight="12.75" x14ac:dyDescent="0.15"/>
  <cols>
    <col min="3" max="3" width="11.73046875" customWidth="1"/>
    <col min="4" max="4" width="19.41796875" customWidth="1"/>
    <col min="5" max="5" width="18.87890625" customWidth="1"/>
  </cols>
  <sheetData>
    <row r="1" spans="1:6" ht="18" x14ac:dyDescent="0.2">
      <c r="A1" s="1018" t="s">
        <v>1482</v>
      </c>
      <c r="B1" s="1018"/>
      <c r="C1" s="1018"/>
      <c r="D1" s="1018"/>
      <c r="E1" s="1018"/>
      <c r="F1" s="1018"/>
    </row>
    <row r="2" spans="1:6" ht="18" x14ac:dyDescent="0.2">
      <c r="A2" s="961" t="s">
        <v>1483</v>
      </c>
      <c r="B2" s="961"/>
      <c r="C2" s="961"/>
      <c r="D2" s="961"/>
      <c r="E2" s="961"/>
      <c r="F2" s="961"/>
    </row>
    <row r="3" spans="1:6" ht="18" x14ac:dyDescent="0.2">
      <c r="A3" s="994"/>
      <c r="B3" s="994"/>
      <c r="C3" s="994"/>
      <c r="D3" s="45" t="s">
        <v>1463</v>
      </c>
      <c r="E3" s="45" t="s">
        <v>1464</v>
      </c>
      <c r="F3" s="46"/>
    </row>
    <row r="4" spans="1:6" ht="18" x14ac:dyDescent="0.2">
      <c r="A4" s="994" t="s">
        <v>1465</v>
      </c>
      <c r="B4" s="994"/>
      <c r="C4" s="994"/>
      <c r="D4" s="47">
        <f>E4*12</f>
        <v>207435.96</v>
      </c>
      <c r="E4" s="47">
        <f>SUMMARY!F8</f>
        <v>17286.330000000002</v>
      </c>
      <c r="F4" s="44"/>
    </row>
    <row r="5" spans="1:6" ht="18" x14ac:dyDescent="0.2">
      <c r="A5" s="994" t="s">
        <v>1466</v>
      </c>
      <c r="B5" s="994"/>
      <c r="C5" s="994"/>
      <c r="D5" s="47">
        <f t="shared" ref="D5:D14" si="0">E5*12</f>
        <v>622307.88</v>
      </c>
      <c r="E5" s="47">
        <f>SUMMARY!H8</f>
        <v>51858.99</v>
      </c>
      <c r="F5" s="44"/>
    </row>
    <row r="6" spans="1:6" ht="18" x14ac:dyDescent="0.2">
      <c r="A6" s="994" t="s">
        <v>1467</v>
      </c>
      <c r="B6" s="994"/>
      <c r="C6" s="994"/>
      <c r="D6" s="47">
        <f t="shared" si="0"/>
        <v>15557.697</v>
      </c>
      <c r="E6" s="47">
        <f>SUMMARY!I8</f>
        <v>1296.4747500000001</v>
      </c>
      <c r="F6" s="44"/>
    </row>
    <row r="7" spans="1:6" ht="18" x14ac:dyDescent="0.2">
      <c r="A7" s="994" t="s">
        <v>1468</v>
      </c>
      <c r="B7" s="994"/>
      <c r="C7" s="994"/>
      <c r="D7" s="47">
        <f t="shared" si="0"/>
        <v>0</v>
      </c>
      <c r="E7" s="47">
        <f>SUMMARY!J6</f>
        <v>0</v>
      </c>
      <c r="F7" s="44"/>
    </row>
    <row r="8" spans="1:6" ht="18" x14ac:dyDescent="0.2">
      <c r="A8" s="994" t="s">
        <v>1469</v>
      </c>
      <c r="B8" s="994"/>
      <c r="C8" s="994"/>
      <c r="D8" s="47">
        <f t="shared" si="0"/>
        <v>103717.98</v>
      </c>
      <c r="E8" s="47">
        <f>SUMMARY!K8</f>
        <v>8643.1650000000009</v>
      </c>
      <c r="F8" s="44"/>
    </row>
    <row r="9" spans="1:6" ht="18" x14ac:dyDescent="0.2">
      <c r="A9" s="994" t="s">
        <v>1470</v>
      </c>
      <c r="B9" s="994"/>
      <c r="C9" s="994"/>
      <c r="D9" s="47">
        <f t="shared" si="0"/>
        <v>726025.86</v>
      </c>
      <c r="E9" s="47">
        <f>SUMMARY!L8</f>
        <v>60502.154999999999</v>
      </c>
      <c r="F9" s="44"/>
    </row>
    <row r="10" spans="1:6" ht="18" x14ac:dyDescent="0.2">
      <c r="A10" s="994" t="s">
        <v>1472</v>
      </c>
      <c r="B10" s="994"/>
      <c r="C10" s="994"/>
      <c r="D10" s="47">
        <f t="shared" si="0"/>
        <v>207435.96</v>
      </c>
      <c r="E10" s="47">
        <f>SUMMARY!N8</f>
        <v>17286.330000000002</v>
      </c>
      <c r="F10" s="44"/>
    </row>
    <row r="11" spans="1:6" ht="18" x14ac:dyDescent="0.2">
      <c r="A11" s="1006" t="s">
        <v>1471</v>
      </c>
      <c r="B11" s="1016"/>
      <c r="C11" s="1007"/>
      <c r="D11" s="47">
        <f t="shared" si="0"/>
        <v>480000</v>
      </c>
      <c r="E11" s="47">
        <v>40000</v>
      </c>
      <c r="F11" s="44"/>
    </row>
    <row r="12" spans="1:6" ht="18" x14ac:dyDescent="0.2">
      <c r="A12" s="994" t="s">
        <v>1473</v>
      </c>
      <c r="B12" s="994"/>
      <c r="C12" s="994"/>
      <c r="D12" s="47">
        <f t="shared" si="0"/>
        <v>20743.596000000001</v>
      </c>
      <c r="E12" s="47">
        <f>SUMMARY!O8</f>
        <v>1728.633</v>
      </c>
      <c r="F12" s="44"/>
    </row>
    <row r="13" spans="1:6" ht="18" x14ac:dyDescent="0.2">
      <c r="A13" s="994" t="s">
        <v>1474</v>
      </c>
      <c r="B13" s="994"/>
      <c r="C13" s="994"/>
      <c r="D13" s="47">
        <f t="shared" si="0"/>
        <v>120000</v>
      </c>
      <c r="E13" s="47">
        <f>SUMMARY!P7</f>
        <v>10000</v>
      </c>
      <c r="F13" s="44"/>
    </row>
    <row r="14" spans="1:6" ht="18" x14ac:dyDescent="0.2">
      <c r="A14" s="1014" t="s">
        <v>9</v>
      </c>
      <c r="B14" s="1014"/>
      <c r="C14" s="1014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2" right="0.7" top="0.75" bottom="0.75" header="0.3" footer="0.3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14"/>
  <sheetViews>
    <sheetView workbookViewId="0">
      <selection activeCell="D18" sqref="D18"/>
    </sheetView>
  </sheetViews>
  <sheetFormatPr defaultColWidth="9.03515625" defaultRowHeight="12.75" x14ac:dyDescent="0.15"/>
  <cols>
    <col min="3" max="3" width="11.19140625" customWidth="1"/>
    <col min="4" max="4" width="19.01171875" customWidth="1"/>
    <col min="5" max="5" width="18.87890625" customWidth="1"/>
  </cols>
  <sheetData>
    <row r="1" spans="1:6" ht="18" x14ac:dyDescent="0.2">
      <c r="A1" s="1018" t="s">
        <v>1484</v>
      </c>
      <c r="B1" s="1018"/>
      <c r="C1" s="1018"/>
      <c r="D1" s="1018"/>
      <c r="E1" s="1018"/>
      <c r="F1" s="1018"/>
    </row>
    <row r="2" spans="1:6" ht="18" x14ac:dyDescent="0.2">
      <c r="A2" s="961" t="s">
        <v>1485</v>
      </c>
      <c r="B2" s="961"/>
      <c r="C2" s="961"/>
      <c r="D2" s="961"/>
      <c r="E2" s="961"/>
      <c r="F2" s="961"/>
    </row>
    <row r="3" spans="1:6" ht="18" x14ac:dyDescent="0.2">
      <c r="A3" s="994"/>
      <c r="B3" s="994"/>
      <c r="C3" s="994"/>
      <c r="D3" s="45" t="s">
        <v>1463</v>
      </c>
      <c r="E3" s="45" t="s">
        <v>1464</v>
      </c>
      <c r="F3" s="46"/>
    </row>
    <row r="4" spans="1:6" ht="18" x14ac:dyDescent="0.2">
      <c r="A4" s="994" t="s">
        <v>1465</v>
      </c>
      <c r="B4" s="994"/>
      <c r="C4" s="994"/>
      <c r="D4" s="47">
        <f>E4*12</f>
        <v>176833.68</v>
      </c>
      <c r="E4" s="47">
        <f>SUMMARY!F9</f>
        <v>14736.14</v>
      </c>
      <c r="F4" s="44"/>
    </row>
    <row r="5" spans="1:6" ht="18" x14ac:dyDescent="0.2">
      <c r="A5" s="994" t="s">
        <v>1466</v>
      </c>
      <c r="B5" s="994"/>
      <c r="C5" s="994"/>
      <c r="D5" s="47">
        <f t="shared" ref="D5:D14" si="0">E5*12</f>
        <v>530501.04</v>
      </c>
      <c r="E5" s="47">
        <f>SUMMARY!H9</f>
        <v>44208.42</v>
      </c>
      <c r="F5" s="44"/>
    </row>
    <row r="6" spans="1:6" ht="18" x14ac:dyDescent="0.2">
      <c r="A6" s="994" t="s">
        <v>1467</v>
      </c>
      <c r="B6" s="994"/>
      <c r="C6" s="994"/>
      <c r="D6" s="47">
        <f t="shared" si="0"/>
        <v>13262.526</v>
      </c>
      <c r="E6" s="47">
        <f>SUMMARY!I9</f>
        <v>1105.2104999999999</v>
      </c>
      <c r="F6" s="44"/>
    </row>
    <row r="7" spans="1:6" ht="18" x14ac:dyDescent="0.2">
      <c r="A7" s="994" t="s">
        <v>1468</v>
      </c>
      <c r="B7" s="994"/>
      <c r="C7" s="994"/>
      <c r="D7" s="47">
        <f t="shared" si="0"/>
        <v>0</v>
      </c>
      <c r="E7" s="47">
        <f>SUMMARY!J6</f>
        <v>0</v>
      </c>
      <c r="F7" s="44"/>
    </row>
    <row r="8" spans="1:6" ht="18" x14ac:dyDescent="0.2">
      <c r="A8" s="994" t="s">
        <v>1469</v>
      </c>
      <c r="B8" s="994"/>
      <c r="C8" s="994"/>
      <c r="D8" s="47">
        <f t="shared" si="0"/>
        <v>88416.84</v>
      </c>
      <c r="E8" s="47">
        <f>SUMMARY!K9</f>
        <v>7368.07</v>
      </c>
      <c r="F8" s="44"/>
    </row>
    <row r="9" spans="1:6" ht="18" x14ac:dyDescent="0.2">
      <c r="A9" s="994" t="s">
        <v>1470</v>
      </c>
      <c r="B9" s="994"/>
      <c r="C9" s="994"/>
      <c r="D9" s="47">
        <f t="shared" si="0"/>
        <v>618917.88</v>
      </c>
      <c r="E9" s="47">
        <f>SUMMARY!L9</f>
        <v>51576.49</v>
      </c>
      <c r="F9" s="44"/>
    </row>
    <row r="10" spans="1:6" ht="18" x14ac:dyDescent="0.2">
      <c r="A10" s="994" t="s">
        <v>1472</v>
      </c>
      <c r="B10" s="994"/>
      <c r="C10" s="994"/>
      <c r="D10" s="47">
        <f t="shared" si="0"/>
        <v>176833.68</v>
      </c>
      <c r="E10" s="47">
        <f>SUMMARY!N9</f>
        <v>14736.14</v>
      </c>
      <c r="F10" s="44"/>
    </row>
    <row r="11" spans="1:6" ht="18" x14ac:dyDescent="0.2">
      <c r="A11" s="1006" t="s">
        <v>1486</v>
      </c>
      <c r="B11" s="1016"/>
      <c r="C11" s="1007"/>
      <c r="D11" s="47">
        <f t="shared" si="0"/>
        <v>480000</v>
      </c>
      <c r="E11" s="47">
        <v>40000</v>
      </c>
      <c r="F11" s="44"/>
    </row>
    <row r="12" spans="1:6" ht="18" x14ac:dyDescent="0.2">
      <c r="A12" s="994" t="s">
        <v>1473</v>
      </c>
      <c r="B12" s="994"/>
      <c r="C12" s="994"/>
      <c r="D12" s="47">
        <f t="shared" si="0"/>
        <v>17683.367999999999</v>
      </c>
      <c r="E12" s="47">
        <f>SUMMARY!O9</f>
        <v>1473.614</v>
      </c>
      <c r="F12" s="44"/>
    </row>
    <row r="13" spans="1:6" ht="18" x14ac:dyDescent="0.2">
      <c r="A13" s="994" t="s">
        <v>1474</v>
      </c>
      <c r="B13" s="994"/>
      <c r="C13" s="994"/>
      <c r="D13" s="47">
        <f t="shared" si="0"/>
        <v>120000</v>
      </c>
      <c r="E13" s="47">
        <f>SUMMARY!P7</f>
        <v>10000</v>
      </c>
      <c r="F13" s="44"/>
    </row>
    <row r="14" spans="1:6" ht="18" x14ac:dyDescent="0.2">
      <c r="A14" s="1014" t="s">
        <v>9</v>
      </c>
      <c r="B14" s="1014"/>
      <c r="C14" s="1014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1399999999999999" right="0.7" top="0.75" bottom="0.75" header="0.3" footer="0.3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12"/>
  <sheetViews>
    <sheetView workbookViewId="0">
      <selection activeCell="O5" sqref="O5"/>
    </sheetView>
  </sheetViews>
  <sheetFormatPr defaultColWidth="9.03515625" defaultRowHeight="12.75" x14ac:dyDescent="0.15"/>
  <cols>
    <col min="3" max="3" width="11.4609375" customWidth="1"/>
    <col min="4" max="4" width="22.11328125" customWidth="1"/>
    <col min="5" max="5" width="22.25" customWidth="1"/>
  </cols>
  <sheetData>
    <row r="1" spans="1:6" ht="18" x14ac:dyDescent="0.2">
      <c r="A1" s="1018" t="s">
        <v>1487</v>
      </c>
      <c r="B1" s="1018"/>
      <c r="C1" s="1018"/>
      <c r="D1" s="1018"/>
      <c r="E1" s="1018"/>
      <c r="F1" s="1018"/>
    </row>
    <row r="2" spans="1:6" ht="18" x14ac:dyDescent="0.2">
      <c r="A2" s="961"/>
      <c r="B2" s="961"/>
      <c r="C2" s="961"/>
      <c r="D2" s="961"/>
      <c r="E2" s="961"/>
      <c r="F2" s="961"/>
    </row>
    <row r="3" spans="1:6" ht="18" x14ac:dyDescent="0.2">
      <c r="A3" s="994"/>
      <c r="B3" s="994"/>
      <c r="C3" s="994"/>
      <c r="D3" s="45" t="s">
        <v>1463</v>
      </c>
      <c r="E3" s="45" t="s">
        <v>1464</v>
      </c>
      <c r="F3" s="46"/>
    </row>
    <row r="4" spans="1:6" ht="18" x14ac:dyDescent="0.2">
      <c r="A4" s="994" t="s">
        <v>1465</v>
      </c>
      <c r="B4" s="994"/>
      <c r="C4" s="994"/>
      <c r="D4" s="47">
        <f>E4*12</f>
        <v>6886933.0000000102</v>
      </c>
      <c r="E4" s="47">
        <f>'JULY 2025'!E90</f>
        <v>573911.08333333395</v>
      </c>
      <c r="F4" s="44"/>
    </row>
    <row r="5" spans="1:6" ht="18" x14ac:dyDescent="0.2">
      <c r="A5" s="994" t="s">
        <v>1466</v>
      </c>
      <c r="B5" s="994"/>
      <c r="C5" s="994"/>
      <c r="D5" s="47" t="e">
        <f t="shared" ref="D5:D12" si="0">E5*12</f>
        <v>#REF!</v>
      </c>
      <c r="E5" s="47" t="e">
        <f>'JULY 2025'!#REF!</f>
        <v>#REF!</v>
      </c>
      <c r="F5" s="44"/>
    </row>
    <row r="6" spans="1:6" ht="18" x14ac:dyDescent="0.2">
      <c r="A6" s="994" t="s">
        <v>1467</v>
      </c>
      <c r="B6" s="994"/>
      <c r="C6" s="994"/>
      <c r="D6" s="47" t="e">
        <f t="shared" si="0"/>
        <v>#REF!</v>
      </c>
      <c r="E6" s="47" t="e">
        <f>'JULY 2025'!#REF!</f>
        <v>#REF!</v>
      </c>
      <c r="F6" s="44"/>
    </row>
    <row r="7" spans="1:6" ht="18" x14ac:dyDescent="0.2">
      <c r="A7" s="994" t="s">
        <v>1469</v>
      </c>
      <c r="B7" s="994"/>
      <c r="C7" s="994"/>
      <c r="D7" s="47" t="e">
        <f t="shared" si="0"/>
        <v>#REF!</v>
      </c>
      <c r="E7" s="47" t="e">
        <f>'JULY 2025'!#REF!</f>
        <v>#REF!</v>
      </c>
      <c r="F7" s="44"/>
    </row>
    <row r="8" spans="1:6" ht="18" x14ac:dyDescent="0.2">
      <c r="A8" s="994" t="s">
        <v>1470</v>
      </c>
      <c r="B8" s="994"/>
      <c r="C8" s="994"/>
      <c r="D8" s="47" t="e">
        <f t="shared" si="0"/>
        <v>#REF!</v>
      </c>
      <c r="E8" s="47" t="e">
        <f>'JULY 2025'!#REF!</f>
        <v>#REF!</v>
      </c>
      <c r="F8" s="44"/>
    </row>
    <row r="9" spans="1:6" ht="18" x14ac:dyDescent="0.2">
      <c r="A9" s="994" t="s">
        <v>1472</v>
      </c>
      <c r="B9" s="994"/>
      <c r="C9" s="994"/>
      <c r="D9" s="47" t="e">
        <f t="shared" si="0"/>
        <v>#REF!</v>
      </c>
      <c r="E9" s="47" t="e">
        <f>'JULY 2025'!#REF!</f>
        <v>#REF!</v>
      </c>
      <c r="F9" s="44"/>
    </row>
    <row r="10" spans="1:6" ht="18" x14ac:dyDescent="0.2">
      <c r="A10" s="994" t="s">
        <v>1473</v>
      </c>
      <c r="B10" s="994"/>
      <c r="C10" s="994"/>
      <c r="D10" s="47" t="e">
        <f t="shared" si="0"/>
        <v>#REF!</v>
      </c>
      <c r="E10" s="47" t="e">
        <f>'JULY 2025'!#REF!</f>
        <v>#REF!</v>
      </c>
      <c r="F10" s="44"/>
    </row>
    <row r="11" spans="1:6" ht="18" x14ac:dyDescent="0.2">
      <c r="A11" s="994" t="s">
        <v>1474</v>
      </c>
      <c r="B11" s="994"/>
      <c r="C11" s="994"/>
      <c r="D11" s="47" t="e">
        <f t="shared" si="0"/>
        <v>#REF!</v>
      </c>
      <c r="E11" s="47" t="e">
        <f>'JULY 2025'!#REF!</f>
        <v>#REF!</v>
      </c>
      <c r="F11" s="44"/>
    </row>
    <row r="12" spans="1:6" ht="18" x14ac:dyDescent="0.2">
      <c r="A12" s="1014" t="s">
        <v>9</v>
      </c>
      <c r="B12" s="1014"/>
      <c r="C12" s="1014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:F1"/>
    <mergeCell ref="A2:F2"/>
    <mergeCell ref="A3:C3"/>
    <mergeCell ref="A4:C4"/>
    <mergeCell ref="A5:C5"/>
    <mergeCell ref="A11:C11"/>
    <mergeCell ref="A12:C12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V10"/>
  <sheetViews>
    <sheetView workbookViewId="0">
      <selection activeCell="F3" sqref="F3"/>
    </sheetView>
  </sheetViews>
  <sheetFormatPr defaultColWidth="9.03515625" defaultRowHeight="12.75" x14ac:dyDescent="0.15"/>
  <cols>
    <col min="3" max="3" width="11.73046875" customWidth="1"/>
    <col min="6" max="6" width="13.6171875" customWidth="1"/>
    <col min="7" max="7" width="11.0546875" customWidth="1"/>
    <col min="8" max="8" width="14.5625" customWidth="1"/>
    <col min="9" max="9" width="12.40625" customWidth="1"/>
    <col min="10" max="10" width="13.21484375" customWidth="1"/>
    <col min="11" max="11" width="13.078125" customWidth="1"/>
    <col min="12" max="12" width="14.42578125" customWidth="1"/>
    <col min="14" max="14" width="13.078125" customWidth="1"/>
    <col min="15" max="15" width="16.1796875" customWidth="1"/>
    <col min="16" max="16" width="13.484375" customWidth="1"/>
    <col min="17" max="17" width="13.6171875" customWidth="1"/>
    <col min="18" max="18" width="14.83203125" customWidth="1"/>
    <col min="19" max="19" width="16.31640625" customWidth="1"/>
    <col min="21" max="21" width="17.2578125" customWidth="1"/>
  </cols>
  <sheetData>
    <row r="1" spans="1:22" ht="18" x14ac:dyDescent="0.2">
      <c r="F1" s="50" t="s">
        <v>1432</v>
      </c>
      <c r="G1" s="50" t="s">
        <v>1488</v>
      </c>
      <c r="H1" s="50"/>
      <c r="I1" s="50"/>
      <c r="J1" s="50"/>
      <c r="K1" s="50"/>
      <c r="L1" s="50"/>
      <c r="M1" s="50" t="s">
        <v>1489</v>
      </c>
      <c r="N1" s="50" t="s">
        <v>1433</v>
      </c>
      <c r="O1" s="50" t="s">
        <v>1434</v>
      </c>
      <c r="P1" s="50" t="s">
        <v>1436</v>
      </c>
      <c r="Q1" s="50" t="s">
        <v>1437</v>
      </c>
      <c r="R1" s="50" t="s">
        <v>1438</v>
      </c>
      <c r="S1" s="50" t="s">
        <v>1490</v>
      </c>
      <c r="T1" s="55"/>
      <c r="U1" s="56" t="s">
        <v>1491</v>
      </c>
      <c r="V1" s="57" t="s">
        <v>1492</v>
      </c>
    </row>
    <row r="2" spans="1:22" ht="18" x14ac:dyDescent="0.2">
      <c r="F2" s="50" t="s">
        <v>748</v>
      </c>
      <c r="G2" s="50" t="s">
        <v>1493</v>
      </c>
      <c r="H2" s="50" t="s">
        <v>825</v>
      </c>
      <c r="I2" s="50" t="s">
        <v>826</v>
      </c>
      <c r="J2" s="50" t="s">
        <v>827</v>
      </c>
      <c r="K2" s="50" t="s">
        <v>828</v>
      </c>
      <c r="L2" s="50" t="s">
        <v>829</v>
      </c>
      <c r="M2" s="50" t="s">
        <v>1494</v>
      </c>
      <c r="N2" s="50" t="s">
        <v>830</v>
      </c>
      <c r="O2" s="50" t="s">
        <v>7</v>
      </c>
      <c r="P2" s="50" t="s">
        <v>831</v>
      </c>
      <c r="Q2" s="50" t="s">
        <v>831</v>
      </c>
      <c r="R2" s="50" t="s">
        <v>8</v>
      </c>
      <c r="S2" s="50" t="s">
        <v>748</v>
      </c>
      <c r="T2" s="50" t="s">
        <v>15</v>
      </c>
      <c r="U2" s="56"/>
      <c r="V2" s="57"/>
    </row>
    <row r="3" spans="1:22" ht="18" x14ac:dyDescent="0.2">
      <c r="A3" s="1019" t="s">
        <v>1495</v>
      </c>
      <c r="B3" s="1020"/>
      <c r="C3" s="1021"/>
      <c r="D3" s="51"/>
      <c r="E3" s="51" t="s">
        <v>1496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" x14ac:dyDescent="0.2">
      <c r="A4" s="1019" t="s">
        <v>1497</v>
      </c>
      <c r="B4" s="1020"/>
      <c r="C4" s="1021"/>
      <c r="D4" s="51"/>
      <c r="E4" s="51" t="s">
        <v>1498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" x14ac:dyDescent="0.2">
      <c r="A5" s="1022" t="s">
        <v>45</v>
      </c>
      <c r="B5" s="1023"/>
      <c r="C5" s="1024"/>
      <c r="D5" s="53"/>
      <c r="E5" s="54" t="s">
        <v>229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" x14ac:dyDescent="0.2">
      <c r="A6" s="1019" t="s">
        <v>552</v>
      </c>
      <c r="B6" s="1020"/>
      <c r="C6" s="1021"/>
      <c r="D6" s="51"/>
      <c r="E6" s="51" t="s">
        <v>688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" x14ac:dyDescent="0.2">
      <c r="A7" s="1019" t="s">
        <v>1499</v>
      </c>
      <c r="B7" s="1020"/>
      <c r="C7" s="1021"/>
      <c r="D7" s="51"/>
      <c r="E7" s="51" t="s">
        <v>685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" x14ac:dyDescent="0.2">
      <c r="A8" s="1019" t="s">
        <v>139</v>
      </c>
      <c r="B8" s="1020"/>
      <c r="C8" s="1021"/>
      <c r="D8" s="51"/>
      <c r="E8" s="51" t="s">
        <v>1500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" x14ac:dyDescent="0.2">
      <c r="A9" s="1019" t="s">
        <v>1501</v>
      </c>
      <c r="B9" s="1020"/>
      <c r="C9" s="1021"/>
      <c r="D9" s="51"/>
      <c r="E9" s="51" t="s">
        <v>1502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" x14ac:dyDescent="0.2">
      <c r="A10" s="1019"/>
      <c r="B10" s="1020"/>
      <c r="C10" s="1021"/>
      <c r="D10" s="51"/>
      <c r="E10" s="51" t="s">
        <v>1503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14"/>
  <sheetViews>
    <sheetView workbookViewId="0">
      <selection activeCell="E4" sqref="E4"/>
    </sheetView>
  </sheetViews>
  <sheetFormatPr defaultColWidth="9.03515625" defaultRowHeight="12.75" x14ac:dyDescent="0.15"/>
  <cols>
    <col min="3" max="3" width="15.23828125" customWidth="1"/>
    <col min="4" max="4" width="18.7421875" customWidth="1"/>
    <col min="5" max="5" width="18.87890625" customWidth="1"/>
  </cols>
  <sheetData>
    <row r="1" spans="1:6" ht="18" x14ac:dyDescent="0.2">
      <c r="A1" s="1018" t="s">
        <v>1504</v>
      </c>
      <c r="B1" s="1018"/>
      <c r="C1" s="1018"/>
      <c r="D1" s="1018"/>
      <c r="E1" s="1018"/>
      <c r="F1" s="1018"/>
    </row>
    <row r="2" spans="1:6" ht="18" x14ac:dyDescent="0.2">
      <c r="A2" s="961" t="s">
        <v>1505</v>
      </c>
      <c r="B2" s="961"/>
      <c r="C2" s="961"/>
      <c r="D2" s="961"/>
      <c r="E2" s="961"/>
      <c r="F2" s="961"/>
    </row>
    <row r="3" spans="1:6" ht="18" x14ac:dyDescent="0.2">
      <c r="A3" s="994"/>
      <c r="B3" s="994"/>
      <c r="C3" s="994"/>
      <c r="D3" s="45" t="s">
        <v>1463</v>
      </c>
      <c r="E3" s="45" t="s">
        <v>1464</v>
      </c>
      <c r="F3" s="46"/>
    </row>
    <row r="4" spans="1:6" ht="18" x14ac:dyDescent="0.2">
      <c r="A4" s="994" t="s">
        <v>1465</v>
      </c>
      <c r="B4" s="994"/>
      <c r="C4" s="994"/>
      <c r="D4" s="47">
        <f>E4*12</f>
        <v>299709.71999999997</v>
      </c>
      <c r="E4" s="47">
        <f>SUMMARY!F5</f>
        <v>24975.81</v>
      </c>
      <c r="F4" s="44"/>
    </row>
    <row r="5" spans="1:6" ht="18" x14ac:dyDescent="0.2">
      <c r="A5" s="994" t="s">
        <v>1466</v>
      </c>
      <c r="B5" s="994"/>
      <c r="C5" s="994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" x14ac:dyDescent="0.2">
      <c r="A6" s="994" t="s">
        <v>1467</v>
      </c>
      <c r="B6" s="994"/>
      <c r="C6" s="994"/>
      <c r="D6" s="47">
        <f t="shared" si="0"/>
        <v>22478.228999999999</v>
      </c>
      <c r="E6" s="47">
        <f>SUMMARY!I5</f>
        <v>1873.1857500000001</v>
      </c>
      <c r="F6" s="44"/>
    </row>
    <row r="7" spans="1:6" ht="18" x14ac:dyDescent="0.2">
      <c r="A7" s="994" t="s">
        <v>1468</v>
      </c>
      <c r="B7" s="994"/>
      <c r="C7" s="994"/>
      <c r="D7" s="47">
        <f t="shared" si="0"/>
        <v>0</v>
      </c>
      <c r="E7" s="47">
        <f>SUMMARY!J6</f>
        <v>0</v>
      </c>
      <c r="F7" s="44"/>
    </row>
    <row r="8" spans="1:6" ht="18" x14ac:dyDescent="0.2">
      <c r="A8" s="994" t="s">
        <v>1469</v>
      </c>
      <c r="B8" s="994"/>
      <c r="C8" s="994"/>
      <c r="D8" s="47">
        <f t="shared" si="0"/>
        <v>149854.85999999999</v>
      </c>
      <c r="E8" s="47">
        <f>SUMMARY!K5</f>
        <v>12487.905000000001</v>
      </c>
      <c r="F8" s="44"/>
    </row>
    <row r="9" spans="1:6" ht="18" x14ac:dyDescent="0.2">
      <c r="A9" s="994" t="s">
        <v>1470</v>
      </c>
      <c r="B9" s="994"/>
      <c r="C9" s="994"/>
      <c r="D9" s="47">
        <f t="shared" si="0"/>
        <v>1048984.02</v>
      </c>
      <c r="E9" s="47">
        <f>SUMMARY!L5</f>
        <v>87415.335000000006</v>
      </c>
      <c r="F9" s="44"/>
    </row>
    <row r="10" spans="1:6" ht="18" x14ac:dyDescent="0.2">
      <c r="A10" s="994" t="s">
        <v>1472</v>
      </c>
      <c r="B10" s="994"/>
      <c r="C10" s="994"/>
      <c r="D10" s="47">
        <f t="shared" si="0"/>
        <v>299709.71999999997</v>
      </c>
      <c r="E10" s="47">
        <f>SUMMARY!N5</f>
        <v>24975.81</v>
      </c>
      <c r="F10" s="44"/>
    </row>
    <row r="11" spans="1:6" ht="18" x14ac:dyDescent="0.2">
      <c r="A11" s="1006" t="s">
        <v>1471</v>
      </c>
      <c r="B11" s="1016"/>
      <c r="C11" s="1007"/>
      <c r="D11" s="47">
        <f t="shared" si="0"/>
        <v>0</v>
      </c>
      <c r="E11" s="47">
        <v>0</v>
      </c>
      <c r="F11" s="44"/>
    </row>
    <row r="12" spans="1:6" ht="18" x14ac:dyDescent="0.2">
      <c r="A12" s="994" t="s">
        <v>1473</v>
      </c>
      <c r="B12" s="994"/>
      <c r="C12" s="994"/>
      <c r="D12" s="47">
        <f t="shared" si="0"/>
        <v>29970.972000000002</v>
      </c>
      <c r="E12" s="47">
        <f>SUMMARY!P5</f>
        <v>2497.5810000000001</v>
      </c>
      <c r="F12" s="44"/>
    </row>
    <row r="13" spans="1:6" ht="18" x14ac:dyDescent="0.2">
      <c r="A13" s="994" t="s">
        <v>1474</v>
      </c>
      <c r="B13" s="994"/>
      <c r="C13" s="994"/>
      <c r="D13" s="47">
        <f t="shared" si="0"/>
        <v>240000</v>
      </c>
      <c r="E13" s="47">
        <f>SUMMARY!Q5</f>
        <v>20000</v>
      </c>
      <c r="F13" s="44"/>
    </row>
    <row r="14" spans="1:6" ht="18" x14ac:dyDescent="0.2">
      <c r="A14" s="1014" t="s">
        <v>9</v>
      </c>
      <c r="B14" s="1014"/>
      <c r="C14" s="1014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:F1"/>
    <mergeCell ref="A2:F2"/>
    <mergeCell ref="A3:C3"/>
    <mergeCell ref="A4:C4"/>
    <mergeCell ref="A5:C5"/>
    <mergeCell ref="A11:C11"/>
    <mergeCell ref="A12:C12"/>
    <mergeCell ref="A13:C13"/>
    <mergeCell ref="A14:C14"/>
    <mergeCell ref="A6:C6"/>
    <mergeCell ref="A7:C7"/>
    <mergeCell ref="A8:C8"/>
    <mergeCell ref="A9:C9"/>
    <mergeCell ref="A10:C10"/>
  </mergeCells>
  <pageMargins left="1.06" right="0.7" top="0.75" bottom="0.75" header="0.3" footer="0.3"/>
  <pageSetup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15"/>
  <sheetViews>
    <sheetView workbookViewId="0">
      <selection activeCell="H14" sqref="H14"/>
    </sheetView>
  </sheetViews>
  <sheetFormatPr defaultColWidth="9.03515625" defaultRowHeight="12.75" x14ac:dyDescent="0.15"/>
  <cols>
    <col min="1" max="1" width="32.09375" customWidth="1"/>
    <col min="2" max="2" width="22.3828125" customWidth="1"/>
    <col min="3" max="3" width="24.9453125" customWidth="1"/>
  </cols>
  <sheetData>
    <row r="1" spans="1:3" ht="18" x14ac:dyDescent="0.2">
      <c r="A1" s="961" t="s">
        <v>1506</v>
      </c>
      <c r="B1" s="961"/>
      <c r="C1" s="961"/>
    </row>
    <row r="2" spans="1:3" ht="18" x14ac:dyDescent="0.2">
      <c r="A2" s="961" t="s">
        <v>1479</v>
      </c>
      <c r="B2" s="961"/>
      <c r="C2" s="961"/>
    </row>
    <row r="3" spans="1:3" ht="18" x14ac:dyDescent="0.2">
      <c r="A3" s="40"/>
      <c r="B3" s="40" t="s">
        <v>1463</v>
      </c>
      <c r="C3" s="40" t="s">
        <v>1464</v>
      </c>
    </row>
    <row r="4" spans="1:3" ht="18" x14ac:dyDescent="0.2">
      <c r="A4" s="41" t="s">
        <v>1465</v>
      </c>
      <c r="B4" s="42">
        <f>C4*12</f>
        <v>475947</v>
      </c>
      <c r="C4" s="42">
        <v>39662.25</v>
      </c>
    </row>
    <row r="5" spans="1:3" ht="18" x14ac:dyDescent="0.2">
      <c r="A5" s="41" t="s">
        <v>1466</v>
      </c>
      <c r="B5" s="42">
        <f t="shared" ref="B5:B13" si="0">C5*12</f>
        <v>1427841</v>
      </c>
      <c r="C5" s="42">
        <v>118986.75</v>
      </c>
    </row>
    <row r="6" spans="1:3" ht="18" x14ac:dyDescent="0.2">
      <c r="A6" s="41" t="s">
        <v>1467</v>
      </c>
      <c r="B6" s="42">
        <f t="shared" si="0"/>
        <v>35696.04</v>
      </c>
      <c r="C6" s="42">
        <v>2974.67</v>
      </c>
    </row>
    <row r="7" spans="1:3" ht="18" x14ac:dyDescent="0.2">
      <c r="A7" s="41" t="s">
        <v>1468</v>
      </c>
      <c r="B7" s="42" t="e">
        <f t="shared" si="0"/>
        <v>#REF!</v>
      </c>
      <c r="C7" s="42" t="e">
        <f>'JULY 2025'!#REF!</f>
        <v>#REF!</v>
      </c>
    </row>
    <row r="8" spans="1:3" ht="18" x14ac:dyDescent="0.2">
      <c r="A8" s="41" t="s">
        <v>1469</v>
      </c>
      <c r="B8" s="42">
        <f t="shared" si="0"/>
        <v>237973.56</v>
      </c>
      <c r="C8" s="42">
        <v>19831.13</v>
      </c>
    </row>
    <row r="9" spans="1:3" ht="18" x14ac:dyDescent="0.2">
      <c r="A9" s="41" t="s">
        <v>1470</v>
      </c>
      <c r="B9" s="42">
        <f t="shared" si="0"/>
        <v>1665814.56</v>
      </c>
      <c r="C9" s="42">
        <v>138817.88</v>
      </c>
    </row>
    <row r="10" spans="1:3" ht="18" x14ac:dyDescent="0.2">
      <c r="A10" s="41" t="s">
        <v>1472</v>
      </c>
      <c r="B10" s="42">
        <f t="shared" si="0"/>
        <v>475947</v>
      </c>
      <c r="C10" s="42">
        <v>39662.25</v>
      </c>
    </row>
    <row r="11" spans="1:3" ht="18" x14ac:dyDescent="0.2">
      <c r="A11" s="41" t="s">
        <v>1471</v>
      </c>
      <c r="B11" s="42">
        <f t="shared" si="0"/>
        <v>0</v>
      </c>
      <c r="C11" s="42">
        <v>0</v>
      </c>
    </row>
    <row r="12" spans="1:3" ht="18" x14ac:dyDescent="0.2">
      <c r="A12" s="41" t="s">
        <v>1473</v>
      </c>
      <c r="B12" s="42">
        <f t="shared" si="0"/>
        <v>47594.76</v>
      </c>
      <c r="C12" s="42">
        <v>3966.23</v>
      </c>
    </row>
    <row r="13" spans="1:3" ht="18" x14ac:dyDescent="0.2">
      <c r="A13" s="41" t="s">
        <v>1474</v>
      </c>
      <c r="B13" s="42" t="e">
        <f t="shared" si="0"/>
        <v>#REF!</v>
      </c>
      <c r="C13" s="42" t="e">
        <f>'JULY 2025'!#REF!</f>
        <v>#REF!</v>
      </c>
    </row>
    <row r="14" spans="1:3" ht="18" x14ac:dyDescent="0.2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" x14ac:dyDescent="0.2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2:D60"/>
  <sheetViews>
    <sheetView topLeftCell="A38" workbookViewId="0">
      <selection activeCell="L51" sqref="L51"/>
    </sheetView>
  </sheetViews>
  <sheetFormatPr defaultColWidth="9.03515625" defaultRowHeight="12.75" x14ac:dyDescent="0.15"/>
  <cols>
    <col min="1" max="1" width="4.58203125" customWidth="1"/>
    <col min="2" max="2" width="15.91015625" customWidth="1"/>
    <col min="3" max="3" width="14.96875" customWidth="1"/>
    <col min="4" max="4" width="16.85546875" customWidth="1"/>
  </cols>
  <sheetData>
    <row r="2" spans="1:4" ht="15" x14ac:dyDescent="0.15">
      <c r="A2" s="34"/>
      <c r="B2" s="34" t="s">
        <v>5</v>
      </c>
      <c r="C2" s="34"/>
      <c r="D2" s="34"/>
    </row>
    <row r="3" spans="1:4" ht="15" x14ac:dyDescent="0.15">
      <c r="A3" s="34" t="s">
        <v>21</v>
      </c>
      <c r="B3" s="34" t="s">
        <v>4</v>
      </c>
      <c r="C3" s="34" t="s">
        <v>1507</v>
      </c>
      <c r="D3" s="35" t="s">
        <v>20</v>
      </c>
    </row>
    <row r="4" spans="1:4" ht="15" x14ac:dyDescent="0.15">
      <c r="A4" s="36">
        <v>1</v>
      </c>
      <c r="B4" s="36">
        <v>17</v>
      </c>
      <c r="C4" s="36">
        <v>9</v>
      </c>
      <c r="D4" s="37">
        <v>81740.02</v>
      </c>
    </row>
    <row r="5" spans="1:4" ht="15" x14ac:dyDescent="0.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 x14ac:dyDescent="0.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 x14ac:dyDescent="0.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 x14ac:dyDescent="0.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 x14ac:dyDescent="0.15">
      <c r="A9" s="36">
        <v>6</v>
      </c>
      <c r="B9" s="36">
        <v>16</v>
      </c>
      <c r="C9" s="36">
        <v>7</v>
      </c>
      <c r="D9" s="37">
        <v>39662.25</v>
      </c>
    </row>
    <row r="10" spans="1:4" ht="15" x14ac:dyDescent="0.15">
      <c r="A10" s="36">
        <v>7</v>
      </c>
      <c r="B10" s="36">
        <v>15</v>
      </c>
      <c r="C10" s="36">
        <v>9</v>
      </c>
      <c r="D10" s="37">
        <v>33507.5</v>
      </c>
    </row>
    <row r="11" spans="1:4" ht="15" x14ac:dyDescent="0.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 x14ac:dyDescent="0.15">
      <c r="A12" s="36">
        <v>9</v>
      </c>
      <c r="B12" s="36">
        <v>15</v>
      </c>
      <c r="C12" s="36">
        <v>7</v>
      </c>
      <c r="D12" s="37">
        <v>31018.84</v>
      </c>
    </row>
    <row r="13" spans="1:4" ht="15" x14ac:dyDescent="0.15">
      <c r="A13" s="36">
        <v>10</v>
      </c>
      <c r="B13" s="36">
        <v>14</v>
      </c>
      <c r="C13" s="36">
        <v>11</v>
      </c>
      <c r="D13" s="37">
        <v>28489.81</v>
      </c>
    </row>
    <row r="14" spans="1:4" ht="15" x14ac:dyDescent="0.15">
      <c r="A14" s="36">
        <v>11</v>
      </c>
      <c r="B14" s="36">
        <v>14</v>
      </c>
      <c r="C14" s="36">
        <v>10</v>
      </c>
      <c r="D14" s="37">
        <v>27611.23</v>
      </c>
    </row>
    <row r="15" spans="1:4" ht="15" x14ac:dyDescent="0.15">
      <c r="A15" s="36">
        <v>12</v>
      </c>
      <c r="B15" s="36">
        <v>14</v>
      </c>
      <c r="C15" s="36">
        <v>9</v>
      </c>
      <c r="D15" s="37">
        <v>26732.65</v>
      </c>
    </row>
    <row r="16" spans="1:4" ht="15" x14ac:dyDescent="0.15">
      <c r="A16" s="36">
        <v>13</v>
      </c>
      <c r="B16" s="36">
        <v>14</v>
      </c>
      <c r="C16" s="36">
        <v>8</v>
      </c>
      <c r="D16" s="37">
        <v>25854.1</v>
      </c>
    </row>
    <row r="17" spans="1:4" ht="15" x14ac:dyDescent="0.15">
      <c r="A17" s="36">
        <v>14</v>
      </c>
      <c r="B17" s="36">
        <v>14</v>
      </c>
      <c r="C17" s="36">
        <v>7</v>
      </c>
      <c r="D17" s="37">
        <v>24975.81</v>
      </c>
    </row>
    <row r="18" spans="1:4" ht="15" x14ac:dyDescent="0.15">
      <c r="A18" s="36">
        <v>15</v>
      </c>
      <c r="B18" s="36">
        <v>13</v>
      </c>
      <c r="C18" s="36">
        <v>11</v>
      </c>
      <c r="D18" s="37">
        <v>26339.3</v>
      </c>
    </row>
    <row r="19" spans="1:4" ht="15" x14ac:dyDescent="0.15">
      <c r="A19" s="36">
        <v>16</v>
      </c>
      <c r="B19" s="36">
        <v>13</v>
      </c>
      <c r="C19" s="36">
        <v>10</v>
      </c>
      <c r="D19" s="37">
        <v>25523.45</v>
      </c>
    </row>
    <row r="20" spans="1:4" ht="15" x14ac:dyDescent="0.15">
      <c r="A20" s="36">
        <v>17</v>
      </c>
      <c r="B20" s="36">
        <v>13</v>
      </c>
      <c r="C20" s="36">
        <v>9</v>
      </c>
      <c r="D20" s="37">
        <v>24741.26</v>
      </c>
    </row>
    <row r="21" spans="1:4" ht="15" x14ac:dyDescent="0.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 x14ac:dyDescent="0.15">
      <c r="A22" s="36">
        <v>19</v>
      </c>
      <c r="B22" s="36">
        <v>13</v>
      </c>
      <c r="C22" s="36">
        <v>7</v>
      </c>
      <c r="D22" s="37">
        <v>23074.99</v>
      </c>
    </row>
    <row r="23" spans="1:4" ht="15" x14ac:dyDescent="0.15">
      <c r="A23" s="36">
        <v>20</v>
      </c>
      <c r="B23" s="36">
        <v>12</v>
      </c>
      <c r="C23" s="36">
        <v>12</v>
      </c>
      <c r="D23" s="37"/>
    </row>
    <row r="24" spans="1:4" ht="15" x14ac:dyDescent="0.15">
      <c r="A24" s="36">
        <v>21</v>
      </c>
      <c r="B24" s="36">
        <v>12</v>
      </c>
      <c r="C24" s="36">
        <v>11</v>
      </c>
      <c r="D24" s="37"/>
    </row>
    <row r="25" spans="1:4" ht="15" x14ac:dyDescent="0.15">
      <c r="A25" s="36">
        <v>22</v>
      </c>
      <c r="B25" s="36">
        <v>12</v>
      </c>
      <c r="C25" s="36">
        <v>10</v>
      </c>
      <c r="D25" s="37"/>
    </row>
    <row r="26" spans="1:4" ht="15" x14ac:dyDescent="0.15">
      <c r="A26" s="36">
        <v>23</v>
      </c>
      <c r="B26" s="36">
        <v>12</v>
      </c>
      <c r="C26" s="36">
        <v>9</v>
      </c>
      <c r="D26" s="37"/>
    </row>
    <row r="27" spans="1:4" ht="15" x14ac:dyDescent="0.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 x14ac:dyDescent="0.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 x14ac:dyDescent="0.15">
      <c r="A29" s="36">
        <v>26</v>
      </c>
      <c r="B29" s="36">
        <v>10</v>
      </c>
      <c r="C29" s="36">
        <v>13</v>
      </c>
      <c r="D29" s="37"/>
    </row>
    <row r="30" spans="1:4" ht="15" x14ac:dyDescent="0.15">
      <c r="A30" s="36">
        <v>27</v>
      </c>
      <c r="B30" s="36">
        <v>10</v>
      </c>
      <c r="C30" s="36">
        <v>12</v>
      </c>
      <c r="D30" s="37">
        <v>19774.62</v>
      </c>
    </row>
    <row r="31" spans="1:4" ht="15" x14ac:dyDescent="0.15">
      <c r="A31" s="36">
        <v>28</v>
      </c>
      <c r="B31" s="36">
        <v>10</v>
      </c>
      <c r="C31" s="36">
        <v>11</v>
      </c>
      <c r="D31" s="37">
        <v>19276.95</v>
      </c>
    </row>
    <row r="32" spans="1:4" ht="15" x14ac:dyDescent="0.15">
      <c r="A32" s="36">
        <v>29</v>
      </c>
      <c r="B32" s="36">
        <v>10</v>
      </c>
      <c r="C32" s="36">
        <v>10</v>
      </c>
      <c r="D32" s="37">
        <v>18779.3</v>
      </c>
    </row>
    <row r="33" spans="1:4" ht="15" x14ac:dyDescent="0.15">
      <c r="A33" s="36">
        <v>30</v>
      </c>
      <c r="B33" s="36">
        <v>10</v>
      </c>
      <c r="C33" s="36">
        <v>9</v>
      </c>
      <c r="D33" s="37">
        <v>18281.64</v>
      </c>
    </row>
    <row r="34" spans="1:4" ht="15" x14ac:dyDescent="0.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 x14ac:dyDescent="0.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 x14ac:dyDescent="0.15">
      <c r="A36" s="36">
        <v>33</v>
      </c>
      <c r="B36" s="36">
        <v>9</v>
      </c>
      <c r="C36" s="36">
        <v>10</v>
      </c>
      <c r="D36" s="37">
        <v>16093.74</v>
      </c>
    </row>
    <row r="37" spans="1:4" ht="15.75" x14ac:dyDescent="0.2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.75" x14ac:dyDescent="0.2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.75" x14ac:dyDescent="0.2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 x14ac:dyDescent="0.15">
      <c r="A40" s="36">
        <v>37</v>
      </c>
      <c r="B40" s="36">
        <v>8</v>
      </c>
      <c r="C40" s="36">
        <v>10</v>
      </c>
      <c r="D40" s="37">
        <v>13492.21</v>
      </c>
    </row>
    <row r="41" spans="1:4" ht="15" x14ac:dyDescent="0.15">
      <c r="A41" s="36">
        <v>38</v>
      </c>
      <c r="B41" s="36">
        <v>8</v>
      </c>
      <c r="C41" s="36">
        <v>9</v>
      </c>
      <c r="D41" s="37">
        <v>13112.16</v>
      </c>
    </row>
    <row r="42" spans="1:4" ht="15" x14ac:dyDescent="0.15">
      <c r="A42" s="36">
        <v>39</v>
      </c>
      <c r="B42" s="36">
        <v>8</v>
      </c>
      <c r="C42" s="36">
        <v>8</v>
      </c>
      <c r="D42" s="37">
        <v>12732</v>
      </c>
    </row>
    <row r="43" spans="1:4" ht="15" x14ac:dyDescent="0.15">
      <c r="A43" s="36">
        <v>40</v>
      </c>
      <c r="B43" s="36">
        <v>8</v>
      </c>
      <c r="C43" s="36">
        <v>7</v>
      </c>
      <c r="D43" s="37">
        <v>12351.94</v>
      </c>
    </row>
    <row r="44" spans="1:4" ht="15" x14ac:dyDescent="0.15">
      <c r="A44" s="36">
        <v>41</v>
      </c>
      <c r="B44" s="36">
        <v>7</v>
      </c>
      <c r="C44" s="36">
        <v>10</v>
      </c>
    </row>
    <row r="45" spans="1:4" ht="15" x14ac:dyDescent="0.15">
      <c r="A45" s="36">
        <v>42</v>
      </c>
      <c r="B45" s="36">
        <v>7</v>
      </c>
      <c r="C45" s="36">
        <v>9</v>
      </c>
    </row>
    <row r="46" spans="1:4" ht="15" x14ac:dyDescent="0.15">
      <c r="A46" s="36">
        <v>43</v>
      </c>
      <c r="B46" s="36">
        <v>7</v>
      </c>
      <c r="C46" s="36">
        <v>8</v>
      </c>
      <c r="D46" s="37"/>
    </row>
    <row r="47" spans="1:4" ht="15" x14ac:dyDescent="0.15">
      <c r="A47" s="36">
        <v>44</v>
      </c>
      <c r="B47" s="36">
        <v>7</v>
      </c>
      <c r="C47" s="36">
        <v>6</v>
      </c>
      <c r="D47" s="37"/>
    </row>
    <row r="48" spans="1:4" ht="15" x14ac:dyDescent="0.15">
      <c r="A48" s="36">
        <v>45</v>
      </c>
      <c r="B48" s="36">
        <v>7</v>
      </c>
      <c r="C48" s="36">
        <v>5</v>
      </c>
      <c r="D48" s="37"/>
    </row>
    <row r="49" spans="1:4" ht="15" x14ac:dyDescent="0.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 x14ac:dyDescent="0.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 x14ac:dyDescent="0.15">
      <c r="A51" s="36">
        <v>48</v>
      </c>
      <c r="B51" s="36">
        <v>5</v>
      </c>
      <c r="C51" s="36">
        <v>13</v>
      </c>
      <c r="D51" s="37">
        <v>5769.6</v>
      </c>
    </row>
    <row r="52" spans="1:4" ht="15" x14ac:dyDescent="0.15">
      <c r="A52" s="36">
        <v>49</v>
      </c>
      <c r="B52" s="36">
        <v>5</v>
      </c>
      <c r="C52" s="36">
        <v>12</v>
      </c>
      <c r="D52" s="37">
        <v>5598.92</v>
      </c>
    </row>
    <row r="53" spans="1:4" ht="15" x14ac:dyDescent="0.15">
      <c r="A53" s="36">
        <v>50</v>
      </c>
      <c r="B53" s="36">
        <v>5</v>
      </c>
      <c r="C53" s="36">
        <v>11</v>
      </c>
      <c r="D53" s="37">
        <v>5428.12</v>
      </c>
    </row>
    <row r="54" spans="1:4" ht="15" x14ac:dyDescent="0.15">
      <c r="A54" s="36">
        <v>51</v>
      </c>
      <c r="B54" s="36">
        <v>5</v>
      </c>
      <c r="C54" s="36">
        <v>10</v>
      </c>
      <c r="D54" s="37">
        <v>5257.44</v>
      </c>
    </row>
    <row r="55" spans="1:4" ht="15" x14ac:dyDescent="0.15">
      <c r="A55" s="36">
        <v>52</v>
      </c>
      <c r="B55" s="36">
        <v>5</v>
      </c>
      <c r="C55" s="36">
        <v>9</v>
      </c>
      <c r="D55" s="37">
        <v>5086.76</v>
      </c>
    </row>
    <row r="56" spans="1:4" ht="15" x14ac:dyDescent="0.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 x14ac:dyDescent="0.15">
      <c r="A57" s="36"/>
      <c r="B57" s="36">
        <v>5</v>
      </c>
      <c r="C57" s="36">
        <v>7</v>
      </c>
      <c r="D57" s="37">
        <v>4745.29</v>
      </c>
    </row>
    <row r="58" spans="1:4" ht="15" x14ac:dyDescent="0.15">
      <c r="B58" s="36">
        <v>4</v>
      </c>
      <c r="C58" s="36">
        <v>11</v>
      </c>
      <c r="D58" s="37">
        <v>4836.3</v>
      </c>
    </row>
    <row r="59" spans="1:4" ht="15" x14ac:dyDescent="0.15">
      <c r="B59" s="36">
        <v>4</v>
      </c>
      <c r="C59" s="36">
        <v>8</v>
      </c>
      <c r="D59" s="37">
        <v>4248.51</v>
      </c>
    </row>
    <row r="60" spans="1:4" ht="15" x14ac:dyDescent="0.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192"/>
  <sheetViews>
    <sheetView view="pageBreakPreview" zoomScaleNormal="69" workbookViewId="0">
      <pane xSplit="3" ySplit="7" topLeftCell="D153" activePane="bottomRight" state="frozen"/>
      <selection pane="bottomLeft"/>
      <selection pane="topRight"/>
      <selection pane="bottomRight" activeCell="C6" sqref="C6"/>
    </sheetView>
  </sheetViews>
  <sheetFormatPr defaultColWidth="9.16796875" defaultRowHeight="20.100000000000001" customHeight="1" x14ac:dyDescent="0.2"/>
  <cols>
    <col min="1" max="1" width="4.58203125" style="1" customWidth="1"/>
    <col min="2" max="2" width="42.4765625" style="1" customWidth="1"/>
    <col min="3" max="3" width="40.453125" style="1" customWidth="1"/>
    <col min="4" max="4" width="11.59375" style="1" customWidth="1"/>
    <col min="5" max="5" width="21.7109375" style="1" customWidth="1"/>
    <col min="6" max="16384" width="9.16796875" style="1"/>
  </cols>
  <sheetData>
    <row r="1" spans="1:5" ht="27" customHeight="1" x14ac:dyDescent="0.2">
      <c r="A1" s="1025" t="s">
        <v>0</v>
      </c>
      <c r="B1" s="1025"/>
      <c r="C1" s="1025"/>
      <c r="D1" s="1025"/>
    </row>
    <row r="2" spans="1:5" ht="33.75" customHeight="1" x14ac:dyDescent="0.2">
      <c r="A2" s="976" t="s">
        <v>1508</v>
      </c>
      <c r="B2" s="976"/>
      <c r="C2" s="976"/>
      <c r="D2" s="976"/>
    </row>
    <row r="3" spans="1:5" ht="9.75" customHeight="1" x14ac:dyDescent="0.2"/>
    <row r="4" spans="1:5" ht="33" customHeight="1" x14ac:dyDescent="0.2">
      <c r="A4" s="2"/>
      <c r="B4" s="3" t="s">
        <v>2</v>
      </c>
      <c r="C4" s="4" t="s">
        <v>3</v>
      </c>
      <c r="D4" s="5" t="s">
        <v>4</v>
      </c>
    </row>
    <row r="5" spans="1:5" ht="17.25" customHeight="1" x14ac:dyDescent="0.2">
      <c r="C5" s="6"/>
      <c r="D5" s="6"/>
    </row>
    <row r="6" spans="1:5" ht="20.100000000000001" customHeight="1" x14ac:dyDescent="0.2">
      <c r="A6" s="7" t="s">
        <v>21</v>
      </c>
      <c r="B6" s="6" t="s">
        <v>22</v>
      </c>
      <c r="C6" s="6"/>
      <c r="D6" s="6"/>
    </row>
    <row r="7" spans="1:5" ht="20.100000000000001" customHeight="1" x14ac:dyDescent="0.2">
      <c r="A7" s="8">
        <v>1</v>
      </c>
      <c r="B7" s="9" t="s">
        <v>23</v>
      </c>
      <c r="C7" s="10" t="s">
        <v>24</v>
      </c>
      <c r="D7" s="10" t="s">
        <v>25</v>
      </c>
      <c r="E7" s="11"/>
    </row>
    <row r="8" spans="1:5" ht="20.100000000000001" customHeight="1" x14ac:dyDescent="0.2">
      <c r="A8" s="8">
        <v>2</v>
      </c>
      <c r="B8" s="9" t="s">
        <v>1261</v>
      </c>
      <c r="C8" s="2" t="s">
        <v>1262</v>
      </c>
      <c r="D8" s="8" t="s">
        <v>154</v>
      </c>
      <c r="E8" s="11"/>
    </row>
    <row r="9" spans="1:5" ht="20.100000000000001" customHeight="1" x14ac:dyDescent="0.2">
      <c r="A9" s="8">
        <v>3</v>
      </c>
      <c r="B9" s="9" t="s">
        <v>26</v>
      </c>
      <c r="C9" s="10" t="s">
        <v>27</v>
      </c>
      <c r="D9" s="8" t="s">
        <v>28</v>
      </c>
      <c r="E9" s="11"/>
    </row>
    <row r="10" spans="1:5" ht="20.100000000000001" customHeight="1" x14ac:dyDescent="0.2">
      <c r="A10" s="8">
        <v>4</v>
      </c>
      <c r="B10" s="12" t="s">
        <v>29</v>
      </c>
      <c r="C10" s="2" t="s">
        <v>30</v>
      </c>
      <c r="D10" s="13" t="s">
        <v>35</v>
      </c>
      <c r="E10" s="11"/>
    </row>
    <row r="11" spans="1:5" ht="20.100000000000001" customHeight="1" x14ac:dyDescent="0.2">
      <c r="A11" s="8">
        <v>5</v>
      </c>
      <c r="B11" s="12" t="s">
        <v>208</v>
      </c>
      <c r="C11" s="2" t="s">
        <v>1263</v>
      </c>
      <c r="D11" s="14" t="s">
        <v>35</v>
      </c>
      <c r="E11" s="11"/>
    </row>
    <row r="12" spans="1:5" ht="20.100000000000001" customHeight="1" x14ac:dyDescent="0.2">
      <c r="A12" s="8">
        <v>6</v>
      </c>
      <c r="B12" s="9" t="s">
        <v>31</v>
      </c>
      <c r="C12" s="15" t="s">
        <v>32</v>
      </c>
      <c r="D12" s="14" t="s">
        <v>35</v>
      </c>
      <c r="E12" s="11"/>
    </row>
    <row r="13" spans="1:5" ht="20.100000000000001" customHeight="1" x14ac:dyDescent="0.2">
      <c r="A13" s="8">
        <v>7</v>
      </c>
      <c r="B13" s="12" t="s">
        <v>271</v>
      </c>
      <c r="C13" s="2" t="s">
        <v>529</v>
      </c>
      <c r="D13" s="14" t="s">
        <v>35</v>
      </c>
      <c r="E13" s="11"/>
    </row>
    <row r="14" spans="1:5" ht="20.100000000000001" customHeight="1" x14ac:dyDescent="0.2">
      <c r="A14" s="8">
        <v>8</v>
      </c>
      <c r="B14" s="9" t="s">
        <v>33</v>
      </c>
      <c r="C14" s="10" t="s">
        <v>532</v>
      </c>
      <c r="D14" s="13" t="s">
        <v>131</v>
      </c>
      <c r="E14" s="11"/>
    </row>
    <row r="15" spans="1:5" ht="20.100000000000001" customHeight="1" x14ac:dyDescent="0.2">
      <c r="A15" s="8">
        <v>9</v>
      </c>
      <c r="B15" s="16" t="s">
        <v>550</v>
      </c>
      <c r="C15" s="10" t="s">
        <v>551</v>
      </c>
      <c r="D15" s="8" t="s">
        <v>549</v>
      </c>
      <c r="E15" s="11"/>
    </row>
    <row r="16" spans="1:5" ht="20.100000000000001" customHeight="1" x14ac:dyDescent="0.2">
      <c r="A16" s="8">
        <v>10</v>
      </c>
      <c r="B16" s="17" t="s">
        <v>1353</v>
      </c>
      <c r="C16" s="2" t="s">
        <v>1354</v>
      </c>
      <c r="D16" s="14" t="s">
        <v>176</v>
      </c>
      <c r="E16" s="11"/>
    </row>
    <row r="17" spans="1:5" ht="19.5" customHeight="1" x14ac:dyDescent="0.2">
      <c r="A17" s="8">
        <v>11</v>
      </c>
      <c r="B17" s="12" t="s">
        <v>1264</v>
      </c>
      <c r="C17" s="2" t="s">
        <v>40</v>
      </c>
      <c r="D17" s="8" t="s">
        <v>176</v>
      </c>
      <c r="E17" s="11"/>
    </row>
    <row r="18" spans="1:5" ht="19.5" customHeight="1" x14ac:dyDescent="0.2">
      <c r="A18" s="8">
        <v>12</v>
      </c>
      <c r="B18" s="12" t="s">
        <v>1355</v>
      </c>
      <c r="C18" s="2" t="s">
        <v>1356</v>
      </c>
      <c r="D18" s="8" t="s">
        <v>176</v>
      </c>
      <c r="E18" s="11"/>
    </row>
    <row r="19" spans="1:5" ht="20.100000000000001" customHeight="1" x14ac:dyDescent="0.2">
      <c r="A19" s="8">
        <v>13</v>
      </c>
      <c r="B19" s="9" t="s">
        <v>39</v>
      </c>
      <c r="C19" s="2" t="s">
        <v>40</v>
      </c>
      <c r="D19" s="13" t="s">
        <v>176</v>
      </c>
      <c r="E19" s="11"/>
    </row>
    <row r="20" spans="1:5" ht="20.100000000000001" customHeight="1" x14ac:dyDescent="0.2">
      <c r="A20" s="8">
        <v>14</v>
      </c>
      <c r="B20" s="9" t="s">
        <v>50</v>
      </c>
      <c r="C20" s="10" t="s">
        <v>51</v>
      </c>
      <c r="D20" s="13" t="s">
        <v>1199</v>
      </c>
      <c r="E20" s="11"/>
    </row>
    <row r="21" spans="1:5" ht="20.100000000000001" customHeight="1" x14ac:dyDescent="0.2">
      <c r="A21" s="8">
        <v>15</v>
      </c>
      <c r="B21" s="16" t="s">
        <v>53</v>
      </c>
      <c r="C21" s="2" t="s">
        <v>54</v>
      </c>
      <c r="D21" s="13" t="s">
        <v>58</v>
      </c>
      <c r="E21" s="11"/>
    </row>
    <row r="22" spans="1:5" ht="20.100000000000001" customHeight="1" x14ac:dyDescent="0.2">
      <c r="A22" s="8">
        <v>16</v>
      </c>
      <c r="B22" s="9" t="s">
        <v>177</v>
      </c>
      <c r="C22" s="10" t="s">
        <v>555</v>
      </c>
      <c r="D22" s="13" t="s">
        <v>162</v>
      </c>
      <c r="E22" s="11"/>
    </row>
    <row r="23" spans="1:5" ht="18.75" customHeight="1" x14ac:dyDescent="0.2">
      <c r="A23" s="8">
        <v>17</v>
      </c>
      <c r="B23" s="9" t="s">
        <v>63</v>
      </c>
      <c r="C23" s="10" t="s">
        <v>64</v>
      </c>
      <c r="D23" s="13" t="s">
        <v>68</v>
      </c>
      <c r="E23" s="11"/>
    </row>
    <row r="24" spans="1:5" ht="18.75" customHeight="1" x14ac:dyDescent="0.2">
      <c r="A24" s="8">
        <v>18</v>
      </c>
      <c r="B24" s="16" t="s">
        <v>1357</v>
      </c>
      <c r="C24" s="10" t="s">
        <v>101</v>
      </c>
      <c r="D24" s="13" t="s">
        <v>119</v>
      </c>
      <c r="E24" s="11"/>
    </row>
    <row r="25" spans="1:5" ht="18.75" customHeight="1" x14ac:dyDescent="0.2">
      <c r="A25" s="8">
        <v>19</v>
      </c>
      <c r="B25" s="2" t="s">
        <v>77</v>
      </c>
      <c r="C25" s="2" t="s">
        <v>78</v>
      </c>
      <c r="D25" s="8" t="s">
        <v>87</v>
      </c>
      <c r="E25" s="11"/>
    </row>
    <row r="26" spans="1:5" ht="18.75" customHeight="1" x14ac:dyDescent="0.2">
      <c r="A26" s="8">
        <v>20</v>
      </c>
      <c r="B26" s="16" t="s">
        <v>80</v>
      </c>
      <c r="C26" s="10" t="s">
        <v>78</v>
      </c>
      <c r="D26" s="13" t="s">
        <v>87</v>
      </c>
      <c r="E26" s="11"/>
    </row>
    <row r="27" spans="1:5" ht="18.75" customHeight="1" x14ac:dyDescent="0.2">
      <c r="A27" s="8">
        <v>21</v>
      </c>
      <c r="B27" s="9" t="s">
        <v>1265</v>
      </c>
      <c r="C27" s="10" t="s">
        <v>1266</v>
      </c>
      <c r="D27" s="13" t="s">
        <v>87</v>
      </c>
      <c r="E27" s="11"/>
    </row>
    <row r="28" spans="1:5" ht="18.75" customHeight="1" x14ac:dyDescent="0.2">
      <c r="A28" s="8">
        <v>22</v>
      </c>
      <c r="B28" s="16" t="s">
        <v>82</v>
      </c>
      <c r="C28" s="10" t="s">
        <v>1213</v>
      </c>
      <c r="D28" s="13" t="s">
        <v>206</v>
      </c>
      <c r="E28" s="11"/>
    </row>
    <row r="29" spans="1:5" ht="18.75" customHeight="1" x14ac:dyDescent="0.2">
      <c r="A29" s="8">
        <v>23</v>
      </c>
      <c r="B29" s="16" t="s">
        <v>85</v>
      </c>
      <c r="C29" s="2" t="s">
        <v>1267</v>
      </c>
      <c r="D29" s="8" t="s">
        <v>206</v>
      </c>
      <c r="E29" s="11"/>
    </row>
    <row r="30" spans="1:5" ht="18.75" customHeight="1" x14ac:dyDescent="0.2">
      <c r="A30" s="8">
        <v>24</v>
      </c>
      <c r="B30" s="16" t="s">
        <v>89</v>
      </c>
      <c r="C30" s="15" t="s">
        <v>90</v>
      </c>
      <c r="D30" s="13" t="s">
        <v>87</v>
      </c>
      <c r="E30" s="11"/>
    </row>
    <row r="31" spans="1:5" ht="18.75" customHeight="1" x14ac:dyDescent="0.2">
      <c r="A31" s="8">
        <v>25</v>
      </c>
      <c r="B31" s="16" t="s">
        <v>92</v>
      </c>
      <c r="C31" s="2" t="s">
        <v>93</v>
      </c>
      <c r="D31" s="8" t="s">
        <v>105</v>
      </c>
      <c r="E31" s="11"/>
    </row>
    <row r="32" spans="1:5" ht="18.75" customHeight="1" x14ac:dyDescent="0.2">
      <c r="A32" s="8">
        <v>26</v>
      </c>
      <c r="B32" s="16" t="s">
        <v>1191</v>
      </c>
      <c r="C32" s="10" t="s">
        <v>101</v>
      </c>
      <c r="D32" s="13" t="s">
        <v>105</v>
      </c>
      <c r="E32" s="11"/>
    </row>
    <row r="33" spans="1:5" ht="18.75" customHeight="1" x14ac:dyDescent="0.2">
      <c r="A33" s="8">
        <v>27</v>
      </c>
      <c r="B33" s="16" t="s">
        <v>1358</v>
      </c>
      <c r="C33" s="10" t="s">
        <v>101</v>
      </c>
      <c r="D33" s="13" t="s">
        <v>105</v>
      </c>
      <c r="E33" s="11"/>
    </row>
    <row r="34" spans="1:5" ht="18.75" customHeight="1" x14ac:dyDescent="0.2">
      <c r="A34" s="8">
        <v>28</v>
      </c>
      <c r="B34" s="16" t="s">
        <v>267</v>
      </c>
      <c r="C34" s="10" t="s">
        <v>262</v>
      </c>
      <c r="D34" s="13" t="s">
        <v>108</v>
      </c>
      <c r="E34" s="11"/>
    </row>
    <row r="35" spans="1:5" ht="20.25" customHeight="1" x14ac:dyDescent="0.2">
      <c r="A35" s="8"/>
      <c r="B35" s="18" t="s">
        <v>111</v>
      </c>
      <c r="C35" s="19">
        <v>28</v>
      </c>
      <c r="D35" s="13"/>
      <c r="E35" s="11"/>
    </row>
    <row r="36" spans="1:5" ht="18.75" customHeight="1" x14ac:dyDescent="0.2">
      <c r="A36" s="8"/>
      <c r="B36" s="20"/>
      <c r="C36" s="2"/>
      <c r="D36" s="13"/>
      <c r="E36" s="11"/>
    </row>
    <row r="37" spans="1:5" ht="18.75" customHeight="1" x14ac:dyDescent="0.2">
      <c r="A37" s="8"/>
      <c r="B37" s="18" t="s">
        <v>112</v>
      </c>
      <c r="C37" s="2"/>
      <c r="D37" s="13"/>
      <c r="E37" s="11"/>
    </row>
    <row r="38" spans="1:5" ht="18.75" customHeight="1" x14ac:dyDescent="0.2">
      <c r="A38" s="8">
        <v>1</v>
      </c>
      <c r="B38" s="16" t="s">
        <v>113</v>
      </c>
      <c r="C38" s="2" t="s">
        <v>114</v>
      </c>
      <c r="D38" s="8" t="s">
        <v>115</v>
      </c>
      <c r="E38" s="11"/>
    </row>
    <row r="39" spans="1:5" ht="18.75" customHeight="1" x14ac:dyDescent="0.2">
      <c r="A39" s="8">
        <v>2</v>
      </c>
      <c r="B39" s="16" t="s">
        <v>116</v>
      </c>
      <c r="C39" s="2" t="s">
        <v>799</v>
      </c>
      <c r="D39" s="8" t="s">
        <v>108</v>
      </c>
      <c r="E39" s="11"/>
    </row>
    <row r="40" spans="1:5" ht="19.5" customHeight="1" x14ac:dyDescent="0.2">
      <c r="A40" s="8"/>
      <c r="B40" s="12"/>
      <c r="C40" s="19">
        <v>2</v>
      </c>
      <c r="D40" s="8"/>
      <c r="E40" s="11"/>
    </row>
    <row r="41" spans="1:5" ht="20.100000000000001" customHeight="1" x14ac:dyDescent="0.2">
      <c r="A41" s="8"/>
      <c r="B41" s="12"/>
      <c r="C41" s="2"/>
      <c r="D41" s="8"/>
      <c r="E41" s="11"/>
    </row>
    <row r="42" spans="1:5" ht="20.100000000000001" customHeight="1" x14ac:dyDescent="0.2">
      <c r="A42" s="8"/>
      <c r="B42" s="21" t="s">
        <v>125</v>
      </c>
      <c r="C42" s="3"/>
      <c r="D42" s="22"/>
      <c r="E42" s="11"/>
    </row>
    <row r="43" spans="1:5" ht="20.100000000000001" customHeight="1" x14ac:dyDescent="0.2">
      <c r="A43" s="8">
        <v>1</v>
      </c>
      <c r="B43" s="9" t="s">
        <v>536</v>
      </c>
      <c r="C43" s="2" t="s">
        <v>537</v>
      </c>
      <c r="D43" s="8" t="s">
        <v>115</v>
      </c>
      <c r="E43" s="11"/>
    </row>
    <row r="44" spans="1:5" ht="20.100000000000001" customHeight="1" x14ac:dyDescent="0.2">
      <c r="A44" s="8">
        <v>2</v>
      </c>
      <c r="B44" s="9" t="s">
        <v>538</v>
      </c>
      <c r="C44" s="2" t="s">
        <v>43</v>
      </c>
      <c r="D44" s="8" t="s">
        <v>131</v>
      </c>
      <c r="E44" s="11"/>
    </row>
    <row r="45" spans="1:5" ht="20.100000000000001" customHeight="1" x14ac:dyDescent="0.2">
      <c r="A45" s="8">
        <v>3</v>
      </c>
      <c r="B45" s="9" t="s">
        <v>126</v>
      </c>
      <c r="C45" s="2" t="s">
        <v>130</v>
      </c>
      <c r="D45" s="8" t="s">
        <v>131</v>
      </c>
      <c r="E45" s="11"/>
    </row>
    <row r="46" spans="1:5" ht="20.100000000000001" customHeight="1" x14ac:dyDescent="0.2">
      <c r="A46" s="8">
        <v>4</v>
      </c>
      <c r="B46" s="9" t="s">
        <v>129</v>
      </c>
      <c r="C46" s="2" t="s">
        <v>130</v>
      </c>
      <c r="D46" s="8" t="s">
        <v>131</v>
      </c>
      <c r="E46" s="11"/>
    </row>
    <row r="47" spans="1:5" ht="20.100000000000001" customHeight="1" x14ac:dyDescent="0.2">
      <c r="A47" s="8">
        <v>5</v>
      </c>
      <c r="B47" s="9" t="s">
        <v>132</v>
      </c>
      <c r="C47" s="2" t="s">
        <v>130</v>
      </c>
      <c r="D47" s="8" t="s">
        <v>38</v>
      </c>
      <c r="E47" s="11"/>
    </row>
    <row r="48" spans="1:5" ht="20.100000000000001" customHeight="1" x14ac:dyDescent="0.2">
      <c r="A48" s="8">
        <v>6</v>
      </c>
      <c r="B48" s="9" t="s">
        <v>133</v>
      </c>
      <c r="C48" s="2" t="s">
        <v>45</v>
      </c>
      <c r="D48" s="8" t="s">
        <v>176</v>
      </c>
      <c r="E48" s="11"/>
    </row>
    <row r="49" spans="1:5" ht="20.100000000000001" customHeight="1" x14ac:dyDescent="0.2">
      <c r="A49" s="8">
        <v>7</v>
      </c>
      <c r="B49" s="12" t="s">
        <v>134</v>
      </c>
      <c r="C49" s="2" t="s">
        <v>156</v>
      </c>
      <c r="D49" s="14" t="s">
        <v>176</v>
      </c>
      <c r="E49" s="11"/>
    </row>
    <row r="50" spans="1:5" ht="20.100000000000001" customHeight="1" x14ac:dyDescent="0.2">
      <c r="A50" s="8">
        <v>8</v>
      </c>
      <c r="B50" s="9" t="s">
        <v>1270</v>
      </c>
      <c r="C50" s="2" t="s">
        <v>156</v>
      </c>
      <c r="D50" s="8" t="s">
        <v>46</v>
      </c>
      <c r="E50" s="11"/>
    </row>
    <row r="51" spans="1:5" ht="20.100000000000001" customHeight="1" x14ac:dyDescent="0.2">
      <c r="A51" s="8">
        <v>9</v>
      </c>
      <c r="B51" s="9" t="s">
        <v>44</v>
      </c>
      <c r="C51" s="2" t="s">
        <v>552</v>
      </c>
      <c r="D51" s="8" t="s">
        <v>534</v>
      </c>
      <c r="E51" s="11"/>
    </row>
    <row r="52" spans="1:5" ht="20.100000000000001" customHeight="1" x14ac:dyDescent="0.2">
      <c r="A52" s="8">
        <v>10</v>
      </c>
      <c r="B52" s="9" t="s">
        <v>142</v>
      </c>
      <c r="C52" s="2" t="s">
        <v>139</v>
      </c>
      <c r="D52" s="8" t="s">
        <v>96</v>
      </c>
      <c r="E52" s="11"/>
    </row>
    <row r="53" spans="1:5" ht="20.100000000000001" customHeight="1" x14ac:dyDescent="0.2">
      <c r="A53" s="8">
        <v>11</v>
      </c>
      <c r="B53" s="9" t="s">
        <v>539</v>
      </c>
      <c r="C53" s="2" t="s">
        <v>139</v>
      </c>
      <c r="D53" s="8" t="s">
        <v>96</v>
      </c>
      <c r="E53" s="11"/>
    </row>
    <row r="54" spans="1:5" ht="20.100000000000001" customHeight="1" x14ac:dyDescent="0.2">
      <c r="A54" s="8">
        <v>12</v>
      </c>
      <c r="B54" s="9" t="s">
        <v>143</v>
      </c>
      <c r="C54" s="2" t="s">
        <v>139</v>
      </c>
      <c r="D54" s="8" t="s">
        <v>96</v>
      </c>
      <c r="E54" s="11"/>
    </row>
    <row r="55" spans="1:5" ht="25.5" customHeight="1" x14ac:dyDescent="0.2">
      <c r="A55" s="8"/>
      <c r="B55" s="18" t="s">
        <v>111</v>
      </c>
      <c r="C55" s="19">
        <v>12</v>
      </c>
      <c r="D55" s="19"/>
      <c r="E55" s="11"/>
    </row>
    <row r="56" spans="1:5" ht="20.100000000000001" customHeight="1" x14ac:dyDescent="0.2">
      <c r="A56" s="8"/>
      <c r="B56" s="20"/>
      <c r="C56" s="19"/>
      <c r="D56" s="19"/>
      <c r="E56" s="11"/>
    </row>
    <row r="57" spans="1:5" ht="20.100000000000001" customHeight="1" x14ac:dyDescent="0.2">
      <c r="A57" s="8"/>
      <c r="B57" s="18" t="s">
        <v>145</v>
      </c>
      <c r="C57" s="19"/>
      <c r="D57" s="19"/>
      <c r="E57" s="11"/>
    </row>
    <row r="58" spans="1:5" ht="20.100000000000001" customHeight="1" x14ac:dyDescent="0.2">
      <c r="A58" s="8">
        <v>1</v>
      </c>
      <c r="B58" s="9" t="s">
        <v>540</v>
      </c>
      <c r="C58" s="10" t="s">
        <v>147</v>
      </c>
      <c r="D58" s="13" t="s">
        <v>115</v>
      </c>
      <c r="E58" s="11"/>
    </row>
    <row r="59" spans="1:5" ht="20.100000000000001" customHeight="1" x14ac:dyDescent="0.2">
      <c r="A59" s="8">
        <v>2</v>
      </c>
      <c r="B59" s="9" t="s">
        <v>148</v>
      </c>
      <c r="C59" s="10" t="s">
        <v>149</v>
      </c>
      <c r="D59" s="13" t="s">
        <v>549</v>
      </c>
      <c r="E59" s="11"/>
    </row>
    <row r="60" spans="1:5" ht="20.100000000000001" customHeight="1" x14ac:dyDescent="0.2">
      <c r="A60" s="8"/>
      <c r="B60" s="18" t="s">
        <v>111</v>
      </c>
      <c r="C60" s="19">
        <v>2</v>
      </c>
      <c r="D60" s="19"/>
      <c r="E60" s="11"/>
    </row>
    <row r="61" spans="1:5" ht="20.100000000000001" customHeight="1" x14ac:dyDescent="0.2">
      <c r="A61" s="8"/>
      <c r="B61" s="18"/>
      <c r="C61" s="19"/>
      <c r="D61" s="19"/>
      <c r="E61" s="11"/>
    </row>
    <row r="62" spans="1:5" ht="20.100000000000001" customHeight="1" x14ac:dyDescent="0.2">
      <c r="A62" s="8"/>
      <c r="B62" s="18" t="s">
        <v>151</v>
      </c>
      <c r="C62" s="19"/>
      <c r="D62" s="19"/>
      <c r="E62" s="11"/>
    </row>
    <row r="63" spans="1:5" ht="20.100000000000001" customHeight="1" x14ac:dyDescent="0.2">
      <c r="A63" s="8">
        <v>1</v>
      </c>
      <c r="B63" s="9" t="s">
        <v>541</v>
      </c>
      <c r="C63" s="15" t="s">
        <v>542</v>
      </c>
      <c r="D63" s="8" t="s">
        <v>115</v>
      </c>
      <c r="E63" s="11"/>
    </row>
    <row r="64" spans="1:5" ht="20.100000000000001" customHeight="1" x14ac:dyDescent="0.2">
      <c r="A64" s="8">
        <v>2</v>
      </c>
      <c r="B64" s="16" t="s">
        <v>543</v>
      </c>
      <c r="C64" s="15" t="s">
        <v>544</v>
      </c>
      <c r="D64" s="13" t="s">
        <v>1200</v>
      </c>
      <c r="E64" s="11"/>
    </row>
    <row r="65" spans="1:5" ht="20.100000000000001" customHeight="1" x14ac:dyDescent="0.2">
      <c r="A65" s="8">
        <v>3</v>
      </c>
      <c r="B65" s="9" t="s">
        <v>155</v>
      </c>
      <c r="C65" s="2" t="s">
        <v>158</v>
      </c>
      <c r="D65" s="8" t="s">
        <v>534</v>
      </c>
      <c r="E65" s="11"/>
    </row>
    <row r="66" spans="1:5" ht="20.100000000000001" customHeight="1" x14ac:dyDescent="0.2">
      <c r="A66" s="8">
        <v>4</v>
      </c>
      <c r="B66" s="16" t="s">
        <v>545</v>
      </c>
      <c r="C66" s="15" t="s">
        <v>158</v>
      </c>
      <c r="D66" s="13" t="s">
        <v>1199</v>
      </c>
      <c r="E66" s="11"/>
    </row>
    <row r="67" spans="1:5" ht="20.100000000000001" customHeight="1" x14ac:dyDescent="0.2">
      <c r="A67" s="8">
        <v>5</v>
      </c>
      <c r="B67" s="12" t="s">
        <v>546</v>
      </c>
      <c r="C67" s="15" t="s">
        <v>156</v>
      </c>
      <c r="D67" s="13" t="s">
        <v>176</v>
      </c>
      <c r="E67" s="11"/>
    </row>
    <row r="68" spans="1:5" ht="20.100000000000001" customHeight="1" x14ac:dyDescent="0.2">
      <c r="A68" s="8">
        <v>6</v>
      </c>
      <c r="B68" s="12" t="s">
        <v>42</v>
      </c>
      <c r="C68" s="15" t="s">
        <v>156</v>
      </c>
      <c r="D68" s="13" t="s">
        <v>46</v>
      </c>
      <c r="E68" s="11"/>
    </row>
    <row r="69" spans="1:5" ht="20.100000000000001" customHeight="1" x14ac:dyDescent="0.2">
      <c r="A69" s="8">
        <v>7</v>
      </c>
      <c r="B69" s="9" t="s">
        <v>161</v>
      </c>
      <c r="C69" s="2" t="s">
        <v>139</v>
      </c>
      <c r="D69" s="8" t="s">
        <v>137</v>
      </c>
      <c r="E69" s="11"/>
    </row>
    <row r="70" spans="1:5" ht="20.100000000000001" customHeight="1" x14ac:dyDescent="0.2">
      <c r="A70" s="8">
        <v>8</v>
      </c>
      <c r="B70" s="9" t="s">
        <v>163</v>
      </c>
      <c r="C70" s="15" t="s">
        <v>70</v>
      </c>
      <c r="D70" s="13" t="s">
        <v>137</v>
      </c>
      <c r="E70" s="11"/>
    </row>
    <row r="71" spans="1:5" ht="20.100000000000001" customHeight="1" x14ac:dyDescent="0.2">
      <c r="A71" s="8">
        <v>9</v>
      </c>
      <c r="B71" s="9" t="s">
        <v>164</v>
      </c>
      <c r="C71" s="15" t="s">
        <v>70</v>
      </c>
      <c r="D71" s="13" t="s">
        <v>137</v>
      </c>
      <c r="E71" s="11"/>
    </row>
    <row r="72" spans="1:5" ht="20.100000000000001" customHeight="1" x14ac:dyDescent="0.2">
      <c r="A72" s="8">
        <v>10</v>
      </c>
      <c r="B72" s="9" t="s">
        <v>165</v>
      </c>
      <c r="C72" s="2" t="s">
        <v>166</v>
      </c>
      <c r="D72" s="8" t="s">
        <v>68</v>
      </c>
      <c r="E72" s="11"/>
    </row>
    <row r="73" spans="1:5" ht="20.100000000000001" customHeight="1" x14ac:dyDescent="0.2">
      <c r="A73" s="8">
        <v>11</v>
      </c>
      <c r="B73" s="9" t="s">
        <v>1359</v>
      </c>
      <c r="C73" s="15" t="s">
        <v>139</v>
      </c>
      <c r="D73" s="8" t="s">
        <v>76</v>
      </c>
      <c r="E73" s="11"/>
    </row>
    <row r="74" spans="1:5" ht="20.100000000000001" customHeight="1" x14ac:dyDescent="0.2">
      <c r="A74" s="8">
        <v>12</v>
      </c>
      <c r="B74" s="9" t="s">
        <v>81</v>
      </c>
      <c r="C74" s="15" t="s">
        <v>67</v>
      </c>
      <c r="D74" s="8" t="s">
        <v>87</v>
      </c>
      <c r="E74" s="11"/>
    </row>
    <row r="75" spans="1:5" ht="20.100000000000001" customHeight="1" x14ac:dyDescent="0.2">
      <c r="A75" s="8">
        <v>13</v>
      </c>
      <c r="B75" s="12" t="s">
        <v>66</v>
      </c>
      <c r="C75" s="15" t="s">
        <v>67</v>
      </c>
      <c r="D75" s="8" t="s">
        <v>105</v>
      </c>
      <c r="E75" s="11"/>
    </row>
    <row r="76" spans="1:5" ht="20.100000000000001" customHeight="1" x14ac:dyDescent="0.2">
      <c r="A76" s="8"/>
      <c r="B76" s="18" t="s">
        <v>111</v>
      </c>
      <c r="C76" s="19">
        <v>13</v>
      </c>
      <c r="D76" s="19"/>
      <c r="E76" s="11"/>
    </row>
    <row r="77" spans="1:5" ht="20.100000000000001" customHeight="1" x14ac:dyDescent="0.2">
      <c r="A77" s="8"/>
      <c r="B77" s="20"/>
      <c r="C77" s="19"/>
      <c r="D77" s="19"/>
      <c r="E77" s="11"/>
    </row>
    <row r="78" spans="1:5" ht="20.100000000000001" customHeight="1" x14ac:dyDescent="0.2">
      <c r="A78" s="8"/>
      <c r="B78" s="18" t="s">
        <v>169</v>
      </c>
      <c r="C78" s="19"/>
      <c r="D78" s="19"/>
      <c r="E78" s="11"/>
    </row>
    <row r="79" spans="1:5" ht="20.100000000000001" customHeight="1" x14ac:dyDescent="0.2">
      <c r="A79" s="8">
        <v>1</v>
      </c>
      <c r="B79" s="9" t="s">
        <v>170</v>
      </c>
      <c r="C79" s="2" t="s">
        <v>171</v>
      </c>
      <c r="D79" s="8" t="s">
        <v>115</v>
      </c>
      <c r="E79" s="11"/>
    </row>
    <row r="80" spans="1:5" ht="20.100000000000001" customHeight="1" x14ac:dyDescent="0.2">
      <c r="A80" s="8">
        <v>2</v>
      </c>
      <c r="B80" s="12" t="s">
        <v>547</v>
      </c>
      <c r="C80" s="2" t="s">
        <v>548</v>
      </c>
      <c r="D80" s="13" t="s">
        <v>1200</v>
      </c>
      <c r="E80" s="11"/>
    </row>
    <row r="81" spans="1:5" ht="20.100000000000001" customHeight="1" x14ac:dyDescent="0.2">
      <c r="A81" s="8">
        <v>3</v>
      </c>
      <c r="B81" s="12" t="s">
        <v>1360</v>
      </c>
      <c r="C81" s="2" t="s">
        <v>1361</v>
      </c>
      <c r="D81" s="13" t="s">
        <v>1200</v>
      </c>
      <c r="E81" s="11"/>
    </row>
    <row r="82" spans="1:5" ht="20.100000000000001" customHeight="1" x14ac:dyDescent="0.2">
      <c r="A82" s="8">
        <v>4</v>
      </c>
      <c r="B82" s="9" t="s">
        <v>174</v>
      </c>
      <c r="C82" s="2" t="s">
        <v>1214</v>
      </c>
      <c r="D82" s="13" t="s">
        <v>534</v>
      </c>
      <c r="E82" s="11"/>
    </row>
    <row r="83" spans="1:5" ht="20.100000000000001" customHeight="1" x14ac:dyDescent="0.2">
      <c r="A83" s="8">
        <v>5</v>
      </c>
      <c r="B83" s="9" t="s">
        <v>181</v>
      </c>
      <c r="C83" s="2" t="s">
        <v>184</v>
      </c>
      <c r="D83" s="8" t="s">
        <v>76</v>
      </c>
      <c r="E83" s="11"/>
    </row>
    <row r="84" spans="1:5" ht="20.100000000000001" customHeight="1" x14ac:dyDescent="0.2">
      <c r="A84" s="8"/>
      <c r="B84" s="18" t="s">
        <v>111</v>
      </c>
      <c r="C84" s="19">
        <v>5</v>
      </c>
      <c r="D84" s="19"/>
      <c r="E84" s="11"/>
    </row>
    <row r="85" spans="1:5" ht="20.100000000000001" customHeight="1" x14ac:dyDescent="0.2">
      <c r="A85" s="8"/>
      <c r="B85" s="18"/>
      <c r="C85" s="19"/>
      <c r="D85" s="19"/>
      <c r="E85" s="11"/>
    </row>
    <row r="86" spans="1:5" ht="20.100000000000001" customHeight="1" x14ac:dyDescent="0.2">
      <c r="A86" s="8"/>
      <c r="B86" s="18" t="s">
        <v>187</v>
      </c>
      <c r="C86" s="23"/>
      <c r="D86" s="19"/>
      <c r="E86" s="11"/>
    </row>
    <row r="87" spans="1:5" ht="20.100000000000001" customHeight="1" x14ac:dyDescent="0.2">
      <c r="A87" s="8">
        <v>1</v>
      </c>
      <c r="B87" s="9" t="s">
        <v>190</v>
      </c>
      <c r="C87" s="2" t="s">
        <v>130</v>
      </c>
      <c r="D87" s="8" t="s">
        <v>131</v>
      </c>
      <c r="E87" s="11"/>
    </row>
    <row r="88" spans="1:5" ht="20.100000000000001" customHeight="1" x14ac:dyDescent="0.2">
      <c r="A88" s="8">
        <v>2</v>
      </c>
      <c r="B88" s="9" t="s">
        <v>188</v>
      </c>
      <c r="C88" s="2" t="s">
        <v>130</v>
      </c>
      <c r="D88" s="8" t="s">
        <v>131</v>
      </c>
      <c r="E88" s="11"/>
    </row>
    <row r="89" spans="1:5" ht="20.100000000000001" customHeight="1" x14ac:dyDescent="0.2">
      <c r="A89" s="8">
        <v>3</v>
      </c>
      <c r="B89" s="12" t="s">
        <v>152</v>
      </c>
      <c r="C89" s="2" t="s">
        <v>156</v>
      </c>
      <c r="D89" s="8" t="s">
        <v>41</v>
      </c>
      <c r="E89" s="11"/>
    </row>
    <row r="90" spans="1:5" ht="20.100000000000001" customHeight="1" x14ac:dyDescent="0.2">
      <c r="A90" s="8">
        <v>4</v>
      </c>
      <c r="B90" s="9" t="s">
        <v>193</v>
      </c>
      <c r="C90" s="2" t="s">
        <v>45</v>
      </c>
      <c r="D90" s="8" t="s">
        <v>176</v>
      </c>
      <c r="E90" s="11"/>
    </row>
    <row r="91" spans="1:5" ht="21.6" customHeight="1" x14ac:dyDescent="0.2">
      <c r="A91" s="8">
        <v>5</v>
      </c>
      <c r="B91" s="9" t="s">
        <v>194</v>
      </c>
      <c r="C91" s="2" t="s">
        <v>552</v>
      </c>
      <c r="D91" s="13" t="s">
        <v>534</v>
      </c>
      <c r="E91" s="11"/>
    </row>
    <row r="92" spans="1:5" ht="21.6" customHeight="1" x14ac:dyDescent="0.2">
      <c r="A92" s="8">
        <v>6</v>
      </c>
      <c r="B92" s="9" t="s">
        <v>195</v>
      </c>
      <c r="C92" s="10" t="s">
        <v>158</v>
      </c>
      <c r="D92" s="13" t="s">
        <v>1199</v>
      </c>
      <c r="E92" s="11"/>
    </row>
    <row r="93" spans="1:5" ht="21.6" customHeight="1" x14ac:dyDescent="0.2">
      <c r="A93" s="8">
        <v>7</v>
      </c>
      <c r="B93" s="9" t="s">
        <v>196</v>
      </c>
      <c r="C93" s="10" t="s">
        <v>158</v>
      </c>
      <c r="D93" s="13" t="s">
        <v>1199</v>
      </c>
      <c r="E93" s="11"/>
    </row>
    <row r="94" spans="1:5" ht="21.6" customHeight="1" x14ac:dyDescent="0.2">
      <c r="A94" s="8">
        <v>8</v>
      </c>
      <c r="B94" s="9" t="s">
        <v>198</v>
      </c>
      <c r="C94" s="15" t="s">
        <v>70</v>
      </c>
      <c r="D94" s="13" t="s">
        <v>137</v>
      </c>
      <c r="E94" s="11"/>
    </row>
    <row r="95" spans="1:5" ht="21.6" customHeight="1" x14ac:dyDescent="0.2">
      <c r="A95" s="8">
        <v>9</v>
      </c>
      <c r="B95" s="9" t="s">
        <v>202</v>
      </c>
      <c r="C95" s="2" t="s">
        <v>203</v>
      </c>
      <c r="D95" s="8" t="s">
        <v>73</v>
      </c>
      <c r="E95" s="11"/>
    </row>
    <row r="96" spans="1:5" ht="21.6" customHeight="1" x14ac:dyDescent="0.2">
      <c r="A96" s="8">
        <v>10</v>
      </c>
      <c r="B96" s="9" t="s">
        <v>204</v>
      </c>
      <c r="C96" s="15" t="s">
        <v>205</v>
      </c>
      <c r="D96" s="13" t="s">
        <v>105</v>
      </c>
      <c r="E96" s="11"/>
    </row>
    <row r="97" spans="1:5" ht="20.100000000000001" customHeight="1" x14ac:dyDescent="0.2">
      <c r="A97" s="8"/>
      <c r="B97" s="18" t="s">
        <v>111</v>
      </c>
      <c r="C97" s="19">
        <v>10</v>
      </c>
      <c r="D97" s="19"/>
      <c r="E97" s="11"/>
    </row>
    <row r="98" spans="1:5" ht="20.100000000000001" customHeight="1" x14ac:dyDescent="0.2">
      <c r="A98" s="8"/>
      <c r="B98" s="20"/>
      <c r="C98" s="19"/>
      <c r="D98" s="19"/>
      <c r="E98" s="11"/>
    </row>
    <row r="99" spans="1:5" ht="20.100000000000001" customHeight="1" x14ac:dyDescent="0.2">
      <c r="A99" s="8"/>
      <c r="B99" s="18" t="s">
        <v>207</v>
      </c>
      <c r="C99" s="19"/>
      <c r="D99" s="19"/>
      <c r="E99" s="11"/>
    </row>
    <row r="100" spans="1:5" ht="20.100000000000001" customHeight="1" x14ac:dyDescent="0.2">
      <c r="A100" s="8">
        <v>1</v>
      </c>
      <c r="B100" s="16" t="s">
        <v>530</v>
      </c>
      <c r="C100" s="8" t="s">
        <v>531</v>
      </c>
      <c r="D100" s="13" t="s">
        <v>35</v>
      </c>
      <c r="E100" s="11"/>
    </row>
    <row r="101" spans="1:5" ht="20.100000000000001" customHeight="1" x14ac:dyDescent="0.2">
      <c r="A101" s="8">
        <v>2</v>
      </c>
      <c r="B101" s="9" t="s">
        <v>36</v>
      </c>
      <c r="C101" s="2" t="s">
        <v>212</v>
      </c>
      <c r="D101" s="8" t="s">
        <v>176</v>
      </c>
      <c r="E101" s="11"/>
    </row>
    <row r="102" spans="1:5" ht="20.100000000000001" customHeight="1" x14ac:dyDescent="0.2">
      <c r="A102" s="8">
        <v>3</v>
      </c>
      <c r="B102" s="9" t="s">
        <v>217</v>
      </c>
      <c r="C102" s="2" t="s">
        <v>218</v>
      </c>
      <c r="D102" s="13" t="s">
        <v>68</v>
      </c>
      <c r="E102" s="11"/>
    </row>
    <row r="103" spans="1:5" ht="20.100000000000001" customHeight="1" x14ac:dyDescent="0.2">
      <c r="A103" s="8">
        <v>4</v>
      </c>
      <c r="B103" s="9" t="s">
        <v>219</v>
      </c>
      <c r="C103" s="2" t="s">
        <v>1215</v>
      </c>
      <c r="D103" s="13" t="s">
        <v>206</v>
      </c>
      <c r="E103" s="11"/>
    </row>
    <row r="104" spans="1:5" ht="20.100000000000001" customHeight="1" x14ac:dyDescent="0.2">
      <c r="A104" s="2"/>
      <c r="B104" s="18" t="s">
        <v>111</v>
      </c>
      <c r="C104" s="19">
        <v>4</v>
      </c>
      <c r="D104" s="24"/>
      <c r="E104" s="11"/>
    </row>
    <row r="105" spans="1:5" ht="20.100000000000001" customHeight="1" x14ac:dyDescent="0.2">
      <c r="A105" s="2"/>
      <c r="B105" s="20"/>
      <c r="C105" s="19"/>
      <c r="D105" s="24"/>
      <c r="E105" s="11"/>
    </row>
    <row r="106" spans="1:5" ht="20.100000000000001" customHeight="1" x14ac:dyDescent="0.2">
      <c r="A106" s="2"/>
      <c r="B106" s="18" t="s">
        <v>221</v>
      </c>
      <c r="C106" s="2"/>
      <c r="D106" s="2"/>
      <c r="E106" s="11"/>
    </row>
    <row r="107" spans="1:5" ht="20.100000000000001" customHeight="1" x14ac:dyDescent="0.2">
      <c r="A107" s="2">
        <v>1</v>
      </c>
      <c r="B107" s="9" t="s">
        <v>222</v>
      </c>
      <c r="C107" s="10" t="s">
        <v>223</v>
      </c>
      <c r="D107" s="13" t="s">
        <v>115</v>
      </c>
      <c r="E107" s="11"/>
    </row>
    <row r="108" spans="1:5" ht="20.100000000000001" customHeight="1" x14ac:dyDescent="0.2">
      <c r="A108" s="2">
        <v>2</v>
      </c>
      <c r="B108" s="9" t="s">
        <v>224</v>
      </c>
      <c r="C108" s="2" t="s">
        <v>225</v>
      </c>
      <c r="D108" s="14" t="s">
        <v>35</v>
      </c>
      <c r="E108" s="11"/>
    </row>
    <row r="109" spans="1:5" ht="20.100000000000001" customHeight="1" x14ac:dyDescent="0.2">
      <c r="A109" s="2">
        <v>3</v>
      </c>
      <c r="B109" s="9" t="s">
        <v>226</v>
      </c>
      <c r="C109" s="2" t="s">
        <v>227</v>
      </c>
      <c r="D109" s="8" t="s">
        <v>52</v>
      </c>
      <c r="E109" s="11"/>
    </row>
    <row r="110" spans="1:5" ht="20.100000000000001" customHeight="1" x14ac:dyDescent="0.2">
      <c r="A110" s="2">
        <v>4</v>
      </c>
      <c r="B110" s="9" t="s">
        <v>228</v>
      </c>
      <c r="C110" s="2" t="s">
        <v>227</v>
      </c>
      <c r="D110" s="8" t="s">
        <v>52</v>
      </c>
      <c r="E110" s="11"/>
    </row>
    <row r="111" spans="1:5" ht="20.100000000000001" customHeight="1" x14ac:dyDescent="0.2">
      <c r="A111" s="2">
        <v>5</v>
      </c>
      <c r="B111" s="9" t="s">
        <v>230</v>
      </c>
      <c r="C111" s="2" t="s">
        <v>231</v>
      </c>
      <c r="D111" s="13" t="s">
        <v>554</v>
      </c>
      <c r="E111" s="11"/>
    </row>
    <row r="112" spans="1:5" ht="20.100000000000001" customHeight="1" x14ac:dyDescent="0.2">
      <c r="A112" s="2">
        <v>6</v>
      </c>
      <c r="B112" s="16" t="s">
        <v>233</v>
      </c>
      <c r="C112" s="2" t="s">
        <v>231</v>
      </c>
      <c r="D112" s="8" t="s">
        <v>206</v>
      </c>
      <c r="E112" s="11"/>
    </row>
    <row r="113" spans="1:5" ht="20.100000000000001" customHeight="1" x14ac:dyDescent="0.2">
      <c r="A113" s="2">
        <v>7</v>
      </c>
      <c r="B113" s="16" t="s">
        <v>234</v>
      </c>
      <c r="C113" s="2" t="s">
        <v>231</v>
      </c>
      <c r="D113" s="13" t="s">
        <v>105</v>
      </c>
      <c r="E113" s="11"/>
    </row>
    <row r="114" spans="1:5" ht="25.5" customHeight="1" x14ac:dyDescent="0.2">
      <c r="A114" s="2"/>
      <c r="B114" s="18" t="s">
        <v>111</v>
      </c>
      <c r="C114" s="19">
        <v>7</v>
      </c>
      <c r="D114" s="2"/>
      <c r="E114" s="11"/>
    </row>
    <row r="115" spans="1:5" ht="20.100000000000001" customHeight="1" x14ac:dyDescent="0.2">
      <c r="A115" s="2"/>
      <c r="B115" s="18"/>
      <c r="C115" s="19"/>
      <c r="D115" s="2"/>
      <c r="E115" s="11"/>
    </row>
    <row r="116" spans="1:5" ht="20.100000000000001" customHeight="1" x14ac:dyDescent="0.2">
      <c r="A116" s="8"/>
      <c r="B116" s="18" t="s">
        <v>235</v>
      </c>
      <c r="C116" s="19"/>
      <c r="D116" s="19"/>
      <c r="E116" s="11"/>
    </row>
    <row r="117" spans="1:5" ht="20.100000000000001" customHeight="1" x14ac:dyDescent="0.2">
      <c r="A117" s="8">
        <v>1</v>
      </c>
      <c r="B117" s="9" t="s">
        <v>1278</v>
      </c>
      <c r="C117" s="15" t="s">
        <v>70</v>
      </c>
      <c r="D117" s="13" t="s">
        <v>162</v>
      </c>
      <c r="E117" s="11"/>
    </row>
    <row r="118" spans="1:5" ht="18.75" customHeight="1" x14ac:dyDescent="0.2">
      <c r="A118" s="8">
        <v>2</v>
      </c>
      <c r="B118" s="9" t="s">
        <v>236</v>
      </c>
      <c r="C118" s="2" t="s">
        <v>237</v>
      </c>
      <c r="D118" s="13" t="s">
        <v>68</v>
      </c>
      <c r="E118" s="11"/>
    </row>
    <row r="119" spans="1:5" ht="24.75" customHeight="1" x14ac:dyDescent="0.2">
      <c r="A119" s="2"/>
      <c r="B119" s="18" t="s">
        <v>111</v>
      </c>
      <c r="C119" s="19">
        <v>2</v>
      </c>
      <c r="D119" s="24"/>
      <c r="E119" s="11"/>
    </row>
    <row r="120" spans="1:5" ht="20.100000000000001" customHeight="1" x14ac:dyDescent="0.2">
      <c r="A120" s="2"/>
      <c r="B120" s="18"/>
      <c r="C120" s="19"/>
      <c r="D120" s="2"/>
      <c r="E120" s="11"/>
    </row>
    <row r="121" spans="1:5" ht="20.100000000000001" customHeight="1" x14ac:dyDescent="0.2">
      <c r="A121" s="2"/>
      <c r="B121" s="18" t="s">
        <v>250</v>
      </c>
      <c r="C121" s="19"/>
      <c r="D121" s="19"/>
      <c r="E121" s="11"/>
    </row>
    <row r="122" spans="1:5" ht="20.100000000000001" customHeight="1" x14ac:dyDescent="0.2">
      <c r="A122" s="2">
        <v>1</v>
      </c>
      <c r="B122" s="9" t="s">
        <v>251</v>
      </c>
      <c r="C122" s="10" t="s">
        <v>252</v>
      </c>
      <c r="D122" s="13" t="s">
        <v>115</v>
      </c>
      <c r="E122" s="11"/>
    </row>
    <row r="123" spans="1:5" ht="20.100000000000001" customHeight="1" x14ac:dyDescent="0.2">
      <c r="A123" s="2">
        <v>2</v>
      </c>
      <c r="B123" s="9" t="s">
        <v>1382</v>
      </c>
      <c r="C123" s="10" t="s">
        <v>1383</v>
      </c>
      <c r="D123" s="13" t="s">
        <v>154</v>
      </c>
      <c r="E123" s="11"/>
    </row>
    <row r="124" spans="1:5" ht="20.100000000000001" customHeight="1" x14ac:dyDescent="0.2">
      <c r="A124" s="2">
        <v>3</v>
      </c>
      <c r="B124" s="9" t="s">
        <v>253</v>
      </c>
      <c r="C124" s="10" t="s">
        <v>256</v>
      </c>
      <c r="D124" s="13" t="s">
        <v>131</v>
      </c>
      <c r="E124" s="11"/>
    </row>
    <row r="125" spans="1:5" ht="20.100000000000001" customHeight="1" x14ac:dyDescent="0.2">
      <c r="A125" s="2">
        <v>4</v>
      </c>
      <c r="B125" s="12" t="s">
        <v>255</v>
      </c>
      <c r="C125" s="10" t="s">
        <v>256</v>
      </c>
      <c r="D125" s="13" t="s">
        <v>131</v>
      </c>
      <c r="E125" s="11"/>
    </row>
    <row r="126" spans="1:5" ht="20.100000000000001" customHeight="1" x14ac:dyDescent="0.2">
      <c r="A126" s="2">
        <v>5</v>
      </c>
      <c r="B126" s="12" t="s">
        <v>556</v>
      </c>
      <c r="C126" s="10" t="s">
        <v>256</v>
      </c>
      <c r="D126" s="13" t="s">
        <v>49</v>
      </c>
      <c r="E126" s="11"/>
    </row>
    <row r="127" spans="1:5" ht="20.100000000000001" customHeight="1" x14ac:dyDescent="0.2">
      <c r="A127" s="2">
        <v>6</v>
      </c>
      <c r="B127" s="9" t="s">
        <v>257</v>
      </c>
      <c r="C127" s="10" t="s">
        <v>258</v>
      </c>
      <c r="D127" s="13" t="s">
        <v>46</v>
      </c>
      <c r="E127" s="11"/>
    </row>
    <row r="128" spans="1:5" ht="20.100000000000001" customHeight="1" x14ac:dyDescent="0.2">
      <c r="A128" s="2">
        <v>7</v>
      </c>
      <c r="B128" s="9" t="s">
        <v>259</v>
      </c>
      <c r="C128" s="10" t="s">
        <v>489</v>
      </c>
      <c r="D128" s="13" t="s">
        <v>534</v>
      </c>
      <c r="E128" s="11"/>
    </row>
    <row r="129" spans="1:5" ht="20.100000000000001" customHeight="1" x14ac:dyDescent="0.2">
      <c r="A129" s="2">
        <v>8</v>
      </c>
      <c r="B129" s="9" t="s">
        <v>260</v>
      </c>
      <c r="C129" s="10" t="s">
        <v>1216</v>
      </c>
      <c r="D129" s="13" t="s">
        <v>534</v>
      </c>
      <c r="E129" s="11"/>
    </row>
    <row r="130" spans="1:5" ht="20.100000000000001" customHeight="1" x14ac:dyDescent="0.2">
      <c r="A130" s="2">
        <v>9</v>
      </c>
      <c r="B130" s="9" t="s">
        <v>263</v>
      </c>
      <c r="C130" s="10" t="s">
        <v>264</v>
      </c>
      <c r="D130" s="8" t="s">
        <v>87</v>
      </c>
      <c r="E130" s="11"/>
    </row>
    <row r="131" spans="1:5" ht="20.100000000000001" customHeight="1" x14ac:dyDescent="0.2">
      <c r="A131" s="2">
        <v>10</v>
      </c>
      <c r="B131" s="16" t="s">
        <v>265</v>
      </c>
      <c r="C131" s="10" t="s">
        <v>266</v>
      </c>
      <c r="D131" s="13" t="s">
        <v>108</v>
      </c>
      <c r="E131" s="11"/>
    </row>
    <row r="132" spans="1:5" ht="20.100000000000001" customHeight="1" x14ac:dyDescent="0.2">
      <c r="A132" s="2"/>
      <c r="B132" s="18" t="s">
        <v>111</v>
      </c>
      <c r="C132" s="24" t="s">
        <v>490</v>
      </c>
      <c r="D132" s="13"/>
      <c r="E132" s="11"/>
    </row>
    <row r="133" spans="1:5" ht="20.100000000000001" customHeight="1" x14ac:dyDescent="0.2">
      <c r="A133" s="2"/>
      <c r="B133" s="20"/>
      <c r="C133" s="24"/>
      <c r="D133" s="13"/>
      <c r="E133" s="11"/>
    </row>
    <row r="134" spans="1:5" ht="20.100000000000001" customHeight="1" x14ac:dyDescent="0.2">
      <c r="A134" s="2"/>
      <c r="B134" s="18" t="s">
        <v>270</v>
      </c>
      <c r="C134" s="10"/>
      <c r="D134" s="13"/>
      <c r="E134" s="11"/>
    </row>
    <row r="135" spans="1:5" ht="20.100000000000001" customHeight="1" x14ac:dyDescent="0.2">
      <c r="A135" s="25">
        <v>1</v>
      </c>
      <c r="B135" s="9" t="s">
        <v>557</v>
      </c>
      <c r="C135" s="10" t="s">
        <v>558</v>
      </c>
      <c r="D135" s="13" t="s">
        <v>115</v>
      </c>
      <c r="E135" s="11"/>
    </row>
    <row r="136" spans="1:5" ht="20.100000000000001" customHeight="1" x14ac:dyDescent="0.2">
      <c r="A136" s="25">
        <v>2</v>
      </c>
      <c r="B136" s="9" t="s">
        <v>559</v>
      </c>
      <c r="C136" s="10" t="s">
        <v>560</v>
      </c>
      <c r="D136" s="13" t="s">
        <v>154</v>
      </c>
      <c r="E136" s="11"/>
    </row>
    <row r="137" spans="1:5" ht="20.100000000000001" customHeight="1" x14ac:dyDescent="0.2">
      <c r="A137" s="25">
        <v>3</v>
      </c>
      <c r="B137" s="12" t="s">
        <v>274</v>
      </c>
      <c r="C137" s="2" t="s">
        <v>275</v>
      </c>
      <c r="D137" s="14" t="s">
        <v>35</v>
      </c>
      <c r="E137" s="11"/>
    </row>
    <row r="138" spans="1:5" ht="20.100000000000001" customHeight="1" x14ac:dyDescent="0.2">
      <c r="A138" s="25">
        <v>4</v>
      </c>
      <c r="B138" s="9" t="s">
        <v>276</v>
      </c>
      <c r="C138" s="10" t="s">
        <v>561</v>
      </c>
      <c r="D138" s="13" t="s">
        <v>176</v>
      </c>
      <c r="E138" s="11"/>
    </row>
    <row r="139" spans="1:5" ht="20.100000000000001" customHeight="1" x14ac:dyDescent="0.2">
      <c r="A139" s="25">
        <v>5</v>
      </c>
      <c r="B139" s="9" t="s">
        <v>278</v>
      </c>
      <c r="C139" s="2" t="s">
        <v>562</v>
      </c>
      <c r="D139" s="13" t="s">
        <v>176</v>
      </c>
      <c r="E139" s="11"/>
    </row>
    <row r="140" spans="1:5" ht="20.100000000000001" customHeight="1" x14ac:dyDescent="0.2">
      <c r="A140" s="25">
        <v>6</v>
      </c>
      <c r="B140" s="9" t="s">
        <v>211</v>
      </c>
      <c r="C140" s="2" t="s">
        <v>564</v>
      </c>
      <c r="D140" s="13" t="s">
        <v>534</v>
      </c>
      <c r="E140" s="11"/>
    </row>
    <row r="141" spans="1:5" ht="20.100000000000001" customHeight="1" x14ac:dyDescent="0.2">
      <c r="A141" s="25">
        <v>7</v>
      </c>
      <c r="B141" s="9" t="s">
        <v>213</v>
      </c>
      <c r="C141" s="10" t="s">
        <v>563</v>
      </c>
      <c r="D141" s="13" t="s">
        <v>162</v>
      </c>
      <c r="E141" s="11"/>
    </row>
    <row r="142" spans="1:5" ht="20.100000000000001" customHeight="1" x14ac:dyDescent="0.2">
      <c r="A142" s="25">
        <v>8</v>
      </c>
      <c r="B142" s="9" t="s">
        <v>281</v>
      </c>
      <c r="C142" s="10" t="s">
        <v>563</v>
      </c>
      <c r="D142" s="13" t="s">
        <v>162</v>
      </c>
      <c r="E142" s="11"/>
    </row>
    <row r="143" spans="1:5" ht="20.100000000000001" customHeight="1" x14ac:dyDescent="0.2">
      <c r="A143" s="25">
        <v>9</v>
      </c>
      <c r="B143" s="9" t="s">
        <v>282</v>
      </c>
      <c r="C143" s="2" t="s">
        <v>564</v>
      </c>
      <c r="D143" s="13" t="s">
        <v>162</v>
      </c>
      <c r="E143" s="11"/>
    </row>
    <row r="144" spans="1:5" ht="20.100000000000001" customHeight="1" x14ac:dyDescent="0.2">
      <c r="A144" s="25">
        <v>10</v>
      </c>
      <c r="B144" s="9" t="s">
        <v>284</v>
      </c>
      <c r="C144" s="10" t="s">
        <v>285</v>
      </c>
      <c r="D144" s="13" t="s">
        <v>68</v>
      </c>
      <c r="E144" s="11"/>
    </row>
    <row r="145" spans="1:5" ht="20.100000000000001" customHeight="1" x14ac:dyDescent="0.2">
      <c r="A145" s="25">
        <v>11</v>
      </c>
      <c r="B145" s="9" t="s">
        <v>286</v>
      </c>
      <c r="C145" s="10" t="s">
        <v>1218</v>
      </c>
      <c r="D145" s="13" t="s">
        <v>300</v>
      </c>
      <c r="E145" s="11"/>
    </row>
    <row r="146" spans="1:5" ht="20.100000000000001" customHeight="1" x14ac:dyDescent="0.2">
      <c r="A146" s="25">
        <v>12</v>
      </c>
      <c r="B146" s="9" t="s">
        <v>60</v>
      </c>
      <c r="C146" s="10" t="s">
        <v>565</v>
      </c>
      <c r="D146" s="13" t="s">
        <v>162</v>
      </c>
      <c r="E146" s="11"/>
    </row>
    <row r="147" spans="1:5" ht="20.100000000000001" customHeight="1" x14ac:dyDescent="0.2">
      <c r="A147" s="25">
        <v>13</v>
      </c>
      <c r="B147" s="16" t="s">
        <v>288</v>
      </c>
      <c r="C147" s="2" t="s">
        <v>297</v>
      </c>
      <c r="D147" s="13" t="s">
        <v>300</v>
      </c>
      <c r="E147" s="11"/>
    </row>
    <row r="148" spans="1:5" ht="20.100000000000001" customHeight="1" x14ac:dyDescent="0.2">
      <c r="A148" s="25">
        <v>14</v>
      </c>
      <c r="B148" s="9" t="s">
        <v>290</v>
      </c>
      <c r="C148" s="2" t="s">
        <v>566</v>
      </c>
      <c r="D148" s="13" t="s">
        <v>76</v>
      </c>
      <c r="E148" s="11"/>
    </row>
    <row r="149" spans="1:5" ht="20.100000000000001" customHeight="1" x14ac:dyDescent="0.2">
      <c r="A149" s="25">
        <v>15</v>
      </c>
      <c r="B149" s="9" t="s">
        <v>291</v>
      </c>
      <c r="C149" s="2" t="s">
        <v>566</v>
      </c>
      <c r="D149" s="13" t="s">
        <v>119</v>
      </c>
      <c r="E149" s="11"/>
    </row>
    <row r="150" spans="1:5" ht="20.100000000000001" customHeight="1" x14ac:dyDescent="0.2">
      <c r="A150" s="25">
        <v>16</v>
      </c>
      <c r="B150" s="9" t="s">
        <v>293</v>
      </c>
      <c r="C150" s="2" t="s">
        <v>566</v>
      </c>
      <c r="D150" s="13" t="s">
        <v>119</v>
      </c>
      <c r="E150" s="11"/>
    </row>
    <row r="151" spans="1:5" ht="20.100000000000001" customHeight="1" x14ac:dyDescent="0.2">
      <c r="A151" s="25">
        <v>17</v>
      </c>
      <c r="B151" s="9" t="s">
        <v>294</v>
      </c>
      <c r="C151" s="10" t="s">
        <v>295</v>
      </c>
      <c r="D151" s="13" t="s">
        <v>73</v>
      </c>
      <c r="E151" s="11"/>
    </row>
    <row r="152" spans="1:5" ht="20.100000000000001" customHeight="1" x14ac:dyDescent="0.2">
      <c r="A152" s="25">
        <v>18</v>
      </c>
      <c r="B152" s="9" t="s">
        <v>1201</v>
      </c>
      <c r="C152" s="10" t="s">
        <v>297</v>
      </c>
      <c r="D152" s="8" t="s">
        <v>96</v>
      </c>
      <c r="E152" s="11"/>
    </row>
    <row r="153" spans="1:5" ht="20.100000000000001" customHeight="1" x14ac:dyDescent="0.2">
      <c r="A153" s="25">
        <v>19</v>
      </c>
      <c r="B153" s="9" t="s">
        <v>298</v>
      </c>
      <c r="C153" s="10" t="s">
        <v>299</v>
      </c>
      <c r="D153" s="13" t="s">
        <v>76</v>
      </c>
      <c r="E153" s="11"/>
    </row>
    <row r="154" spans="1:5" ht="20.100000000000001" customHeight="1" x14ac:dyDescent="0.2">
      <c r="A154" s="25">
        <v>20</v>
      </c>
      <c r="B154" s="9" t="s">
        <v>301</v>
      </c>
      <c r="C154" s="10" t="s">
        <v>302</v>
      </c>
      <c r="D154" s="13" t="s">
        <v>87</v>
      </c>
      <c r="E154" s="11"/>
    </row>
    <row r="155" spans="1:5" ht="20.100000000000001" customHeight="1" x14ac:dyDescent="0.2">
      <c r="A155" s="25">
        <v>21</v>
      </c>
      <c r="B155" s="9" t="s">
        <v>303</v>
      </c>
      <c r="C155" s="10" t="s">
        <v>304</v>
      </c>
      <c r="D155" s="13" t="s">
        <v>76</v>
      </c>
      <c r="E155" s="11"/>
    </row>
    <row r="156" spans="1:5" ht="20.100000000000001" customHeight="1" x14ac:dyDescent="0.2">
      <c r="A156" s="25">
        <v>22</v>
      </c>
      <c r="B156" s="9" t="s">
        <v>305</v>
      </c>
      <c r="C156" s="10" t="s">
        <v>306</v>
      </c>
      <c r="D156" s="13" t="s">
        <v>87</v>
      </c>
      <c r="E156" s="11"/>
    </row>
    <row r="157" spans="1:5" ht="20.100000000000001" customHeight="1" x14ac:dyDescent="0.2">
      <c r="A157" s="25">
        <v>23</v>
      </c>
      <c r="B157" s="16" t="s">
        <v>307</v>
      </c>
      <c r="C157" s="10" t="s">
        <v>315</v>
      </c>
      <c r="D157" s="13" t="s">
        <v>206</v>
      </c>
      <c r="E157" s="11"/>
    </row>
    <row r="158" spans="1:5" ht="20.100000000000001" customHeight="1" x14ac:dyDescent="0.2">
      <c r="A158" s="25">
        <v>24</v>
      </c>
      <c r="B158" s="16" t="s">
        <v>312</v>
      </c>
      <c r="C158" s="10" t="s">
        <v>313</v>
      </c>
      <c r="D158" s="13" t="s">
        <v>108</v>
      </c>
      <c r="E158" s="11"/>
    </row>
    <row r="159" spans="1:5" ht="20.100000000000001" customHeight="1" x14ac:dyDescent="0.2">
      <c r="A159" s="25">
        <v>25</v>
      </c>
      <c r="B159" s="16" t="s">
        <v>314</v>
      </c>
      <c r="C159" s="10" t="s">
        <v>315</v>
      </c>
      <c r="D159" s="13" t="s">
        <v>108</v>
      </c>
      <c r="E159" s="11"/>
    </row>
    <row r="160" spans="1:5" ht="20.100000000000001" customHeight="1" x14ac:dyDescent="0.2">
      <c r="A160" s="25">
        <v>26</v>
      </c>
      <c r="B160" s="16" t="s">
        <v>316</v>
      </c>
      <c r="C160" s="10" t="s">
        <v>317</v>
      </c>
      <c r="D160" s="13" t="s">
        <v>105</v>
      </c>
      <c r="E160" s="11"/>
    </row>
    <row r="161" spans="1:5" ht="20.100000000000001" customHeight="1" x14ac:dyDescent="0.2">
      <c r="A161" s="25">
        <v>27</v>
      </c>
      <c r="B161" s="16" t="s">
        <v>318</v>
      </c>
      <c r="C161" s="10" t="s">
        <v>319</v>
      </c>
      <c r="D161" s="13" t="s">
        <v>105</v>
      </c>
      <c r="E161" s="11"/>
    </row>
    <row r="162" spans="1:5" ht="20.100000000000001" customHeight="1" x14ac:dyDescent="0.2">
      <c r="A162" s="25">
        <v>28</v>
      </c>
      <c r="B162" s="9" t="s">
        <v>329</v>
      </c>
      <c r="C162" s="10" t="s">
        <v>330</v>
      </c>
      <c r="D162" s="13" t="s">
        <v>348</v>
      </c>
      <c r="E162" s="11"/>
    </row>
    <row r="163" spans="1:5" ht="20.100000000000001" customHeight="1" x14ac:dyDescent="0.2">
      <c r="A163" s="25">
        <v>29</v>
      </c>
      <c r="B163" s="9" t="s">
        <v>332</v>
      </c>
      <c r="C163" s="10" t="s">
        <v>330</v>
      </c>
      <c r="D163" s="13" t="s">
        <v>348</v>
      </c>
      <c r="E163" s="11"/>
    </row>
    <row r="164" spans="1:5" ht="20.100000000000001" customHeight="1" x14ac:dyDescent="0.2">
      <c r="A164" s="25">
        <v>30</v>
      </c>
      <c r="B164" s="9" t="s">
        <v>333</v>
      </c>
      <c r="C164" s="10" t="s">
        <v>330</v>
      </c>
      <c r="D164" s="13" t="s">
        <v>348</v>
      </c>
      <c r="E164" s="11"/>
    </row>
    <row r="165" spans="1:5" ht="20.100000000000001" customHeight="1" x14ac:dyDescent="0.2">
      <c r="A165" s="25">
        <v>31</v>
      </c>
      <c r="B165" s="9" t="s">
        <v>334</v>
      </c>
      <c r="C165" s="10" t="s">
        <v>330</v>
      </c>
      <c r="D165" s="13" t="s">
        <v>348</v>
      </c>
      <c r="E165" s="11"/>
    </row>
    <row r="166" spans="1:5" ht="20.100000000000001" customHeight="1" x14ac:dyDescent="0.2">
      <c r="A166" s="25">
        <v>32</v>
      </c>
      <c r="B166" s="9" t="s">
        <v>335</v>
      </c>
      <c r="C166" s="10" t="s">
        <v>330</v>
      </c>
      <c r="D166" s="13" t="s">
        <v>348</v>
      </c>
      <c r="E166" s="11"/>
    </row>
    <row r="167" spans="1:5" ht="20.100000000000001" customHeight="1" x14ac:dyDescent="0.2">
      <c r="A167" s="25">
        <v>33</v>
      </c>
      <c r="B167" s="9" t="s">
        <v>336</v>
      </c>
      <c r="C167" s="10" t="s">
        <v>330</v>
      </c>
      <c r="D167" s="13" t="s">
        <v>345</v>
      </c>
      <c r="E167" s="11"/>
    </row>
    <row r="168" spans="1:5" ht="20.100000000000001" customHeight="1" x14ac:dyDescent="0.2">
      <c r="A168" s="25">
        <v>34</v>
      </c>
      <c r="B168" s="9" t="s">
        <v>338</v>
      </c>
      <c r="C168" s="10" t="s">
        <v>330</v>
      </c>
      <c r="D168" s="13" t="s">
        <v>345</v>
      </c>
      <c r="E168" s="11"/>
    </row>
    <row r="169" spans="1:5" ht="20.100000000000001" customHeight="1" x14ac:dyDescent="0.2">
      <c r="A169" s="25">
        <v>35</v>
      </c>
      <c r="B169" s="9" t="s">
        <v>1365</v>
      </c>
      <c r="C169" s="10" t="s">
        <v>330</v>
      </c>
      <c r="D169" s="13" t="s">
        <v>345</v>
      </c>
      <c r="E169" s="11"/>
    </row>
    <row r="170" spans="1:5" ht="20.100000000000001" customHeight="1" x14ac:dyDescent="0.2">
      <c r="A170" s="25">
        <v>36</v>
      </c>
      <c r="B170" s="12" t="s">
        <v>339</v>
      </c>
      <c r="C170" s="10" t="s">
        <v>330</v>
      </c>
      <c r="D170" s="13" t="s">
        <v>345</v>
      </c>
      <c r="E170" s="11"/>
    </row>
    <row r="171" spans="1:5" ht="20.100000000000001" customHeight="1" x14ac:dyDescent="0.2">
      <c r="A171" s="25">
        <v>37</v>
      </c>
      <c r="B171" s="9" t="s">
        <v>340</v>
      </c>
      <c r="C171" s="10" t="s">
        <v>330</v>
      </c>
      <c r="D171" s="13" t="s">
        <v>345</v>
      </c>
      <c r="E171" s="11"/>
    </row>
    <row r="172" spans="1:5" ht="20.100000000000001" customHeight="1" x14ac:dyDescent="0.2">
      <c r="A172" s="25">
        <v>38</v>
      </c>
      <c r="B172" s="16" t="s">
        <v>341</v>
      </c>
      <c r="C172" s="10" t="s">
        <v>330</v>
      </c>
      <c r="D172" s="13" t="s">
        <v>345</v>
      </c>
      <c r="E172" s="11"/>
    </row>
    <row r="173" spans="1:5" ht="20.100000000000001" customHeight="1" x14ac:dyDescent="0.2">
      <c r="A173" s="25">
        <v>39</v>
      </c>
      <c r="B173" s="16" t="s">
        <v>342</v>
      </c>
      <c r="C173" s="10" t="s">
        <v>330</v>
      </c>
      <c r="D173" s="13" t="s">
        <v>345</v>
      </c>
      <c r="E173" s="11"/>
    </row>
    <row r="174" spans="1:5" ht="20.100000000000001" customHeight="1" x14ac:dyDescent="0.2">
      <c r="A174" s="25">
        <v>40</v>
      </c>
      <c r="B174" s="9" t="s">
        <v>343</v>
      </c>
      <c r="C174" s="10" t="s">
        <v>350</v>
      </c>
      <c r="D174" s="13" t="s">
        <v>354</v>
      </c>
      <c r="E174" s="11"/>
    </row>
    <row r="175" spans="1:5" ht="20.100000000000001" customHeight="1" x14ac:dyDescent="0.2">
      <c r="A175" s="25">
        <v>41</v>
      </c>
      <c r="B175" s="9" t="s">
        <v>346</v>
      </c>
      <c r="C175" s="10" t="s">
        <v>350</v>
      </c>
      <c r="D175" s="13" t="s">
        <v>354</v>
      </c>
      <c r="E175" s="11"/>
    </row>
    <row r="176" spans="1:5" ht="20.100000000000001" customHeight="1" x14ac:dyDescent="0.2">
      <c r="A176" s="25">
        <v>42</v>
      </c>
      <c r="B176" s="16" t="s">
        <v>347</v>
      </c>
      <c r="C176" s="10" t="s">
        <v>350</v>
      </c>
      <c r="D176" s="13" t="s">
        <v>1197</v>
      </c>
      <c r="E176" s="11"/>
    </row>
    <row r="177" spans="1:5" ht="20.100000000000001" customHeight="1" x14ac:dyDescent="0.2">
      <c r="A177" s="25">
        <v>43</v>
      </c>
      <c r="B177" s="9" t="s">
        <v>349</v>
      </c>
      <c r="C177" s="10" t="s">
        <v>350</v>
      </c>
      <c r="D177" s="13" t="s">
        <v>1202</v>
      </c>
      <c r="E177" s="11"/>
    </row>
    <row r="178" spans="1:5" ht="20.100000000000001" customHeight="1" x14ac:dyDescent="0.2">
      <c r="A178" s="25">
        <v>44</v>
      </c>
      <c r="B178" s="9" t="s">
        <v>352</v>
      </c>
      <c r="C178" s="10" t="s">
        <v>353</v>
      </c>
      <c r="D178" s="13" t="s">
        <v>1203</v>
      </c>
      <c r="E178" s="11"/>
    </row>
    <row r="179" spans="1:5" ht="20.100000000000001" customHeight="1" x14ac:dyDescent="0.2">
      <c r="A179" s="25">
        <v>45</v>
      </c>
      <c r="B179" s="9" t="s">
        <v>355</v>
      </c>
      <c r="C179" s="10" t="s">
        <v>353</v>
      </c>
      <c r="D179" s="13" t="s">
        <v>1203</v>
      </c>
      <c r="E179" s="11"/>
    </row>
    <row r="180" spans="1:5" ht="20.100000000000001" customHeight="1" x14ac:dyDescent="0.2">
      <c r="A180" s="25">
        <v>46</v>
      </c>
      <c r="B180" s="9" t="s">
        <v>356</v>
      </c>
      <c r="C180" s="10" t="s">
        <v>353</v>
      </c>
      <c r="D180" s="13" t="s">
        <v>1203</v>
      </c>
      <c r="E180" s="11"/>
    </row>
    <row r="181" spans="1:5" ht="20.100000000000001" customHeight="1" x14ac:dyDescent="0.2">
      <c r="A181" s="25">
        <v>47</v>
      </c>
      <c r="B181" s="9" t="s">
        <v>357</v>
      </c>
      <c r="C181" s="10" t="s">
        <v>353</v>
      </c>
      <c r="D181" s="13" t="s">
        <v>1203</v>
      </c>
      <c r="E181" s="11"/>
    </row>
    <row r="182" spans="1:5" ht="20.100000000000001" customHeight="1" x14ac:dyDescent="0.2">
      <c r="A182" s="25">
        <v>48</v>
      </c>
      <c r="B182" s="9" t="s">
        <v>358</v>
      </c>
      <c r="C182" s="10" t="s">
        <v>353</v>
      </c>
      <c r="D182" s="13" t="s">
        <v>1203</v>
      </c>
      <c r="E182" s="11"/>
    </row>
    <row r="183" spans="1:5" ht="20.100000000000001" customHeight="1" x14ac:dyDescent="0.2">
      <c r="A183" s="25">
        <v>49</v>
      </c>
      <c r="B183" s="16" t="s">
        <v>359</v>
      </c>
      <c r="C183" s="10" t="s">
        <v>353</v>
      </c>
      <c r="D183" s="13" t="s">
        <v>1203</v>
      </c>
      <c r="E183" s="11"/>
    </row>
    <row r="184" spans="1:5" ht="20.100000000000001" customHeight="1" x14ac:dyDescent="0.2">
      <c r="A184" s="25">
        <v>50</v>
      </c>
      <c r="B184" s="16" t="s">
        <v>360</v>
      </c>
      <c r="C184" s="10" t="s">
        <v>353</v>
      </c>
      <c r="D184" s="13" t="s">
        <v>1203</v>
      </c>
      <c r="E184" s="11"/>
    </row>
    <row r="185" spans="1:5" ht="20.100000000000001" customHeight="1" x14ac:dyDescent="0.2">
      <c r="A185" s="25">
        <v>51</v>
      </c>
      <c r="B185" s="9" t="s">
        <v>493</v>
      </c>
      <c r="C185" s="10" t="s">
        <v>350</v>
      </c>
      <c r="D185" s="13" t="s">
        <v>1203</v>
      </c>
      <c r="E185" s="11"/>
    </row>
    <row r="186" spans="1:5" ht="20.100000000000001" customHeight="1" x14ac:dyDescent="0.2">
      <c r="A186" s="25">
        <v>52</v>
      </c>
      <c r="B186" s="9" t="s">
        <v>361</v>
      </c>
      <c r="C186" s="10" t="s">
        <v>350</v>
      </c>
      <c r="D186" s="13" t="s">
        <v>1203</v>
      </c>
      <c r="E186" s="11"/>
    </row>
    <row r="187" spans="1:5" ht="20.100000000000001" customHeight="1" x14ac:dyDescent="0.2">
      <c r="A187" s="25">
        <v>53</v>
      </c>
      <c r="B187" s="16" t="s">
        <v>362</v>
      </c>
      <c r="C187" s="10" t="s">
        <v>353</v>
      </c>
      <c r="D187" s="13" t="s">
        <v>1219</v>
      </c>
      <c r="E187" s="11"/>
    </row>
    <row r="188" spans="1:5" ht="20.100000000000001" customHeight="1" x14ac:dyDescent="0.2">
      <c r="A188" s="25">
        <v>54</v>
      </c>
      <c r="B188" s="16" t="s">
        <v>367</v>
      </c>
      <c r="C188" s="10" t="s">
        <v>353</v>
      </c>
      <c r="D188" s="13" t="s">
        <v>371</v>
      </c>
      <c r="E188" s="11"/>
    </row>
    <row r="189" spans="1:5" ht="20.100000000000001" customHeight="1" x14ac:dyDescent="0.2">
      <c r="A189" s="25"/>
      <c r="B189" s="6" t="s">
        <v>111</v>
      </c>
      <c r="C189" s="26" t="s">
        <v>1368</v>
      </c>
      <c r="D189" s="27"/>
      <c r="E189" s="11"/>
    </row>
    <row r="190" spans="1:5" ht="32.25" customHeight="1" x14ac:dyDescent="0.2">
      <c r="A190" s="2"/>
      <c r="B190" s="28" t="s">
        <v>379</v>
      </c>
      <c r="C190" s="29">
        <f>C35+C40+C55+C60+C76+C84+C97+C104+C114+C132+C189</f>
        <v>147</v>
      </c>
      <c r="D190" s="30"/>
      <c r="E190" s="11"/>
    </row>
    <row r="191" spans="1:5" ht="20.100000000000001" customHeight="1" x14ac:dyDescent="0.2">
      <c r="B191" s="31"/>
      <c r="D191" s="32"/>
      <c r="E191" s="33"/>
    </row>
    <row r="192" spans="1:5" ht="65.25" customHeight="1" x14ac:dyDescent="0.2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"/>
  <sheetViews>
    <sheetView workbookViewId="0"/>
  </sheetViews>
  <sheetFormatPr defaultColWidth="8.76171875" defaultRowHeight="12.75" x14ac:dyDescent="0.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102</vt:i4>
      </vt:variant>
      <vt:variant>
        <vt:lpstr>Named Ranges</vt:lpstr>
      </vt:variant>
      <vt:variant>
        <vt:i4>63</vt:i4>
      </vt:variant>
    </vt:vector>
  </HeadingPairs>
  <TitlesOfParts>
    <vt:vector size="165" baseType="lpstr">
      <vt:lpstr>JULY 2025</vt:lpstr>
      <vt:lpstr>MEMO</vt:lpstr>
      <vt:lpstr>Shift duty</vt:lpstr>
      <vt:lpstr>Changes in July</vt:lpstr>
      <vt:lpstr>Basic &amp; Pensions</vt:lpstr>
      <vt:lpstr>Changes in PAYE</vt:lpstr>
      <vt:lpstr>New NHF Enrolment</vt:lpstr>
      <vt:lpstr>PAYE of NHF Enrol</vt:lpstr>
      <vt:lpstr>Arrears Jan-May</vt:lpstr>
      <vt:lpstr>Sheet12</vt:lpstr>
      <vt:lpstr>Wage Award</vt:lpstr>
      <vt:lpstr>N0 on GL</vt:lpstr>
      <vt:lpstr>Total</vt:lpstr>
      <vt:lpstr>2025 GL STEPS</vt:lpstr>
      <vt:lpstr>Welfare June 25</vt:lpstr>
      <vt:lpstr>Sum of Welfare (2)</vt:lpstr>
      <vt:lpstr>Sheet11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  <vt:lpstr>Additional Leg Duty Allowance!Print_Area</vt:lpstr>
      <vt:lpstr>Annual Increement!Print_Area</vt:lpstr>
      <vt:lpstr>CHRISTMAS WELFARE!Print_Area</vt:lpstr>
      <vt:lpstr>Christmas Welfare 2024!Print_Area</vt:lpstr>
      <vt:lpstr>Enhanced Welfare 2023 (2)!Print_Area</vt:lpstr>
      <vt:lpstr>Enhanced Welfare 2023 (3)!Print_Area</vt:lpstr>
      <vt:lpstr>ENHANCED WELFARE 2024!Print_Area</vt:lpstr>
      <vt:lpstr>JULY 2025!Print_Area</vt:lpstr>
      <vt:lpstr>HALF 2023 (2)!Print_Area</vt:lpstr>
      <vt:lpstr>January 2023 NHF)!Print_Area</vt:lpstr>
      <vt:lpstr>January 2023 PAYE!Print_Area</vt:lpstr>
      <vt:lpstr>JUNE 2023 (2)!Print_Area</vt:lpstr>
      <vt:lpstr>MEMO!Print_Area</vt:lpstr>
      <vt:lpstr>NEW ENROLMENT IN NOVEMBER (2)!Print_Area</vt:lpstr>
      <vt:lpstr>Promotion in Sept!Print_Area</vt:lpstr>
      <vt:lpstr>PROMOTIONS!Print_Area</vt:lpstr>
      <vt:lpstr>PROMOTIONS !Print_Area</vt:lpstr>
      <vt:lpstr>Regularisation IN NOVEMBER (3)!Print_Area</vt:lpstr>
      <vt:lpstr>Sallah Welfare April 2023!Print_Area</vt:lpstr>
      <vt:lpstr>Sallah Welfare June 2023!Print_Area</vt:lpstr>
      <vt:lpstr>Sallah Welfare June 2023 Latest!Print_Area</vt:lpstr>
      <vt:lpstr>Sallah Welfare, April 2024!Print_Area</vt:lpstr>
      <vt:lpstr>Staff Bonus!Print_Area</vt:lpstr>
      <vt:lpstr>Tax adj August, 2022!Print_Area</vt:lpstr>
      <vt:lpstr>Upgrade in March!Print_Area</vt:lpstr>
      <vt:lpstr>Wage Grant!Print_Area</vt:lpstr>
      <vt:lpstr>Wage Grant (2)!Print_Area</vt:lpstr>
      <vt:lpstr>Welfare June!Print_Area</vt:lpstr>
      <vt:lpstr>2025 GL STEPS!Print_Area</vt:lpstr>
      <vt:lpstr>Welfare June 25!Print_Area</vt:lpstr>
      <vt:lpstr>Basic &amp; Pensions!Print_Area</vt:lpstr>
      <vt:lpstr>New NHF Enrolment!Print_Area</vt:lpstr>
      <vt:lpstr>Arrears Jan-May!Print_Area</vt:lpstr>
      <vt:lpstr>Additional Leg Duty Allowance!Print_Titles</vt:lpstr>
      <vt:lpstr>CHRISTMAS WELFARE!Print_Titles</vt:lpstr>
      <vt:lpstr>Christmas Welfare 2024!Print_Titles</vt:lpstr>
      <vt:lpstr>Enhanced Welfare 2023 (2)!Print_Titles</vt:lpstr>
      <vt:lpstr>Enhanced Welfare 2023 (3)!Print_Titles</vt:lpstr>
      <vt:lpstr>ENHANCED WELFARE 2024!Print_Titles</vt:lpstr>
      <vt:lpstr>JULY 2025!Print_Titles</vt:lpstr>
      <vt:lpstr>HALF 2023 (2)!Print_Titles</vt:lpstr>
      <vt:lpstr>January 2023 NHF)!Print_Titles</vt:lpstr>
      <vt:lpstr>January 2023 PAYE!Print_Titles</vt:lpstr>
      <vt:lpstr>JUNE 2023 (2)!Print_Titles</vt:lpstr>
      <vt:lpstr>NEW ENROLMENT IN NOVEMBER (2)!Print_Titles</vt:lpstr>
      <vt:lpstr>Promotion in Sept!Print_Titles</vt:lpstr>
      <vt:lpstr>PROMOTIONS!Print_Titles</vt:lpstr>
      <vt:lpstr>PROMOTIONS !Print_Titles</vt:lpstr>
      <vt:lpstr>Regularisation IN NOVEMBER (3)!Print_Titles</vt:lpstr>
      <vt:lpstr>Sallah Welfare April 2023!Print_Titles</vt:lpstr>
      <vt:lpstr>Sallah Welfare June 2023!Print_Titles</vt:lpstr>
      <vt:lpstr>Sallah Welfare June 2023 Latest!Print_Titles</vt:lpstr>
      <vt:lpstr>Sallah Welfare, April 2024!Print_Titles</vt:lpstr>
      <vt:lpstr>Staff Bonus!Print_Titles</vt:lpstr>
      <vt:lpstr>Upgrade in March!Print_Titles</vt:lpstr>
      <vt:lpstr>Wage Grant!Print_Titles</vt:lpstr>
      <vt:lpstr>Wage Grant (2)!Print_Titles</vt:lpstr>
      <vt:lpstr>Welfare June!Print_Titles</vt:lpstr>
      <vt:lpstr>2025 GL STEPS!Print_Titles</vt:lpstr>
      <vt:lpstr>Welfare June 25!Print_Titles</vt:lpstr>
      <vt:lpstr>Basic &amp; Pensions!Print_Titles</vt:lpstr>
      <vt:lpstr>New NHF Enrolment!Print_Titles</vt:lpstr>
      <vt:lpstr>Arrears Jan-May!Print_Titles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cp:lastPrinted>2024-11-05T10:10:00Z</cp:lastPrinted>
  <dcterms:created xsi:type="dcterms:W3CDTF">2008-06-27T10:36:00Z</dcterms:created>
  <dcterms:modified xsi:type="dcterms:W3CDTF">2025-07-28T10:27:11Z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C8448C66F35D45A8988AE29102F74016_13</vt:lpwstr>
  </property>
  <property fmtid="{D5CDD505-2E9C-101B-9397-08002B2CF9AE}" pid="3" name="KSOProductBuildVer">
    <vt:lpwstr>1033-12.2.0.21931</vt:lpwstr>
  </property>
</Properties>
</file>